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c9770c779667562/Documents/Bela Gevorgyan/HR strategy/"/>
    </mc:Choice>
  </mc:AlternateContent>
  <xr:revisionPtr revIDLastSave="6" documentId="8_{51895D45-4D5E-4BF7-BDB6-910005B94B5F}" xr6:coauthVersionLast="45" xr6:coauthVersionMax="45" xr10:uidLastSave="{6AB1E313-7A00-430F-BD23-701321E03D44}"/>
  <bookViews>
    <workbookView xWindow="-120" yWindow="-120" windowWidth="20730" windowHeight="11160" xr2:uid="{6CBA0C8D-934D-4544-92C1-2E7D042EE13F}"/>
  </bookViews>
  <sheets>
    <sheet name="Sheet1" sheetId="1" r:id="rId1"/>
    <sheet name="Cost details" sheetId="2" r:id="rId2"/>
  </sheets>
  <definedNames>
    <definedName name="_xlnm._FilterDatabase" localSheetId="0" hidden="1">Sheet1!$K$1:$K$276</definedName>
    <definedName name="_GoBack" localSheetId="0">Sheet1!#REF!</definedName>
    <definedName name="_xlnm.Print_Area" localSheetId="0">Sheet1!$A$1:$I$319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8" i="1" l="1"/>
  <c r="F198" i="1" s="1"/>
  <c r="G244" i="1" l="1"/>
  <c r="G121" i="1"/>
  <c r="G120" i="1" s="1"/>
  <c r="G122" i="1" l="1"/>
  <c r="E313" i="1"/>
  <c r="F313" i="1" s="1"/>
  <c r="G313" i="1" s="1"/>
  <c r="E312" i="1"/>
  <c r="F312" i="1" s="1"/>
  <c r="G312" i="1" s="1"/>
  <c r="E231" i="1"/>
  <c r="G188" i="1"/>
  <c r="G285" i="1" s="1"/>
  <c r="E115" i="1"/>
  <c r="F115" i="1" s="1"/>
  <c r="G115" i="1" s="1"/>
  <c r="F65" i="1"/>
  <c r="E65" i="1"/>
  <c r="E171" i="1"/>
  <c r="F171" i="1" s="1"/>
  <c r="G171" i="1" s="1"/>
  <c r="G256" i="1"/>
  <c r="F256" i="1"/>
  <c r="E256" i="1"/>
  <c r="G255" i="1"/>
  <c r="G252" i="1"/>
  <c r="F252" i="1"/>
  <c r="E252" i="1"/>
  <c r="G247" i="1"/>
  <c r="G241" i="1"/>
  <c r="F241" i="1"/>
  <c r="E241" i="1"/>
  <c r="G239" i="1"/>
  <c r="F239" i="1"/>
  <c r="E239" i="1"/>
  <c r="G219" i="1"/>
  <c r="G218" i="1"/>
  <c r="G217" i="1"/>
  <c r="G216" i="1"/>
  <c r="G215" i="1"/>
  <c r="G194" i="1"/>
  <c r="G195" i="1"/>
  <c r="F70" i="2"/>
  <c r="G172" i="1"/>
  <c r="G157" i="1"/>
  <c r="F157" i="1"/>
  <c r="E157" i="1"/>
  <c r="F156" i="1"/>
  <c r="G156" i="1" s="1"/>
  <c r="F155" i="1"/>
  <c r="G155" i="1" s="1"/>
  <c r="F154" i="1"/>
  <c r="G154" i="1" s="1"/>
  <c r="G89" i="1"/>
  <c r="E70" i="1"/>
  <c r="F70" i="1" s="1"/>
  <c r="G70" i="1" s="1"/>
  <c r="E29" i="1"/>
  <c r="F29" i="1" s="1"/>
  <c r="G29" i="1" s="1"/>
  <c r="F69" i="2"/>
  <c r="E7" i="1"/>
  <c r="F7" i="1" s="1"/>
  <c r="G7" i="1" s="1"/>
  <c r="G267" i="1"/>
  <c r="G271" i="1" s="1"/>
  <c r="G291" i="1" s="1"/>
  <c r="G214" i="1"/>
  <c r="G212" i="1"/>
  <c r="F212" i="1"/>
  <c r="E212" i="1"/>
  <c r="G204" i="1"/>
  <c r="G206" i="1" s="1"/>
  <c r="G287" i="1" s="1"/>
  <c r="G152" i="1"/>
  <c r="G151" i="1"/>
  <c r="G129" i="1"/>
  <c r="G123" i="1"/>
  <c r="C160" i="2"/>
  <c r="C158" i="2"/>
  <c r="C152" i="2"/>
  <c r="C156" i="2"/>
  <c r="G15" i="1"/>
  <c r="E6" i="2"/>
  <c r="E76" i="1"/>
  <c r="F76" i="1" s="1"/>
  <c r="G76" i="1" s="1"/>
  <c r="C144" i="2"/>
  <c r="C142" i="2"/>
  <c r="C143" i="2" s="1"/>
  <c r="G259" i="1" l="1"/>
  <c r="G290" i="1" s="1"/>
  <c r="G220" i="1"/>
  <c r="G288" i="1" s="1"/>
  <c r="D319" i="1"/>
  <c r="G318" i="1"/>
  <c r="H318" i="1" s="1"/>
  <c r="E197" i="1" l="1"/>
  <c r="F197" i="1" s="1"/>
  <c r="F150" i="1" l="1"/>
  <c r="E150" i="1"/>
  <c r="G150" i="1" s="1"/>
  <c r="F64" i="1"/>
  <c r="E64" i="1"/>
  <c r="E306" i="1" s="1"/>
  <c r="G64" i="1" l="1"/>
  <c r="C163" i="2"/>
  <c r="C164" i="2"/>
  <c r="F55" i="1"/>
  <c r="G55" i="1" s="1"/>
  <c r="B292" i="1"/>
  <c r="B291" i="1"/>
  <c r="C176" i="2"/>
  <c r="C174" i="2"/>
  <c r="C170" i="2"/>
  <c r="C172" i="2" s="1"/>
  <c r="E117" i="1" s="1"/>
  <c r="F117" i="1" s="1"/>
  <c r="C166" i="2"/>
  <c r="C168" i="2" s="1"/>
  <c r="E116" i="1" s="1"/>
  <c r="C133" i="2"/>
  <c r="C135" i="2" s="1"/>
  <c r="E72" i="1" s="1"/>
  <c r="F72" i="1" s="1"/>
  <c r="G72" i="1" s="1"/>
  <c r="C128" i="2"/>
  <c r="C130" i="2" s="1"/>
  <c r="E98" i="1" s="1"/>
  <c r="F98" i="1" s="1"/>
  <c r="G98" i="1" s="1"/>
  <c r="E50" i="1"/>
  <c r="F48" i="1"/>
  <c r="G48" i="1" s="1"/>
  <c r="E47" i="1"/>
  <c r="C100" i="2"/>
  <c r="E30" i="1" s="1"/>
  <c r="F30" i="1" s="1"/>
  <c r="G30" i="1" s="1"/>
  <c r="C99" i="2"/>
  <c r="C98" i="2"/>
  <c r="C93" i="2"/>
  <c r="C95" i="2" s="1"/>
  <c r="F23" i="1" s="1"/>
  <c r="C115" i="2"/>
  <c r="B289" i="1"/>
  <c r="F50" i="1" l="1"/>
  <c r="G50" i="1" s="1"/>
  <c r="C134" i="2"/>
  <c r="C129" i="2"/>
  <c r="F116" i="1"/>
  <c r="F47" i="1"/>
  <c r="G47" i="1" s="1"/>
  <c r="E49" i="1"/>
  <c r="F49" i="1" s="1"/>
  <c r="G49" i="1" s="1"/>
  <c r="E88" i="1"/>
  <c r="C175" i="2"/>
  <c r="E99" i="1"/>
  <c r="F99" i="1" s="1"/>
  <c r="G99" i="1" s="1"/>
  <c r="E71" i="1"/>
  <c r="F71" i="1" s="1"/>
  <c r="G71" i="1" s="1"/>
  <c r="C171" i="2"/>
  <c r="C167" i="2"/>
  <c r="E304" i="1" l="1"/>
  <c r="G116" i="1"/>
  <c r="F88" i="1"/>
  <c r="B281" i="1"/>
  <c r="B290" i="1"/>
  <c r="B288" i="1"/>
  <c r="B287" i="1"/>
  <c r="B286" i="1"/>
  <c r="B285" i="1"/>
  <c r="B284" i="1"/>
  <c r="B283" i="1"/>
  <c r="B282" i="1"/>
  <c r="B280" i="1"/>
  <c r="B279" i="1"/>
  <c r="F188" i="1"/>
  <c r="F285" i="1" s="1"/>
  <c r="E188" i="1"/>
  <c r="E285" i="1" s="1"/>
  <c r="F274" i="1"/>
  <c r="E274" i="1"/>
  <c r="F230" i="1"/>
  <c r="F306" i="1" s="1"/>
  <c r="E289" i="1"/>
  <c r="E129" i="1"/>
  <c r="C154" i="2"/>
  <c r="C150" i="2"/>
  <c r="C151" i="2" s="1"/>
  <c r="C146" i="2"/>
  <c r="C138" i="2"/>
  <c r="C140" i="2" s="1"/>
  <c r="E62" i="1"/>
  <c r="C123" i="2"/>
  <c r="C125" i="2" s="1"/>
  <c r="E54" i="1" s="1"/>
  <c r="F54" i="1" s="1"/>
  <c r="G54" i="1" s="1"/>
  <c r="C109" i="2"/>
  <c r="C89" i="2"/>
  <c r="C91" i="2" s="1"/>
  <c r="E14" i="1" s="1"/>
  <c r="F14" i="1" s="1"/>
  <c r="G14" i="1" s="1"/>
  <c r="C104" i="2"/>
  <c r="C106" i="2" s="1"/>
  <c r="D11" i="2"/>
  <c r="C11" i="2"/>
  <c r="E15" i="1"/>
  <c r="D6" i="2"/>
  <c r="C6" i="2"/>
  <c r="E267" i="1" s="1"/>
  <c r="C85" i="2"/>
  <c r="C87" i="2" s="1"/>
  <c r="F11" i="1" s="1"/>
  <c r="G11" i="1" s="1"/>
  <c r="C82" i="2"/>
  <c r="F62" i="1" l="1"/>
  <c r="F305" i="1" s="1"/>
  <c r="E305" i="1"/>
  <c r="G274" i="1"/>
  <c r="G88" i="1"/>
  <c r="G304" i="1" s="1"/>
  <c r="F304" i="1"/>
  <c r="F231" i="1"/>
  <c r="F289" i="1" s="1"/>
  <c r="G230" i="1"/>
  <c r="F169" i="1"/>
  <c r="F173" i="1" s="1"/>
  <c r="F135" i="1"/>
  <c r="F105" i="1"/>
  <c r="F103" i="1"/>
  <c r="F137" i="1"/>
  <c r="F96" i="1"/>
  <c r="F107" i="1"/>
  <c r="F52" i="1"/>
  <c r="F126" i="1"/>
  <c r="E107" i="1"/>
  <c r="E126" i="1"/>
  <c r="E96" i="1"/>
  <c r="E137" i="1"/>
  <c r="E103" i="1"/>
  <c r="E169" i="1"/>
  <c r="E173" i="1" s="1"/>
  <c r="E135" i="1"/>
  <c r="E105" i="1"/>
  <c r="E52" i="1"/>
  <c r="E11" i="2"/>
  <c r="E22" i="1"/>
  <c r="F247" i="1"/>
  <c r="F152" i="1"/>
  <c r="F27" i="1"/>
  <c r="F255" i="1"/>
  <c r="F214" i="1"/>
  <c r="F220" i="1" s="1"/>
  <c r="F15" i="1"/>
  <c r="F22" i="1"/>
  <c r="F129" i="1"/>
  <c r="F149" i="1"/>
  <c r="E152" i="1"/>
  <c r="E162" i="1" s="1"/>
  <c r="E27" i="1"/>
  <c r="E255" i="1"/>
  <c r="E214" i="1"/>
  <c r="E220" i="1" s="1"/>
  <c r="F267" i="1"/>
  <c r="F271" i="1" s="1"/>
  <c r="C90" i="2"/>
  <c r="C139" i="2"/>
  <c r="E78" i="1"/>
  <c r="F78" i="1" s="1"/>
  <c r="G78" i="1" s="1"/>
  <c r="E123" i="1"/>
  <c r="E139" i="1"/>
  <c r="F139" i="1" s="1"/>
  <c r="G139" i="1" s="1"/>
  <c r="E204" i="1"/>
  <c r="E206" i="1" s="1"/>
  <c r="E287" i="1" s="1"/>
  <c r="E247" i="1"/>
  <c r="F123" i="1"/>
  <c r="F204" i="1"/>
  <c r="F206" i="1" s="1"/>
  <c r="F287" i="1" s="1"/>
  <c r="E276" i="1"/>
  <c r="E292" i="1" s="1"/>
  <c r="F276" i="1"/>
  <c r="F292" i="1" s="1"/>
  <c r="C155" i="2"/>
  <c r="C147" i="2"/>
  <c r="G62" i="1" l="1"/>
  <c r="G305" i="1" s="1"/>
  <c r="E259" i="1"/>
  <c r="F259" i="1"/>
  <c r="E302" i="1"/>
  <c r="F302" i="1"/>
  <c r="E303" i="1"/>
  <c r="F303" i="1"/>
  <c r="E109" i="1"/>
  <c r="G231" i="1"/>
  <c r="G289" i="1" s="1"/>
  <c r="G306" i="1"/>
  <c r="G169" i="1"/>
  <c r="G135" i="1"/>
  <c r="G105" i="1"/>
  <c r="G52" i="1"/>
  <c r="G22" i="1"/>
  <c r="G103" i="1"/>
  <c r="G137" i="1"/>
  <c r="G126" i="1"/>
  <c r="G27" i="1"/>
  <c r="G96" i="1"/>
  <c r="G107" i="1"/>
  <c r="F291" i="1"/>
  <c r="E271" i="1"/>
  <c r="E291" i="1" s="1"/>
  <c r="F288" i="1"/>
  <c r="E288" i="1"/>
  <c r="F284" i="1"/>
  <c r="E284" i="1"/>
  <c r="G65" i="1"/>
  <c r="G302" i="1" s="1"/>
  <c r="F68" i="2"/>
  <c r="F66" i="2"/>
  <c r="F65" i="2"/>
  <c r="G29" i="2"/>
  <c r="G28" i="2"/>
  <c r="G27" i="2"/>
  <c r="G26" i="2"/>
  <c r="G25" i="2"/>
  <c r="G18" i="2"/>
  <c r="G17" i="2"/>
  <c r="G16" i="2"/>
  <c r="G15" i="2"/>
  <c r="G303" i="1" l="1"/>
  <c r="G140" i="1"/>
  <c r="G173" i="1"/>
  <c r="G284" i="1" s="1"/>
  <c r="E290" i="1"/>
  <c r="F67" i="2"/>
  <c r="F73" i="2" s="1"/>
  <c r="F74" i="2" s="1"/>
  <c r="F75" i="2" s="1"/>
  <c r="F76" i="2" s="1"/>
  <c r="F64" i="2"/>
  <c r="E79" i="1" s="1"/>
  <c r="F79" i="1" s="1"/>
  <c r="G79" i="1" s="1"/>
  <c r="F290" i="1"/>
  <c r="G19" i="2"/>
  <c r="G20" i="2" s="1"/>
  <c r="G21" i="2" s="1"/>
  <c r="G30" i="2"/>
  <c r="G31" i="2" s="1"/>
  <c r="G32" i="2" s="1"/>
  <c r="C83" i="2" l="1"/>
  <c r="C148" i="2"/>
  <c r="E77" i="1" s="1"/>
  <c r="E8" i="1"/>
  <c r="C111" i="2"/>
  <c r="E34" i="1" s="1"/>
  <c r="F34" i="1" s="1"/>
  <c r="G34" i="1" s="1"/>
  <c r="E36" i="1"/>
  <c r="F36" i="1" s="1"/>
  <c r="G36" i="1" s="1"/>
  <c r="G34" i="2"/>
  <c r="F8" i="1" l="1"/>
  <c r="E41" i="1"/>
  <c r="F77" i="1"/>
  <c r="G77" i="1" s="1"/>
  <c r="E80" i="1"/>
  <c r="E196" i="1"/>
  <c r="E199" i="1" s="1"/>
  <c r="F153" i="1"/>
  <c r="F162" i="1" s="1"/>
  <c r="E283" i="1"/>
  <c r="E119" i="1"/>
  <c r="E140" i="1" s="1"/>
  <c r="G8" i="1" l="1"/>
  <c r="G41" i="1" s="1"/>
  <c r="G279" i="1" s="1"/>
  <c r="F41" i="1"/>
  <c r="E301" i="1"/>
  <c r="F283" i="1"/>
  <c r="G153" i="1"/>
  <c r="F196" i="1"/>
  <c r="E286" i="1"/>
  <c r="E281" i="1"/>
  <c r="E280" i="1"/>
  <c r="F75" i="1"/>
  <c r="F279" i="1"/>
  <c r="F119" i="1"/>
  <c r="F140" i="1" s="1"/>
  <c r="E282" i="1"/>
  <c r="E279" i="1"/>
  <c r="E307" i="1" l="1"/>
  <c r="E310" i="1" s="1"/>
  <c r="E314" i="1"/>
  <c r="E311" i="1" s="1"/>
  <c r="G162" i="1"/>
  <c r="G283" i="1" s="1"/>
  <c r="F301" i="1"/>
  <c r="F199" i="1"/>
  <c r="F286" i="1" s="1"/>
  <c r="G196" i="1"/>
  <c r="G199" i="1" s="1"/>
  <c r="F109" i="1"/>
  <c r="F281" i="1" s="1"/>
  <c r="G109" i="1"/>
  <c r="G281" i="1" s="1"/>
  <c r="F80" i="1"/>
  <c r="F280" i="1" s="1"/>
  <c r="G75" i="1"/>
  <c r="G80" i="1" s="1"/>
  <c r="G280" i="1" s="1"/>
  <c r="E293" i="1"/>
  <c r="E315" i="1" l="1"/>
  <c r="F307" i="1"/>
  <c r="F310" i="1" s="1"/>
  <c r="F314" i="1"/>
  <c r="F311" i="1" s="1"/>
  <c r="F315" i="1" s="1"/>
  <c r="G282" i="1"/>
  <c r="G301" i="1"/>
  <c r="G286" i="1"/>
  <c r="G307" i="1" l="1"/>
  <c r="G310" i="1" s="1"/>
  <c r="G314" i="1"/>
  <c r="G311" i="1" s="1"/>
  <c r="G315" i="1" l="1"/>
  <c r="G276" i="1"/>
  <c r="G292" i="1" s="1"/>
  <c r="G293" i="1" s="1"/>
  <c r="F282" i="1"/>
  <c r="F293" i="1" s="1"/>
</calcChain>
</file>

<file path=xl/sharedStrings.xml><?xml version="1.0" encoding="utf-8"?>
<sst xmlns="http://schemas.openxmlformats.org/spreadsheetml/2006/main" count="1003" uniqueCount="583">
  <si>
    <r>
      <t>ԿՅԱՆՔԻ</t>
    </r>
    <r>
      <rPr>
        <b/>
        <sz val="9"/>
        <color rgb="FF000000"/>
        <rFont val="GHEA Grapalat"/>
      </rPr>
      <t xml:space="preserve"> ԻՐԱՎՈՒՆՔ</t>
    </r>
  </si>
  <si>
    <r>
      <t>Նպատակ.</t>
    </r>
    <r>
      <rPr>
        <sz val="8"/>
        <color rgb="FF000000"/>
        <rFont val="GHEA Grapalat"/>
      </rPr>
      <t xml:space="preserve"> Ապահովել պետության պաշտպանության ներքո գտնվող և ընտանեկան բռնության ենթարկված անձանց կյանքի իրավունքը </t>
    </r>
  </si>
  <si>
    <r>
      <t>Խնդիր.</t>
    </r>
    <r>
      <rPr>
        <sz val="8"/>
        <color rgb="FF000000"/>
        <rFont val="GHEA Grapalat"/>
      </rPr>
      <t xml:space="preserve"> Մահացության դեպքերի թվի կրճատում և թիրախային խմբերի պաշտպանվածության մակարդակի բարձրացում</t>
    </r>
  </si>
  <si>
    <t>Գ թիվ</t>
  </si>
  <si>
    <t>Գործողություն</t>
  </si>
  <si>
    <t>Ակնկալվող անմիջական արդյունք</t>
  </si>
  <si>
    <t>Ակնկալվող ազդեցություն</t>
  </si>
  <si>
    <t>Վերջնաժամկետ</t>
  </si>
  <si>
    <t>Ֆինանսավորում</t>
  </si>
  <si>
    <t>Վերապատրաստումներ (դասընթացներ) իրականացնել կյանքի իրավունքի թեմայով՝ միջազգային չափանիշներին համապատասխան, այդ թվում` ԶՈւ հրամանատարների, ռազմական ոստիկանների, քննիչների, դատախազների, դատավորների, փաստաբանների և քրեակատարողական ծառայության ծառայողների համար</t>
  </si>
  <si>
    <t>1. Վերապատրաստվել է հրամատարների 18%-ը</t>
  </si>
  <si>
    <t>2. «Մարդու իրավունքները զինված ուժերում» առարկան ներառել Վ.Սարգսյանի անվան ռազմական համալսարանի Սպաների որակավորման բարձրացման կենտրոնի (ՍՈԲԿ) և հրամանատարա-շտաբային ֆակուլտետի (ՀՇՖ) ուսումնական ծրագրերում</t>
  </si>
  <si>
    <t>Նվազել են ԶՈՒ-ում մահվան դեպքերը</t>
  </si>
  <si>
    <t>2020-2022թթ. պարբերաբար</t>
  </si>
  <si>
    <t>Պետական բյուջե</t>
  </si>
  <si>
    <t>Նվազել են ԶՈւ-ում մահվան դեպքերը, դրանց վերաբերյալ քրեական գործերով հետաքննության ընթացքում մարդու իրավունքների խախտումները</t>
  </si>
  <si>
    <t>Վերապատրաստվել է քննիչների 8%-ը</t>
  </si>
  <si>
    <t>Նվազել են ԶՈւ-ում և ՔԿՀ-ներում մահվան դեպքերի վերաբերյալ քրեական գործերով նախաքննության ընթացքում մարդու իրավունքների խախտումները</t>
  </si>
  <si>
    <t>Նվազել են ԶՈւ-ում և ՔԿՀ-ներում մահվան դեպքերը, դրանց վերաբերյալ քրեական գործերով մինչդատական քննության ընթացքում մարդու իրավունքների խախտումները</t>
  </si>
  <si>
    <t>Վերապատրաստվել է դատավորների 41%-ը</t>
  </si>
  <si>
    <t>ԶՈւ-ում և ՔԿՀ-ներում մահվան դեպքերի վերաբերյալ քրեական գործերով նվազել են դատական քննության ընթացքում մարդու իրավունքների խախտման դեպքերը</t>
  </si>
  <si>
    <t>Վերապատրաստվել է քրեակատարողական ծառայողների 25%-ը</t>
  </si>
  <si>
    <t>Նվազել են ՔԿՀ-ներում մահվան դեպքերը</t>
  </si>
  <si>
    <t>Բարձրացնել կյանքի իրավունքի վերաբերյալ զորակոչիկների, զինծառայողների և ազատությունից զրկված անձանց իրազեկությունը</t>
  </si>
  <si>
    <r>
      <t>1.1 Զորամասերում և զինկոմիսարիատներում իրականացվել է կյանքի իրավունքի վերաբերյալ թվով</t>
    </r>
    <r>
      <rPr>
        <sz val="8"/>
        <color rgb="FFFF0000"/>
        <rFont val="GHEA Grapalat"/>
      </rPr>
      <t xml:space="preserve"> </t>
    </r>
    <r>
      <rPr>
        <sz val="8"/>
        <color theme="1"/>
        <rFont val="GHEA Grapalat"/>
      </rPr>
      <t>15 իրազեկման ակցիա</t>
    </r>
  </si>
  <si>
    <t>1.2 Մշակվել և տարածվել են զորամասերում, զինկոմիսարիատներում  մարդու իրավունքների վերաբերյալ առնվազն 3 տեղեկատվական նյութ, այդ թվում` իրավունքների պաշտպանության միջոցների մասին</t>
  </si>
  <si>
    <t>1.3 Մշակվել և զանգվածային լրատվության միջոցներով տարածվել են զինված ուժերում մարդու իրավունքների վերաբերյալ առնվազն 3 տեսաձայնագրություն</t>
  </si>
  <si>
    <r>
      <t>2.ՔԿՀ-ների 100%-ում փակցվել են մարդու իրավունքների (կյանքի իրավունք, խոշտանգումների արգելք) վերաբերյալ պաստառներ</t>
    </r>
    <r>
      <rPr>
        <u/>
        <sz val="8"/>
        <color rgb="FF008080"/>
        <rFont val="GHEA Grapalat"/>
      </rPr>
      <t xml:space="preserve"> </t>
    </r>
  </si>
  <si>
    <t>2.1 Մշակվել և տարածվել են ՔԿՀ-ներում մարդու իրավունքների վերաբերյալ առնվազն 10 տեղեկատվական նյութ, այդ թվում` իրավունքների պաշտպանության միջոցների մասին</t>
  </si>
  <si>
    <t xml:space="preserve">2.2 Մշակվել և զանգվածային լրատվության միջոցներով տարածվել են ՔԿՀ-ներում մարդու իրավունքների վերաբերյալ առնվազն 3 տեսաձայնագրություն </t>
  </si>
  <si>
    <t>Նվազել են ԶՈւ-ում և ՔԿՀ-ներում մահվան դեպքերը</t>
  </si>
  <si>
    <t xml:space="preserve">ԶՈւ-ում ամրապնդել հանդուրժողականության և փոխադարձ հարգանքի մթնոլորտը </t>
  </si>
  <si>
    <t>ԶՈւ-ում նվազել են ոչ կանոնադրային հարաբերությունների հետևանքով մահվան դեպքերը</t>
  </si>
  <si>
    <r>
      <t xml:space="preserve">Ընդունվել են ԶՈւ-ում և ՔԿՀ-ներում մահվան դեպքերի արագ և թափանցիկ քննության վերաբերյալ գերատեսչական ակտեր (ուղեցույցներ)` քննչական և դատավարական գործողությունների </t>
    </r>
    <r>
      <rPr>
        <b/>
        <sz val="8"/>
        <color rgb="FF000000"/>
        <rFont val="GHEA Grapalat"/>
      </rPr>
      <t>Վերջնաժամկետ</t>
    </r>
    <r>
      <rPr>
        <sz val="8"/>
        <color rgb="FF000000"/>
        <rFont val="GHEA Grapalat"/>
      </rPr>
      <t>ների, եղանակների, տուժողների իրավահաջորդների/ներկայացուցիչների և հանրությանը իրազեկման պարբերականության վերաբերյալ</t>
    </r>
  </si>
  <si>
    <t>Նվազել են ԶՈւ-ում և ՔԿՀ-ներում մահվան դեպքերի վերաբերյալ քրեական գործերով մինչդատական վարույթի ընթացքում մարդու իրավունքների խախտման դեպքերը</t>
  </si>
  <si>
    <t>2022թ. առաջին կիսամյակ</t>
  </si>
  <si>
    <t>Քրեականացնել ընտանեկան բռնությունը և կանանց նկատմամբ բռնությունը՝ միջազգային չափանիշներին համապատասխան</t>
  </si>
  <si>
    <t>Ավելացել է քրեաիրավական արդյունավետ պաշտպանություն ստացած անձանց քանակը, որոնք տուժել են ընտանեկան բռնությունից</t>
  </si>
  <si>
    <t>Նվազել են ընտանեկան բռնության դեպքերով, նյութաիրավական հիմքերի բացակայության պատճառով, միջազգային չափանիշներին հակառակ, քրեական գործի հարուցումը մերժելու կամ դրանք կարճելու մասին որոշումները</t>
  </si>
  <si>
    <t>Օրենսդրորեն ամրագրել ընտանեկան բռնությունից և կանանց նկատմամբ բռնությունից տուժած անձանց արդյունավետ պաշտպանության դատավարական երաշխիքները` միջազգային չափանիշներին համապատասխան</t>
  </si>
  <si>
    <t>1. Կատարվել է վերլուծություն` Քրեական դատավարության օրենսգրքի` միջազգային չափանիշներին համապատասխանության տեսանկյունից</t>
  </si>
  <si>
    <t>2. Քրեական դատավարության օրենսգրքում փոփոխություններ և լրացումներ կատարելու մասին օրենքի նախագիծն ուղարկվել է Ազգային ժողով</t>
  </si>
  <si>
    <t>Նվազել են ընտանեկան բռնության դեպքերով միջազգային չափանիշներին հակառակ` նյութաիրավական հիմքերի և/կամ դատավարական երաշխիքների բացակայության պատճառով քրեական գործի հարուցումը մերժելու կամ դրանք կարճելու մասին որոշումները</t>
  </si>
  <si>
    <t>Վերապատրաստումներ իրականացնել ընտանեկան բռնության և կանանց նկատմամբ բռնության թեմաներով` միջազգային չափանիշներին համապատասխան, այդ թվում` ոստիկանների, քննիչների, դատախազների, դատավորների համար, ընտանեկան բռնության ենթարկված անձանց աջակցության կենտրոնների աշխատակիցների համար</t>
  </si>
  <si>
    <t>Վերապատրաստվել է ոստիկանների 10%-ը</t>
  </si>
  <si>
    <t>Նվազել են ընտանեկան բռնության և կանանց նկատմամբ բռնության հետևանքով մահվան դեպքերը, դրանց վերաբերյալ քրեական գործերով հետաքննության ընթացքում մարդու իրավունքների խախտումները</t>
  </si>
  <si>
    <t>Վերապատրաստվել է քննիչների 23%-ը</t>
  </si>
  <si>
    <t>Նվազել են ընտանեկան բռնության և կանանց նկատմամբ բռնության դեպքերի վերաբերյալ քրեական գործերով նախաքննության ընթացքում մարդու իրավունքների խախտման դեպքերը</t>
  </si>
  <si>
    <t>Նվազել են ընտանեկան բռնության և կանանց նկատմամբ բռնության դեպքերի վերաբերյալ քրեական գործերով մինչդատական վարույթի ընթացքում մարդու իրավունքների խախտման դեպքերը</t>
  </si>
  <si>
    <t>Վերապատրաստվել է դատավորների 61%-ը</t>
  </si>
  <si>
    <t>Նվազել են ընտանեկան բռնության և կանանց նկատմամբ բռնության դեպքերի վերաբերյալ քրեական գործերով դատական քննության ընթացքում մարդու իրավունքների խախտման դեպքերը</t>
  </si>
  <si>
    <t>Վերապատրաստվել է ընտանեկան բռնության ենթարկված անձանց աջակցության կենտրոնների աշխատակիցների 90%-ը</t>
  </si>
  <si>
    <t>Նվազել են ընտանեկան բռնության և կանանց նկատմամբ բռնության դեպքերը</t>
  </si>
  <si>
    <t>Վերապատրաստվել է կրթական հաստատությունների ներկայացուցիչների %</t>
  </si>
  <si>
    <t>Նվազել են ընտանեկան բռնության և երեխաների նկատմամբ բռնության դեպքերը</t>
  </si>
  <si>
    <t>Նվազել են ընտանեկան բռնության հետևանքով մահվան դեպքերը</t>
  </si>
  <si>
    <t>2020 թ. առաջին կիսամյակ</t>
  </si>
  <si>
    <t>Ընդունել ընտանեկան բռնության դեմ պայքարի վերաբերյալ ռազմավարություն և գործողությունների ծրագիր</t>
  </si>
  <si>
    <t>Ընդունվել է ընտանեկան բռնության դեմ պայքարի ռազմավարությունը և գործողությունների ծրագիրը հաստատելու մասին կառավարության որոշում</t>
  </si>
  <si>
    <t>Նվազել են ընտանեկան բռնության և կանանց նկատմամբ բռնության հետևանքով մահվան դեպքերը</t>
  </si>
  <si>
    <t>2020թ. երկրորդ կիսամյակ</t>
  </si>
  <si>
    <t>Ընդունվել է տարեցների նկատմամբ բռնության դեմ պայքարի վերաբերյալ ռազմավարությունը և գործողությունների ծրագիրը հաստատելու մասին կառավարության որոշում</t>
  </si>
  <si>
    <t>Նվազել են տարեցների նկատմամբ բռնության հետևանքով մահվան դեպքերը</t>
  </si>
  <si>
    <t>Խոշտանգումների արգելք</t>
  </si>
  <si>
    <r>
      <t>Նպատակ.</t>
    </r>
    <r>
      <rPr>
        <sz val="8"/>
        <color rgb="FF000000"/>
        <rFont val="GHEA Grapalat"/>
      </rPr>
      <t xml:space="preserve"> Կանխարգելել խոշտանգումների և վատ վերաբերմունքի դեպքերը</t>
    </r>
  </si>
  <si>
    <r>
      <t>Խնդիր</t>
    </r>
    <r>
      <rPr>
        <sz val="8"/>
        <color rgb="FF000000"/>
        <rFont val="GHEA Grapalat"/>
      </rPr>
      <t xml:space="preserve">. Արդյունավետ քննության միջոցով խոշտանգումների և վատ վերաբերմունքի դեպքերի նվազում </t>
    </r>
  </si>
  <si>
    <t>1. ՀՀ Ոստիկանության 12 բաժիններում տեղադրվել են տեսախցիկներ</t>
  </si>
  <si>
    <t>2. ՀՀ Ոստիկանության 22 բաժիններում տեղադրվել են տեսախցիկներ</t>
  </si>
  <si>
    <t>Նվազել են ՀՀ Ոստիկանությանբաժիններում խոշտանգումների, անմադրկային կամ արժանապատվությունը նվաստացնող վերաբերմունքի դեպքերը, տեսաձայնագրություններն օգտագործվել են որպես ապացույց` այդ դեպքերի վերաբերյալ քրեական գործերով</t>
  </si>
  <si>
    <t>2021թ. երկրորդ կիսամյակ</t>
  </si>
  <si>
    <t>Ձեռք բերել ձերբակալված և կալանավորված անձանց (այդ թվում՝ հատուկ կարիքներ և հաշմանդամություն ունեցող անձանց) տեղափոխող հատուկ տրանսպորտային միջոցներ՝ միջազգային չափանիշներին համապատասխան</t>
  </si>
  <si>
    <t>Ձեռք է բերվել 44 տրանսպորտային միջոց` նախատեսված ազատությունից զրկված անձանց (այդ թվում՝ հատուկ կարիքներ և հաշմանդամություն ունեցող անձանց) տեղափոխման համար</t>
  </si>
  <si>
    <t>Նվազել են ձերբակալված և կալանավորված անձանց նկատմամբ վատ վերաբերմունքի դեպքերը</t>
  </si>
  <si>
    <r>
      <t> </t>
    </r>
    <r>
      <rPr>
        <sz val="8"/>
        <color rgb="FF000000"/>
        <rFont val="GHEA Grapalat"/>
      </rPr>
      <t>13</t>
    </r>
  </si>
  <si>
    <t>Օրենսդրորեն ամրագրել վաղեմության ժամկետի կիրառման սահմանափակումներ խոշտանգման հանցանքի նկատմամբ</t>
  </si>
  <si>
    <t>Քրեական օրենսգրքում փոփոխություններ և լրացումներ կատարելու կատարելու մասին օրենքի նախագիծն ուղարկվել է Ազգային ժողով</t>
  </si>
  <si>
    <t>Նվազել են խոշտանգման դեպքերը, դրանց վերաբերյալ քրեական գործերով քրեական գործի հարուցումը մերժելու կամ դրանք կարճելու մասին որոշումները</t>
  </si>
  <si>
    <t>Մշակել «ֆիզիկական ուժեղ ցավ» և «հոգեկան տառապանք» եզրույթների մեկնաբանման և կիրառման վերաբերյալ ուղեցույցներ՝ միջազգային չափանիշներին համապատասխան</t>
  </si>
  <si>
    <t>1. Կատարվել է ուսումնասիրություն խոշտանգումների համատեքստում «ֆիզիկական ուժեղ ցավ» և « հոգեկան տառապանք» եզրույթների սահմանումների, դրսևորումների վերաբերյալ</t>
  </si>
  <si>
    <t>2021թ. առաջին կիսամյակ</t>
  </si>
  <si>
    <t>Վերանորոգել ՔԿՀ-ների խցերը՝ միջազգային չափորոշիչներին համապատասխան</t>
  </si>
  <si>
    <t>Բարելավվել են ազատությունից զրկված անձանց պահման պայմանները: Նվազել են ազատությունից զրկված անձանց նկատմամբ անմարդակային կամ արժանապատվությունը նվաստացնող վերաբերմունքի ցուցաբերման ռիսկերը:</t>
  </si>
  <si>
    <t>Կահավորել ՔԿՀ-ներում հատուկ խցեր՝ ինքնասպանության հակում ունեցող անձանց համար</t>
  </si>
  <si>
    <t>Առնվազն 2 ՔԿՀ-ում կահավորվել են հատուկ խցեր</t>
  </si>
  <si>
    <t>Նվազել են ՔԿՀ-ներում ինքնասպանության դեպքերը</t>
  </si>
  <si>
    <t>Ստեղծել խոշտանգումների, անմարդկային կամ արժանապատվությունը նվաստացնող վերաբերմունքի մասին անանուն հաղորդումներ ներկայացնելու մեխանիզմ</t>
  </si>
  <si>
    <t>ԶՈւ-ում ներդրվել են խոշտանգումների, անմարդկային կամ արժանապատվությունը նվաստացնող վերաբերմունքի մասին անանուն հաղորդումներ ներկայացնելու միջոցներ</t>
  </si>
  <si>
    <t>Նվազել են ԶՈւ-ում խոշտանգումների, անմարդկային կամ արժանապատվությունը նվաստացնող վերաբերմունքի դեպքերը</t>
  </si>
  <si>
    <t>2022 թ. առաջին կիսամյակ</t>
  </si>
  <si>
    <t>ՔԿՀ-ներում ներդրվել են խոշտանգումների, անմարդկային կամ արժանապատվությունը նվաստացնող վերաբերմունքի մասին անանուն հաղորդումներ ներկայացնելու միջոցներ</t>
  </si>
  <si>
    <t>Նվազել են ՔԿՀ--ներում խոշտանգումների, անմարդկային կամ արժանապատվությունը նվաստացնող վերաբերմունքի դեպքերը</t>
  </si>
  <si>
    <t>Հոգեբուժական հաստատություններում ներդրվել են խոշտանգումների, անմարդկային կամ արժանապատվությունը նվաստացնող վերաբերմունքի մասին անանուն հաղորդումներ ներկայացնելու միջոցներ</t>
  </si>
  <si>
    <t>Նվազել են հոգեբուժական հաստատություններում խոշտանգումների, անմարդկային կամ արժանապատվությունը նվաստացնող վերաբերմունքի դեպքերը</t>
  </si>
  <si>
    <t>Երեխաների խնամքի հաստատություններում ներդրվել են խոշտանգումների, անմարդկային կամ արժանապատվությունը նվաստացնող վերաբերմունքի մասին անանուն հաղորդումներ ներկայացնելու միջոցներ</t>
  </si>
  <si>
    <t>Նվազել են Երեխաների խնամքի հաստատություններում խոշտանգումների, անմարդկային կամ արժանապատվությունը նվաստացնող վերաբերմունքի դեպքերը</t>
  </si>
  <si>
    <t>Խոշտանգման և այլ վատ վերաբերմունքի զոհերը պետության կողմից ապահվվում են վերականգնողական ծառայություններով, այդ թվում՝ բժշկական, հոգեբանական, սոցիալական և իրավական</t>
  </si>
  <si>
    <t>Ստեղծվել են երաշխիքներ խոշտանգման զոհերի իրավունքների վերականգնման ուղղությամբ</t>
  </si>
  <si>
    <t>Ավելացնել ապաստան հայցող անձանց համար նախատեսված սենյակների քանակը</t>
  </si>
  <si>
    <t>Ապաստան հայցող անձանց համար նախատեսված սենյակների թիվն ավելացել է 100-ով</t>
  </si>
  <si>
    <t>Նվազել են ապաստան հայցող անձանց նկատմամբ անմարդկային կամ արժանապատվությունը նվաստացնող վերաբերմունքի դեպքերը</t>
  </si>
  <si>
    <t>2020թ. առաջին կիսամյակ</t>
  </si>
  <si>
    <t>Բարելավել ձերբակալված և կալանավոված անձանց դատարաններում պահելու համար նախատեսված խցերի պայմանները` միջազգային չափանիշներին համապատասխան</t>
  </si>
  <si>
    <t xml:space="preserve">Նվազել են ազատությունից զրկված անձանց նկատմամբ անմարդկային կամ արժանապատվությունը նվաստացնող վերաբերմունքի դեպքերը </t>
  </si>
  <si>
    <t>Հատուկ քննչական ծառայության անձնակազմը համալրել օպերատիվ աշխատակիցներով</t>
  </si>
  <si>
    <t>Հատուկ քննչական ծառայության կազմում ստեղծվել է օպերատիվ-հետախուզական ստորաբաժանում և համալրվել առնվազն 3 օպերատիվ աշխատակիցներով</t>
  </si>
  <si>
    <t>Բարձրացել է քրեական  գործերի քննության արդյունավետությունը՝ բացառելով հետաքննության այլ մարմնի աշխատակիցներին դիմելու անհրաժեշտությունը</t>
  </si>
  <si>
    <t>Բարձրացնել հոգեկան առողջության խնդիրներ ունեցող անձանց իրավունքների վերաբերյալ իրազեկությունը</t>
  </si>
  <si>
    <t>Նվազել են հոգեկան առողջության խնդիրներ ունեցող անձանց նկատմամբ անմարդկային կամ արժանապատվությունը նվաստացնող վերաբերմունքի, այլ իրավունքների խախտումների դեպքերը</t>
  </si>
  <si>
    <t>Օրենսդրորեն արգելել երեխայի նկատմամբ մարմնական պատիժները</t>
  </si>
  <si>
    <t>«Երեխայի իրավունքների մասին» ՀՀ օրենքում փոփոխություններ և լրացումներ կատարելու մասին օրենքի նախագիծն ուղարկվել է Ազգային ժողով</t>
  </si>
  <si>
    <t>Նվազել են երեխաների նկատմամբ բռնության դեպքերը</t>
  </si>
  <si>
    <t>Վերապատրաստումներ իրականացնել խոշտանգումների, անմարդկային կամ արժանապատվությունը նվաստացնող վերաբերմունքի թեմայով` միջազգային չափանիշներին համապատասխան, այդ թվում` ոստիկանների, ռազմական ոստիկանների, քննիչների, դատախազների, դատավորների, հոգեբուժական, երեխաների խնամքի հաստատությունների աշխատողների, քրեակատարողական ծառայության ծառայողների և բժշկական անձնակազմի համար</t>
  </si>
  <si>
    <t>Վերապատրաստվել է ոստիկանների 21%-ը</t>
  </si>
  <si>
    <t>Նվազել են ազատությունից զրկված անձանց, ՀՀ Ոստիկանությանբաժիններում գտնվող անձանց նկատմամբ խոշտանգումների, անմարդկային կամ արժանապատվությունը նվաստացնող վերաբերմունքի դեպքերը</t>
  </si>
  <si>
    <t>Վերապատրաստվել է ռազմական ոստիկանների 35%-ը</t>
  </si>
  <si>
    <t>Նվազել են ռազմական ՀՀ Ոստիկանությանբաժիններում գտնվող անձանց նկատմամբ խոշտանգումների, անմարդկային կամ արժանապատվությունը նվաստացնող վերաբերմունքի դեպքերը</t>
  </si>
  <si>
    <t>Վերապատրաստվել է քննիչների 51%-ը</t>
  </si>
  <si>
    <t>Նվազել են ազատությունից զրկված անձանց, քրեական դատավարության այլ մասնակիցների նկատմամբ խոշտանգումների, անմարդկային կամ արժանապատվությունը նվաստացնող վերաբերմունքի դեպքերը</t>
  </si>
  <si>
    <t>Վերապատրաստվել է դատավորների 10%-ը</t>
  </si>
  <si>
    <t>Նվազել են հոգեբուժական հաստատություններում գտնվող անձանց նկատմամբ խոշտանգումների, անմարդկային կամ արժանապատվությունը նվաստացնող վերաբերմունքի դեպքերը</t>
  </si>
  <si>
    <t>Նվազել են երեխայի խնամքի հաստատություններում գտնվող երեխաների նկատմամբ խոշտանգումների, անմարդկային կամ արժանապատվությունը նվաստացնող վերաբերմունքի դեպքերը</t>
  </si>
  <si>
    <t>ՎԵրապատրաստվել է ՔԿՀ ծառայողների 25%</t>
  </si>
  <si>
    <t>Վերապատրաստվել է ՔԿՀ-ներում աշխատող բժշկական անձնակազմի անդամների 25%-ը</t>
  </si>
  <si>
    <t>Նվազել են ազատությունից զրկված անձանց նկատմամբ խոշտանգումների, անմարդկային կամ արժանապատվությունը նվաստացնող վերաբերմունքի դեպքերը, ավելացել է խոշտանգումների և վատ վերաբերմունքի բացահայտված դեպքերի քանակը</t>
  </si>
  <si>
    <t xml:space="preserve"> </t>
  </si>
  <si>
    <t>Գործի արդար քննության իրավունք</t>
  </si>
  <si>
    <r>
      <t>Նպատակ.</t>
    </r>
    <r>
      <rPr>
        <sz val="8"/>
        <color rgb="FF000000"/>
        <rFont val="GHEA Grapalat"/>
      </rPr>
      <t xml:space="preserve"> Ապահովել դատավարության մասնակիցների իրավունքների արդյունավետ պաշտպանությունը </t>
    </r>
  </si>
  <si>
    <r>
      <t>Խնդիր</t>
    </r>
    <r>
      <rPr>
        <sz val="8"/>
        <color rgb="FF000000"/>
        <rFont val="GHEA Grapalat"/>
      </rPr>
      <t>. Մեղադրյալ անձանց նկատմամբ մարդու իրավունքների խախտումների քանակի և բողոքների նվազում</t>
    </r>
  </si>
  <si>
    <t>Ձեռք բերել քննչական և դատավարական գործողությունների տեսաձայնագրման տեխնիկական միջոցներ</t>
  </si>
  <si>
    <t>Նվազել են քրեական գործերի մինչդատական վարույթում քրեական դատավարության մասնակիցների իրավունքների խախտումները, ապացույցների` քննչական և դատավարական գործողությունների իրականացման կարգի խախտմամբ ձեռքբերման դեպքերը</t>
  </si>
  <si>
    <t>ՀՀ քննչական կոմիտեի թվով 85 ստորաբաժանումներում առկա են տեսաձայնագրման միջոցներ</t>
  </si>
  <si>
    <t>ՀՀ հատուկ քննչական ծառայությունում առկա են տեսաձայնագրման միջոցներ</t>
  </si>
  <si>
    <t>ՀՀ քննչական կոմիտեի թվով 10 ստորաբաժանումներում ստեղծվել են ճանաչման ներկայացնելու և առերեսման քննչական գործողությունները մասնակիցների՝ միմյանց տեսողական ընկալումից դուրս իրականացման համար նախատեսված սենյակ</t>
  </si>
  <si>
    <t>Նվազել են ճանաչման ներկայացնելու և առերեսման ժամանակ համապատասխանաբար ճանաչողի և ճանաչվողի, առերեսվողների (հարցաքննվողների) իրավունքների խախտման դեպքերը</t>
  </si>
  <si>
    <t>Հատուկ քննչական ծառայության թվով 2 ստորաբաժանումներում ստեղծվել են ճանաչման ներկայացնելու և առերեսման քննչական գործողությունները մասնակիցների՝  միմյանց տեսողական ընկալումից դուրս իրականացման համար նախատեսված սենյակ</t>
  </si>
  <si>
    <t>Օրենսդրորեն ամրագրել գրավի՝ որպես այլընտրանքային խափանման միջոցի կիրառման հստակ չափանիշներ</t>
  </si>
  <si>
    <t>Քրեական դատավարության օրենսգրքում փոփոխություններ և լրացումներ կատարելու մասին օրենքի նախագիծն ուղարկվել է Ազգային ժողով</t>
  </si>
  <si>
    <t>Նվազել են կալանավորման` որպես խափանման միջոցի կիրառման և գրավի հայեցողական կիրառման դեպքերը</t>
  </si>
  <si>
    <t>Օրենսդրորեն սահմանել բացատրություն վերցնելու կարգը</t>
  </si>
  <si>
    <t>Իրավական ակտի նախագիծն ուղարկվել է Ազգային ժողով</t>
  </si>
  <si>
    <t>Նվազել են բացատրություն վերցնելու շրջանակներում մարդու իրավունքների խախտման դեպքերը</t>
  </si>
  <si>
    <t>Նվազել են բերման ենթարկելու շրջանակներում մարդու իրավունքների խախտման դեպքերը</t>
  </si>
  <si>
    <t>Օրենսդրորեն ամրագրել «հանցագործության մասին հաղորդման» հասկացությունը՝ հստակեցնելով հաղորդման բովանդակությանը ներկայացվող պահանջները</t>
  </si>
  <si>
    <t>Նվազել են հանցագործությունից տուժած անձանց իրավունքների խախտման, միջազգային չափանիշներին հակառակ քրեական գործի հարուցումը մերժելու մասին որոշումների քանակը</t>
  </si>
  <si>
    <t>Օրենսդրորեն ամրապնդել իրավապաշտպան գործունեություն իրականացնող անձանց քրեաիրավական պաշտպանության երաշխիքները</t>
  </si>
  <si>
    <t>1. Կատարվել է ուսումնասիրություն իրավապաշտպան գործունեությյուն իրականացնող անձանց քրեաիրավական պաշտպանությանն առնչվող միջազգային չափանիշների և լավագույն փորձի վերաբերյալ</t>
  </si>
  <si>
    <t>2. Քրեական օրենսգրքում փոփոխություններ և լրացումներ կատարելու մասին օրենքի նախագիծն ուղարկվել է Ազգային ժողով</t>
  </si>
  <si>
    <t>Նվազել են իրավապաշտպան գործունեություն իրականացնող անձանց իրավունքների խախտման դեպքերը</t>
  </si>
  <si>
    <t>Վերապատրաստումներ իրականացնել գործի արդարացի քննության իրավունքի թեմայով` միջազգային չափանիշներին համապատասխան, այդ թվում` ոստիկանների, ռազմական ոստիկանների, քննիչների, դատախազների, դատավորների, փաստաբանների համար</t>
  </si>
  <si>
    <t>Նվազել են ՀՀ Ոստիկանությանկողմից քրեական գործի քննության մինչդատական վարույթում գործի արդարացի քննության իրավունքի խախտման դեպքերը</t>
  </si>
  <si>
    <t>Վերապատրաստվել է ռազմական ոստիկանների 30%-ը</t>
  </si>
  <si>
    <t>Նվազել են ռազմական ՀՀ Ոստիկանությանկողմից քրեական գործի քննության մինչդատական վարույթում գործի արդարացի քննության իրավունքի խախտման դեպքերը</t>
  </si>
  <si>
    <t>Վերապատրաստվել է ՀՔԾ քննիչների 11%-ը</t>
  </si>
  <si>
    <t>Նվազել են քրեական գործի նախաքննության փուլում գործի արդարացի քննության իրավունքի խախտման դեպքերը</t>
  </si>
  <si>
    <t>Նվազել են քրեական գործի մինչդատական վարույթում գործի արդարացի քննության իրավունքի խախտման դեպքերը</t>
  </si>
  <si>
    <t>Նվազել են գործի արդարացի քննության իրավունքի խախտման դեպքերը քրեական, քաղաքացիական և վարչական գործերով</t>
  </si>
  <si>
    <t>Կատարելագործել վարույթն իրականացնող մարմին ներկայանալու վերաբերյալ անձի ծանուցմանը վերաբերող օրենսդրական կարգավորումները</t>
  </si>
  <si>
    <t>1. Կատարվել է ուսումնասիրություն գույքի վրա կալանք դնելու միջոցառման՝ միջազգային չափանիշներին և լավագույն փորձին համապատասխանության տեսանկյունից</t>
  </si>
  <si>
    <t>Նվազել են քրեական վարույթն իրականացնող մարմնի կողմից ծանուցման հետ կապված մարդու իրավունքների խախտման դեպքերը</t>
  </si>
  <si>
    <t>Կատարելագործել գույքի վրա կալանք դնելու քրեադատավարական միջոցառման վերաբերյալ օրենսդրական կարգավորումները</t>
  </si>
  <si>
    <t>Նվազել են գույքի վրա կալանք դնելու արդյունքում մարդու իրավունքների խախտման դեպքերը</t>
  </si>
  <si>
    <t>Կատարելագործել օպերատիվ-հետախուզական միջոցառումների իրականացման, ձեռք բերված տվյալների օգտագործման օրենսդրական հիմքերը և չափանիշները՝ միջազգային չափանիշներին համապատասխան</t>
  </si>
  <si>
    <t>1. Կատարվել է ուսումնասիրություն «Օպերատիվ-հետախուզական գործունեության մասին» օրենքի՝ միջազգային չափանիշներին համապատասխանության տեսանկյունից</t>
  </si>
  <si>
    <t>2. «Օպերատիվ-հետախուզական գործունեության մասին» օրենքում փոփոխություններ և լրացումներ կատարելու մասին օրենքի նախագիծն ուղարկվել է Ազգային ժողով</t>
  </si>
  <si>
    <t>Նվազել են օպերատիվ-հետախուզական գործունեության շրջանակներում մարդու իրավունքների խախտման դեպքերը</t>
  </si>
  <si>
    <t>Իրավահավասարություն, խտրականության արգելք</t>
  </si>
  <si>
    <r>
      <t>Նպատակ.</t>
    </r>
    <r>
      <rPr>
        <sz val="8"/>
        <color rgb="FF000000"/>
        <rFont val="GHEA Grapalat"/>
      </rPr>
      <t xml:space="preserve"> Ապահովել օրենքի առջև բոլոր հավասարությունը, հավասար հնարավորությունները և երաշխավորել խտրականության արգելքը</t>
    </r>
  </si>
  <si>
    <r>
      <t>Խնդիր</t>
    </r>
    <r>
      <rPr>
        <sz val="8"/>
        <color rgb="FF000000"/>
        <rFont val="GHEA Grapalat"/>
      </rPr>
      <t>. Իրավահավասարության ապահովմանն ուղղված իրավական մեխանիզմների առկայություն, խտրականության հիմքով բողոքների և դեպքերի քանակի նվազում</t>
    </r>
  </si>
  <si>
    <t>Օրենսդրորեն սահմանել խտրականության հասկացությունը, տեսակները, դրանից պաշտպանության միջոցները և մեխանիզմները, իրավահավասարության հարցերով զբաղվող մարմնի կազմավորման, գործունեության երաշխիքները` միջազգային չափանիշներին համապատասխան</t>
  </si>
  <si>
    <t>«Իրավահավասարության մասին» օրենքի նախագիծն ուղարկվել է Ազգային ժողով</t>
  </si>
  <si>
    <t>Նվազել են խտրականության որևէ հիմքով մարդու իրավունքների խախտման դեպքերը</t>
  </si>
  <si>
    <t>Վերապատրաստումներ իրականացնել իրավահավասարության, խտրականության արգելքի թեմաներով</t>
  </si>
  <si>
    <t>Վերապատրաստվել է ոստիկանների 14%-ը</t>
  </si>
  <si>
    <t>Նվազել է քրեական գործերի հետաքննության ընթացքում և ՀՀ Ոստիկանությանբաժիններում խտրականության դեպքերի քանակը</t>
  </si>
  <si>
    <t>Նվազել է քրեական գործերի քննության ընթացքում խտրականության դեպքերի քանակը</t>
  </si>
  <si>
    <t>Վերապատրաստվել է դատավորների 62%-ը</t>
  </si>
  <si>
    <t>Վերապատրաստվել է բժշկական ոլորտի աշխատողների 30%-ը</t>
  </si>
  <si>
    <t>Նվազել է բժշկական սպասարկման ոլորտում խտրականության դեպքերի քանակը</t>
  </si>
  <si>
    <t>Նվազել է սոցիալական սպասարկման ոլորտում խտրականության դեպքերի քանակը</t>
  </si>
  <si>
    <t xml:space="preserve">Նվազել է կրթության ոլորտում խտրականության դեպքերի քանակը </t>
  </si>
  <si>
    <t>Բարձրացնել իրավահավասարության, բոլոր հիմքերով խտրականության արգելքի վերաբերյալ իրազեկվածությունը</t>
  </si>
  <si>
    <t>1. Մշակվել և տարածվել են իրավահավասարության, խտրականության արգելքի վերաբերյալ առնվազն 3 տեղեկատվական նյութեր, այդ թվում` իրավունքների պաշտպանության միջոցների մասին</t>
  </si>
  <si>
    <t>2. Մշակվել և զանգվածային լրատվության միջոցներով տարածվել են իրավահավասարության, խտրականության արգելքի վերաբերյալ առնվազն 3 տեսաձայնագրություններ</t>
  </si>
  <si>
    <t>3. Իրականացվել է իրավահավասարության, խտրականության արգելքի վերաբերյալ թվով առնվազն 5 իրազեկման ակցիա</t>
  </si>
  <si>
    <t>Նվազել է խտրականության դեպքերի քանակը</t>
  </si>
  <si>
    <t>Պատասխանատվություն սահմանել ատելության խոսքի համար՝ միջազգային չափանիշներին համապատասխան</t>
  </si>
  <si>
    <r>
      <t>1.</t>
    </r>
    <r>
      <rPr>
        <sz val="8"/>
        <color rgb="FF000000"/>
        <rFont val="GHEA Grapalat"/>
      </rPr>
      <t xml:space="preserve"> Կատարվել է վերլուծություն` ատելության խոսքի համար պատասխանատվությանը վերաբերող միջազգային չափանիշների և լավագույն փորձի վերաբերյալ</t>
    </r>
  </si>
  <si>
    <t>2. Իրավական ակտ(եր)-ում փոփոխություններ և լրացումներ կատարելու մասին օրենքի նախագիծը ուղարկվել է Ազգային ժողով</t>
  </si>
  <si>
    <t>Նվազել են ատելության խոսքի դրսևորման, առանձին խումբ անձանց իրավունքների խախտման դեպքերը</t>
  </si>
  <si>
    <t>Բարձրացնել իրազեկությունը ատելության խոսքի վերաբերյալ</t>
  </si>
  <si>
    <t>1. Մշակվել և տարածվել են ատելության խոսքի վերաբերյալ առնվազն 5 տեղեկատվական նյութ</t>
  </si>
  <si>
    <t>2. Մշակվել և զանգվածային լրատվության միջոցներով տարածվել են ատելության խոսքի արգելքի վերաբերյալ առնվազն 3 տեսաձայնագրություն</t>
  </si>
  <si>
    <t>3. Իրականացվել է ատելության խոսքի արգելքի վերաբերյալ թվով առնվազն 2 իրազեկման ակցիա</t>
  </si>
  <si>
    <t>Օրենսդրորեն սահմանել հաշմանդամություն ունեցող անձանց իրավունքների պաշտպանության և սոցիալական ներառման երաշխիքները</t>
  </si>
  <si>
    <t>Հաշմանդամություն ունեցող անձանց իրավունքների մասին» ՀՀ օրենքի նախագիծն ուղարկվել է Ազգային ժողով</t>
  </si>
  <si>
    <t>2. Անձի ֆունկցիոնալության գնահատման մասին» ՀՀ օրենքի նախագիծն ուղարկվել է Ազգային ժողով</t>
  </si>
  <si>
    <t>Սահմանվել են իրավունքների պաշտանության իրավական հիմքերը, նվազել են հաշմանդամություն ունեցող անձանց նկատմամբ խտրականության դեպքերը</t>
  </si>
  <si>
    <t>Օրենսդրորեն սահմանել հաշմանդամություն ունեցող անձանց բժկական օգնության և սպասարկման կանոնները</t>
  </si>
  <si>
    <t>Ընդունվել է հաշմանդամություն ունեցող անձանց բժշկական օգնության և սպասարկման ուղեցույցը հաստատելու մասին Առողջապահության նախարարի հրաման</t>
  </si>
  <si>
    <t>Նվազել են բժշկական օգնության և սպասարկման ընթացքում հաշմանդամություն ունեցող անձանց նկատմամբ խտրականության դեպքերը</t>
  </si>
  <si>
    <t xml:space="preserve">2021թ. առաջին կիսամյակ </t>
  </si>
  <si>
    <t>Ապահովել հոգեկան, այդ թվում` մտավոր խնդիրներով հաշմանդամություն ունեցող անձանց մասնակցությունն իրենց իսկ վերաբերող բոլոր որոշումների կայացման գործընթացներում</t>
  </si>
  <si>
    <t>1, Կատարվել է ուսումնասիրություն՝ պարզելու ոլորտում առկա իրավական բացերը, դրանց լուծման միջոցները</t>
  </si>
  <si>
    <t>2, ՀՀ քաղաքացիական օրենսգրքում փոփոխություններ և լրացումներ կատարելու մասին ՀՀ օրենքի նախագիծն ուղարկվել է Ազգային ժողով</t>
  </si>
  <si>
    <t>2020 թ. երկրորդ կիսամյակ</t>
  </si>
  <si>
    <t>Խրախուսել կանանց ներգրավումը ԶՈւ-ում</t>
  </si>
  <si>
    <t>1. Կատարվել է ուսումնասիրություն ԶՈւ-ում կանանց` ծառայության անցնելու, այն շարունակելու կամ դադարեցնելու դրդապատճառները պարզելու նպատակով</t>
  </si>
  <si>
    <t>2. Մշակվել և զանգվածային լրատվության միջոցներով տարածվել են զինված ուժերում կանանց ծառայության վերաբերյալ  թվով 5 տեսաձայնագրություններ</t>
  </si>
  <si>
    <t>ԶՈւ-ում ավելացել է կին զինծառայողների թիվը</t>
  </si>
  <si>
    <t>Առողջության պահպանման իրավունք</t>
  </si>
  <si>
    <r>
      <t>Նպատակ.</t>
    </r>
    <r>
      <rPr>
        <sz val="8"/>
        <color rgb="FF000000"/>
        <rFont val="GHEA Grapalat"/>
      </rPr>
      <t xml:space="preserve"> Ամրապնդել առողջության պահպանման իրավունքի առավել արդյունավետ իրականացման մեխանիզմներն ու միջոցները</t>
    </r>
  </si>
  <si>
    <r>
      <t>Խնդիր</t>
    </r>
    <r>
      <rPr>
        <sz val="8"/>
        <color rgb="FF000000"/>
        <rFont val="GHEA Grapalat"/>
      </rPr>
      <t>. Առողջության պահպանման իրավունքի անհրաժեշտ ենթակառուցվածքների ստեղծում, որակյալ առողջապահության մատուցման բարելավում և հանրային իրազեկվածության մակարդակի բարձրացում</t>
    </r>
  </si>
  <si>
    <t>Բարձրացնել անվճար և համավճարով բժշկական ծառայությունների վերաբերյալ հանրային իրազեկվածության մակարդակը</t>
  </si>
  <si>
    <t>1. Անվճար և համավճարով բժշկական ծառայությունների ցանկը փակցված է թվով 150բժշկական հաստատություններում</t>
  </si>
  <si>
    <t>Նվազել են անվճար և համավճարով բժշկական օգնության և սպասարկման իրավունքի խախտման դեպքերը</t>
  </si>
  <si>
    <t>Նվազել են երեխաների հոգեկան առողջության պահմանման իրավունքի խախտման դեպքերը</t>
  </si>
  <si>
    <t>Ապահովել ազատությունից զրկված և հեպատիտ Ց ունեցող անձանց պատշաճ բժշկական օգնության և սպասարկման տրամադրումը</t>
  </si>
  <si>
    <t>Ազատությունից զրկված և հեպատիտ Ցունեցող անձանց համար մատակարարվել են անհրաժեշտ քանակի պանգենոտիպային դեղեր</t>
  </si>
  <si>
    <t>Նվազել է ազատությունից զրկված և հեպատիտ Ց ունեցող անձանց թիվը</t>
  </si>
  <si>
    <t>Բարձրացնել առողջության պահպանման և բժշկական օգնության իրավունքի (այդ թվում` սեռական և վերարտադրողական առողջության) վերաբերյալ իրազեկությունը, ներառյալ՝ հաշմանդամություն ունեցող, ինչպես նաև ՔԿՀ-ներում և հոգեբուժական հաստատություններում գտնվող անձանց համար</t>
  </si>
  <si>
    <t>1. Բժշկական հաստատությունների և ՔԿՀ-ների 90%-ում փակցվել են առողջության պահպանման և բժշկական օգնության իրավունքների վերաբերյալ պաստառներ</t>
  </si>
  <si>
    <t>2. Մշակվել և տարածվել է առողջության պահպանման և բժշկական օգնության իրավունքների վերաբերյալ 1 տեղեկատվական նյութ, այդ թվում՝ տեսողական խնդիրներ ունեցող, ՔԿՀ-ներում և հոգեբուժական հաստատություններում գտնվող անձանց համար</t>
  </si>
  <si>
    <t>3. Մշակվել և զանգվածային լրատվության միջոցներով տարածվել են առողջության պահպանման և բժշկական օգնության իրավունքների վերաբերյալ 1 տեսաձայնագրություններ, այդ թվում՝ լսողական խնդիրներ ունեցող, ՔԿՀ-ներում և հոգեբուժական հաստատություններում գտնվող անձանց համար</t>
  </si>
  <si>
    <t>Նվազել են առողջության պահպանման իրավունքի խախտման, ավելացել են հիվանդությունների զարգացման վաղ կանխարգելման դեպքերը</t>
  </si>
  <si>
    <t>Վերապատրաստումներ իրականացնել հաշմանդամություն ունեցող անձանց բժշկական օգնության և սպասարկման առանձնահատկությունների թեմայով</t>
  </si>
  <si>
    <t>Նվազել են հաշմանդամություն ունեցող անձանց ոչ պատշաճ բժշկական օգնության և սպասարկման դեպքերը</t>
  </si>
  <si>
    <t>Հավաքների ազատություն</t>
  </si>
  <si>
    <r>
      <t>Նպատակ.</t>
    </r>
    <r>
      <rPr>
        <sz val="8"/>
        <color rgb="FF000000"/>
        <rFont val="GHEA Grapalat"/>
      </rPr>
      <t xml:space="preserve"> Պաշտպանել և երաշխավորել բոլորի ՝ խաղաղ հավաքների իրավունքը</t>
    </r>
  </si>
  <si>
    <r>
      <t>Խնդիր</t>
    </r>
    <r>
      <rPr>
        <sz val="8"/>
        <color rgb="FF000000"/>
        <rFont val="GHEA Grapalat"/>
      </rPr>
      <t>. Ձեռնարկել անհրաժեշտ իրավական բարեփոխումներ՝ նվազեցնելով ոստիկանության կողմից հավաքների ընթացքում ձեռնարկվող միջոցառումների արդյունքում բողոքների և խախտումների քանակը</t>
    </r>
  </si>
  <si>
    <t>Փոփոխություններ կատարել «Հավաքների ազատության մասին» օրենքում՝ միջազգային չափանիշներին համապատասխան</t>
  </si>
  <si>
    <t>1. Կատարվել է վերլուծություն «Հավաքների ազատության մասին» ՀՀ օրենքի` միջազգային չափանիշներին համապատասխանության տեսանկյունից</t>
  </si>
  <si>
    <t>2. «Հավաքների ազատության մասին» ՀՀ օրենքում փոփոխություններ և լրացումներ կատարելու մասին օրենքի նախագիծն ուղարկվել է Ազգային ժողով</t>
  </si>
  <si>
    <t>Նվազել են հավաքների մասնակիցների իրավունքի խախտման, այդ թվում` նրանց նկատմամբ անհամաչափ ուժի կիրառման դեպքերը</t>
  </si>
  <si>
    <t>2021թ.առաջին կիսամյակ</t>
  </si>
  <si>
    <t>Վերապատրաստումներ իրականացնել հավաքների ազատության թեմայով՝ միջազգային չափանիշների վերաբերյալ</t>
  </si>
  <si>
    <t>Վերապատրաստվել է ոստիկանների 24%-ը</t>
  </si>
  <si>
    <t>Նվազել են ՀՀ Ոստիկանությանկողմից հավաքի մասնակիցների իրավունքների խախտման դեպքերը</t>
  </si>
  <si>
    <t>Նվազել են ոստիկաության կողմից հավաքի մասնակիցների իրավունքների խախտման դեպքերը</t>
  </si>
  <si>
    <t>2022թ.առաջին կիսամյակ</t>
  </si>
  <si>
    <t>Կրթության իրավունք</t>
  </si>
  <si>
    <r>
      <t>Նպատակ.</t>
    </r>
    <r>
      <rPr>
        <sz val="8"/>
        <color rgb="FF000000"/>
        <rFont val="GHEA Grapalat"/>
      </rPr>
      <t xml:space="preserve"> Ապահովել բոլորի համար համընդհանուր հիմնական կրթության մատչելիությունը</t>
    </r>
  </si>
  <si>
    <r>
      <t>Խնդիր</t>
    </r>
    <r>
      <rPr>
        <sz val="8"/>
        <color rgb="FF000000"/>
        <rFont val="GHEA Grapalat"/>
      </rPr>
      <t xml:space="preserve">. Բոլոր երեխաների համար նախադպրոցական կրթության մատչելիության ապահովում, դպրոցից դուրս մնացած երեխաների թվաքանակի կրճատում, հաշմանդամություն ունեցող անձանց կրթության իրավունքի ապահովում և դպրոցական ուսումնական պլանների բարելավում </t>
    </r>
  </si>
  <si>
    <t>1. Մշակվել է հանրակրթական ուսումնական հաստատությունների համար մարդու իրավունքների վերաբերյալ դասընթաց</t>
  </si>
  <si>
    <t>2. Իրականացվել են մարդու իրավունքներ դասավանդող թվով 60% ուսուցիչների վերապատրաստումներ</t>
  </si>
  <si>
    <t>3. Ընդունվել է Մարդու իրավունքների վերաբերյալ դասընթացը հանրակրթական ուսումնական ծրագրում ներառելու մասին իրավական ակտ</t>
  </si>
  <si>
    <t>Նվազել են դպրոցական տարիքի անձանց իրավունքների խախտման դեպքերը</t>
  </si>
  <si>
    <t>Օրենսդրորեն ամրագրել կրթությունից դուրս մնացած երեխաների հայտնաբերման, հաշվառման և կրթության իրավունքի իրացման մեխանիզմները</t>
  </si>
  <si>
    <t>Ընդունվել է կրթությունից դուրս մնացած երեխաների հայտնաբերումը, հաշվառումը և կրթության ներգրավումը կարգավորող ԿԳՄՍ նախարարի հրաման</t>
  </si>
  <si>
    <t>Նվազել է կրթությունից դուրս մնացած երեխաների թիվը</t>
  </si>
  <si>
    <t>Ընդունել ներառական կրթության ապահովման ռազմավարություն և գործողությունների ծրագիր` կրթական բոլոր մակարդակների համար</t>
  </si>
  <si>
    <t>Ընդունվել է ներառական կրթության ապահովման ռազմավարությունը և գործողությունների ծրագիրը հաստատելու մասին կառավարության որոշում</t>
  </si>
  <si>
    <t>Նվազել են հատուկ կարիքներ ունեցող անձանց կրթության իրավունքի խախտման դեպքերը</t>
  </si>
  <si>
    <t>Օրենսդրորեն սահմանել ակադեմիական բարեվարքության սկզբունքներ՝ միջազգային չափանիշներին համապատասխան</t>
  </si>
  <si>
    <t>1.«Բարձրագույն կրթության և գիտության մասին» ՀՀ օրենքում ներառվել է «ակադեմիական բարեվարքութուն» հասկացությունը</t>
  </si>
  <si>
    <t>2. Բարձրագույն կրթության և գիտության ոլորտում լիազոր մարմինը մշակել և հաստատել է բուհերի համար ակադեմիական բարեվարքւթյան օրինակելի կանոնակարգը</t>
  </si>
  <si>
    <t>3. ՀՀ բուհերը մշակել և հրապարակել են ակադեմիական բարեվարքության կանոնները</t>
  </si>
  <si>
    <t>Նվազել են բարձրագույն ուսումնական հաստատություններում ակադեմիական բարեվարքության կանոնների, կրթության իրավունքի խախտման դեպքերը</t>
  </si>
  <si>
    <t>2020թ. Երկրորդ կիսամյակ</t>
  </si>
  <si>
    <t>Կարծիքի արտահայտման ազատություն</t>
  </si>
  <si>
    <r>
      <t>Նպատակ.</t>
    </r>
    <r>
      <rPr>
        <sz val="8"/>
        <color rgb="FF000000"/>
        <rFont val="GHEA Grapalat"/>
      </rPr>
      <t xml:space="preserve"> Բարելավել տեղեկատվության ազատության օրենսդրական դաշտը</t>
    </r>
  </si>
  <si>
    <r>
      <t>Խնդիր</t>
    </r>
    <r>
      <rPr>
        <sz val="8"/>
        <color rgb="FF000000"/>
        <rFont val="GHEA Grapalat"/>
      </rPr>
      <t>. Խոսքի ազատության սահմանափակման վերաբերյալ բողոքների քանակի նվազում</t>
    </r>
  </si>
  <si>
    <t>Օրենսդրորեն ամրագրել Հայաստանի Հանրապետության տարածքում գրանցված զանգվածային լրատվության ոլորտում գործունեություն ծավալող կազմակերպությունների իրական սեփականատերերի բացահայտման և վերջիններիս վերաբերյալ տվյալների հրապարակային հասանելիության պահանջը</t>
  </si>
  <si>
    <t>Նվազել են զանգվածային լրատվության միջոցներով մարդու արժանապատվության իրավունքի խախտման, ոլորտում անբարեխիղճ մրցակցության դեպքերը</t>
  </si>
  <si>
    <t>Վերանայել լրատվամիջոցների լիցենզավորման/հեռարձակման ընթացակարգին վերաբերող սահմանափակումները</t>
  </si>
  <si>
    <t>«Հեռուստատեսության և ռադիոյի մասին» օրենքում փոփոխություններ և լրացումներ կատարելու մասին օրենքի նախագիծն ուղարկվել է Ազգային ժողով</t>
  </si>
  <si>
    <t>Նվազել են լրատվամիջոցների`կողմից տեղեկությունների հավաքման և տարածման իրավունքի սահմանափակումների, լիցենզավորման մերժման դեպքերը</t>
  </si>
  <si>
    <t>Վերապատրաստումներ իրականացնել մարդու տեղեկատվություն ստանալու իրավունքի թեմայով՝ ներպետական օրենսդրության և միջազգային չափանիշների վերաբերյալ</t>
  </si>
  <si>
    <t>Նվազել են տեղեկատվություն ստանալու իրավունքի խախտման դեպքերը</t>
  </si>
  <si>
    <t>Սեփականության իրավունք</t>
  </si>
  <si>
    <r>
      <t>Նպատակ.</t>
    </r>
    <r>
      <rPr>
        <sz val="8"/>
        <color rgb="FF000000"/>
        <rFont val="GHEA Grapalat"/>
      </rPr>
      <t xml:space="preserve"> Ապահովել սեփականության իրավունքի արդյունավետ կիրառումը օրենսդրական մակարդակում և պրակտիկայում</t>
    </r>
  </si>
  <si>
    <r>
      <t>Խնդիր</t>
    </r>
    <r>
      <rPr>
        <sz val="8"/>
        <color rgb="FF000000"/>
        <rFont val="GHEA Grapalat"/>
      </rPr>
      <t xml:space="preserve">. Սեփականության իրավունքի վերաբերյալ խախտումների և բողոքների քանակի կրճատում </t>
    </r>
  </si>
  <si>
    <t>Փոփոխություններ կատարել «Հասարակության և պետության կարիքների համար սեփականության օտարման մասին» ՀՀ օրենքում՝ միջազգային չափանիշներին համապատասխան</t>
  </si>
  <si>
    <t>1. Կատարվել է վերլուծություն` «Հասարակության և պետության կարիքների համար սեփականության օտարման մասին» ՀՀ օրենքի` միջազգային չափանիշներին համապատասխանության տեսակյունից</t>
  </si>
  <si>
    <t>2. «Հասարակության և պետության կարիքների համար սեփականության օտարման մասին» ՀՀ օրենքում փոփոխություններ և լրացումներ կատարելու մասին օրենքի նախագիծը կառավարությունից ուղարկվել է Ազգային ժողով</t>
  </si>
  <si>
    <t>Աշխատանքի իրավունք</t>
  </si>
  <si>
    <r>
      <t>Նպատակ.</t>
    </r>
    <r>
      <rPr>
        <sz val="8"/>
        <color rgb="FF000000"/>
        <rFont val="GHEA Grapalat"/>
      </rPr>
      <t xml:space="preserve"> Բարելավել աշխատանքային իրավունքի պաշտպանության ընթացակարգերը և մեխանիզմները</t>
    </r>
  </si>
  <si>
    <r>
      <t>Խնդիր</t>
    </r>
    <r>
      <rPr>
        <sz val="8"/>
        <color rgb="FF000000"/>
        <rFont val="GHEA Grapalat"/>
      </rPr>
      <t>. Աշխատանքային իրավունքների պաշտպանության համար արդյունավետ ինստիտուցիոնալ և իրավական դաշտի ստեղծում</t>
    </r>
  </si>
  <si>
    <t>Բարձրացնել աշխատանքային իրավունքների, այդ թվում` դրանց պաշտպանության միջոցների վերաբերյալ իրազեկությունը</t>
  </si>
  <si>
    <t>Նվազել են հանրային և մասնավոր ոլորտներում մարդու աշխատանքային իրավունքների խախտման դեպքերը</t>
  </si>
  <si>
    <t>Սոցիալական ապահովության, նվազագույն կենսապայմանների իրավունք</t>
  </si>
  <si>
    <r>
      <t>Խնդիր</t>
    </r>
    <r>
      <rPr>
        <sz val="8"/>
        <color rgb="FF000000"/>
        <rFont val="GHEA Grapalat"/>
      </rPr>
      <t>. Սոցիալապես անապահով անձանց համար սոցիալական ծառայությունների հասանելիության բարձրացում և աղքատության մեջ ապրող ընտանիքների թվի կրճատում</t>
    </r>
  </si>
  <si>
    <t>Միջին տարիքային կենսաթոշակի չափը ավելացել է 10%-ով</t>
  </si>
  <si>
    <t>Օրենսդրորեն նախատեսել երիտասարդ և երեխա ունեցող ընտանիքների աջակցման կարգը, պայմանները և մեխանիզմները</t>
  </si>
  <si>
    <t>Անապահով ընտանիքների համար կայուն եկամտի ստեղծմանն ուղղված համակարգի գործարկում</t>
  </si>
  <si>
    <t>Համակարգը ներդրվել է, գործարկումը սկսվել է, իրականացվել են վերապատրաստումներ</t>
  </si>
  <si>
    <t>Անապահով ընտանիքները դուրս են եկել անապահովությունից</t>
  </si>
  <si>
    <t>2021թ.երկրորդ կիսամյակ</t>
  </si>
  <si>
    <t>Առցանց դիմումի հիման վրա աշխատող կենսաթոշակառուի կենսաթոշակը վերահաշվարկելն ապահովող ենթահամակարգի մշակում և գործարկում</t>
  </si>
  <si>
    <t>Աշխատող կենսաթոշակառուն կենսաթոշակը վերահաշվարկելու դիմումը կարող է ներկայացնել առցանց</t>
  </si>
  <si>
    <t>Երեխայի իրավունքներ</t>
  </si>
  <si>
    <r>
      <t>Նպատակ.</t>
    </r>
    <r>
      <rPr>
        <sz val="8"/>
        <color rgb="FF000000"/>
        <rFont val="GHEA Grapalat"/>
      </rPr>
      <t>Ստեղծել բարենպաստ պայմաններ յուրաքանչյուր երեխայի ներուժի լիարժեք և բազմակողմանի զարգացման համար</t>
    </r>
  </si>
  <si>
    <r>
      <t>Խնդիր</t>
    </r>
    <r>
      <rPr>
        <sz val="8"/>
        <color rgb="FF000000"/>
        <rFont val="GHEA Grapalat"/>
      </rPr>
      <t xml:space="preserve">. Երեխաների նկատմամբ բռնությունների, թրաֆիքինգի և երեխաների հետ կապված այլ հանցագործությունների կանխում և վերացում </t>
    </r>
  </si>
  <si>
    <t>Փոփոխություններ կատարել «Երեխայի իրավունքների մասին» ՀՀ օրենքում` միջազգային չափանիշներին համապատասխան</t>
  </si>
  <si>
    <t>1. Կատարվել է ուսումնասիրություն` «Երեխայի իրավունքների մասին» օրենքի` միջազգային չափանիշներին համապատասխանության տեսանկյունից, ուսումնասիրվել է երեխայի իրավունքների պաշտպանության միջազգային լավագույն փորձը</t>
  </si>
  <si>
    <t>2. «Երեխայի իրավունքների մասին» օրենքում փոփոխություններ և լրացումներ կատարելու մասին նախագիծն ուղարկվել է Ազգային ժողով</t>
  </si>
  <si>
    <t>Նվազել են երեխայի իրավունքների խախտման դեպքերը</t>
  </si>
  <si>
    <t>Օրենսդրորեն սահմանել քրեական արդարադատության ոլորտում երեխայի իրավունքների պաշտպանության ապահովումը` միջազգային չափանիշներին համապատասխան</t>
  </si>
  <si>
    <t>1. Կատարվել է վերլուծություն` Քրեական օրենսգրքի և Քրեական դատավարության օրենսգրքի` միջազգային չափանիշներին (Երեխայի իրավունքների մասին ՄԱԿ-ի կոնվենցիա, Երեխաներին սեռական շահագործումից և սեռական բռնությունից պաշտպանելու մասին Եվրոպայի խորհրդի (Լանզարոտի) կոնվենցիա) համապատասխանության տեսանկյունից</t>
  </si>
  <si>
    <t>2. Քրեական օրենսգրքում և Քրեական դատավարության օրենսգրքում փոփոխություններ և լրացումներ կատարելու մասին օրենքի նախագիծն ուղարկվել է Ազգային ժողով</t>
  </si>
  <si>
    <r>
      <t xml:space="preserve">3. </t>
    </r>
    <r>
      <rPr>
        <sz val="8"/>
        <color rgb="FF000000"/>
        <rFont val="Arial"/>
        <family val="2"/>
      </rPr>
      <t xml:space="preserve">Լանզարոտի </t>
    </r>
    <r>
      <rPr>
        <sz val="8"/>
        <color rgb="FF000000"/>
        <rFont val="GHEA Grapalat"/>
      </rPr>
      <t>Կոնվենցիայի վավերացման փաթեթն ուղարկվել է Ազգային ժողով</t>
    </r>
  </si>
  <si>
    <t>Նվազել են քրեական դատավարության շրջանակներում երեխայի իրավունքների խախտման, երեխաների նկատմամբ սեռական ոտնձգությունների դեպքերը</t>
  </si>
  <si>
    <t>Բարձրացնել երեխայի իրավունքների վերաբերյալ իրազեկվածությունը</t>
  </si>
  <si>
    <t>1. Երեխայի խնամքի, կրթական հաստատություններումփակցվել են երեխայի իրավունքների վերաբերյալ պաստառներ</t>
  </si>
  <si>
    <t>2. Մշակվել և տարածվել են երեխայի իրավունքների վերաբերյալ առնվազն 3 տեղեկատվական նյութ, այդ թվում` իրավունքների պաշտպանության միջոցների մասին</t>
  </si>
  <si>
    <t>3. Մշակվել և զանգվածային լրատվության միջոցներով տարածվել են երեխայի իրավունքների վերաբերյալ առնվազն 3 տեսաձայնագրություն</t>
  </si>
  <si>
    <t>4. Իրականացվել է երեխայի  իրավունքների վերաբերյալ առնվազն 3 իրազեկման ակցիա</t>
  </si>
  <si>
    <t>Օրենսդրորեն սահմանել խնամակալության և հոգաբարձության մարմինների կազմավորման և աշխատանքի սկզբունքներն ու կարգը` միջազգային չափանիշներին համապատասխան</t>
  </si>
  <si>
    <t>1. Կատարվել է վերլուծություն` խնամակալության և հոգաբարձության մարմինների գործունեության վերաբերյալ միջազգային չափանիշների և լավագույն փորձի վերաբերյալ</t>
  </si>
  <si>
    <t>2. Խնամակալության և հոգաբարձության մարմինների գործունեությունը կարգավորորող օրենքի նախագիծն ուղարկվել է Ազգային ժողով</t>
  </si>
  <si>
    <t>3. Ընդունվել է խնամակալության և հոգաբարձության մարմինների գործունեությունը կարգավորող իրավական ակտը (ուղեցույց) հաստատելու մասին կառավարության որոշում</t>
  </si>
  <si>
    <t>Բարելավել հանրակրթական և նախակրթական ոսումնական, ինչպես նաև երեխայի խնամքի և պաշտպանության հաստատություններում սանիտարական պայմանները</t>
  </si>
  <si>
    <t>1. Կատարվել է ուսումնասիրություն` երեխայի կրթության, խնամքի և պաշտպանության հաստատություններում սանիտարական պայմանների վերաբերյալ օրենսդրության` միջազգային չափանիշներին համապատասխանության տեսանկյունից</t>
  </si>
  <si>
    <t>2. Փոփոխություններ են կատարվել սանիտարական պայմանները սահմանող իրավական ակտերում</t>
  </si>
  <si>
    <t>3. Բարելավվել են երեխայի կրթության, խնամքի և պաշտպանության թվով 00 հաստատությունների սանիտարական պայմանները</t>
  </si>
  <si>
    <t>Նվազել են երեխայի` անվտանգ միջավայրում ապրելու և առողջության իրավունքի խախտման դեպքերը</t>
  </si>
  <si>
    <t>Տնտեսական գործունեության ազատություն</t>
  </si>
  <si>
    <r>
      <t>Նպատակ.</t>
    </r>
    <r>
      <rPr>
        <sz val="8"/>
        <color rgb="FF000000"/>
        <rFont val="GHEA Grapalat"/>
      </rPr>
      <t>: Ապահովել տնտեսական գործունեության ազատությունը, տնտեսվարողների իրավունքների արդյունավետ պաշտպանությունը</t>
    </r>
  </si>
  <si>
    <r>
      <t>Խնդիր</t>
    </r>
    <r>
      <rPr>
        <sz val="8"/>
        <color rgb="FF000000"/>
        <rFont val="GHEA Grapalat"/>
      </rPr>
      <t xml:space="preserve">: Տնտեսվարողների համար իրազեկվածության բարձրացման ապահովում, տնտեսական գործունեության վարչարարության պարզեցում </t>
    </r>
  </si>
  <si>
    <t>Բարձրացնել ԵԱՏՄ մաքսային կարգավորումների վերաբերյալ իրազեկությունը</t>
  </si>
  <si>
    <t>1. Մաքսատներում փակցվել են ԵԱՏՄ կարգավորումների վերաբերյալ պաստառներ</t>
  </si>
  <si>
    <t>2. Մշակվել և տարածվել են ԵԱՏՄ մաքսային կարգավորումների վերաբերյալ առնվազն 3 տեղեկատվական նյութ</t>
  </si>
  <si>
    <t>3. Մշակվել և զանգվածային լրատվության միջոցներով տարածվել են ԵԱՏՄ մաքսային կարգավորումների վերաբերյալ առնվազն 3 տեսաձայնագրություն</t>
  </si>
  <si>
    <t>Տնտեսական մրցակցության պաշտպանության մասին օրենքում փոփոխություններ և լրացումներ կատարելու մասին օրենքի նախագիծն ուղարկվել է Ազգային ժողով</t>
  </si>
  <si>
    <t>2020թ. երրորդ կիսամյակ</t>
  </si>
  <si>
    <t>Մարդու իրավունքների պաշտպանության ազգային ռազմավարության և դրանից  բխող 2020-2022թթ. գործողությունների ծրագրի հաղորդակցության ռազմավարությունը մշակվել և իրականացվել է</t>
  </si>
  <si>
    <t>Development of training materials</t>
  </si>
  <si>
    <t>AMD</t>
  </si>
  <si>
    <t>unit</t>
  </si>
  <si>
    <t>number of units</t>
  </si>
  <si>
    <t>Number of positions</t>
  </si>
  <si>
    <t>Unit price/cost</t>
  </si>
  <si>
    <t>Total</t>
  </si>
  <si>
    <t>Coordinator</t>
  </si>
  <si>
    <t>month</t>
  </si>
  <si>
    <t>Expert</t>
  </si>
  <si>
    <t>Editor</t>
  </si>
  <si>
    <t>Printing</t>
  </si>
  <si>
    <t>copies</t>
  </si>
  <si>
    <t>Total w/o VAT</t>
  </si>
  <si>
    <t>VAT @ 20%</t>
  </si>
  <si>
    <t>TOTAL including VAT</t>
  </si>
  <si>
    <t>On-line/Distant trainings</t>
  </si>
  <si>
    <t>Eductaion technology expert</t>
  </si>
  <si>
    <t>Contentual Designer</t>
  </si>
  <si>
    <t>Designer</t>
  </si>
  <si>
    <t>Audio-Video specialist</t>
  </si>
  <si>
    <t>E-learning website expert</t>
  </si>
  <si>
    <t>Total for Distant training</t>
  </si>
  <si>
    <t>Trainings at the Academy</t>
  </si>
  <si>
    <t>Number</t>
  </si>
  <si>
    <t>Hours per year</t>
  </si>
  <si>
    <t>Cost per participant</t>
  </si>
  <si>
    <t>Judges</t>
  </si>
  <si>
    <t>Prosecutors</t>
  </si>
  <si>
    <t>Investigation comittee staff</t>
  </si>
  <si>
    <t>Investigators from the Special Investigation Service</t>
  </si>
  <si>
    <t>Judicial bailiffs</t>
  </si>
  <si>
    <t>Court staff</t>
  </si>
  <si>
    <t>Number of units</t>
  </si>
  <si>
    <t>Fixed</t>
  </si>
  <si>
    <t>Transportation</t>
  </si>
  <si>
    <t>way</t>
  </si>
  <si>
    <t>Trainings</t>
  </si>
  <si>
    <t>hours</t>
  </si>
  <si>
    <t xml:space="preserve">Variable </t>
  </si>
  <si>
    <t>hotel room</t>
  </si>
  <si>
    <t>nights</t>
  </si>
  <si>
    <t>meals</t>
  </si>
  <si>
    <t>days</t>
  </si>
  <si>
    <t>Coffe breaks</t>
  </si>
  <si>
    <t>per day</t>
  </si>
  <si>
    <t>Number of participants</t>
  </si>
  <si>
    <t>Total variable Cost</t>
  </si>
  <si>
    <t>Total Fixed +Variable cost</t>
  </si>
  <si>
    <t>VAT @20%</t>
  </si>
  <si>
    <t>TOTAL COST</t>
  </si>
  <si>
    <t>Հրամանատարների ՌՈ ոստիկանների վերապատրաստման հաշվարկ</t>
  </si>
  <si>
    <t>Մասնակիցների քանակ</t>
  </si>
  <si>
    <t>Խմբերի քանակ</t>
  </si>
  <si>
    <t>Վերապատրաստման անկցկացման ծախսեր</t>
  </si>
  <si>
    <t>1.1, 1.3</t>
  </si>
  <si>
    <t>Վերապատրաստվել է ռազմական ոստիկանների 17%-ը (ֆինանսական գնահատականը ներառված է սույն կետի ենթակետ 1-ի գնահատականի մեջ)</t>
  </si>
  <si>
    <t>1.4.</t>
  </si>
  <si>
    <t>USD/AMD</t>
  </si>
  <si>
    <t>PR actions, USD</t>
  </si>
  <si>
    <t>Min</t>
  </si>
  <si>
    <t>Max</t>
  </si>
  <si>
    <t>PR actions, AMD thousand</t>
  </si>
  <si>
    <t>Studies, USD</t>
  </si>
  <si>
    <t>Studies, AMD thousand</t>
  </si>
  <si>
    <t>Վերապատրաստվել է դատախազների 11%-ը (հեռաուսուցում)</t>
  </si>
  <si>
    <t>Վերապատրաստվել է դատավորների 41%-ը (հեռաուսուցում)</t>
  </si>
  <si>
    <t>1.7.</t>
  </si>
  <si>
    <t xml:space="preserve">Ստեղծել աջակցության կենտրոններ ընտանեկան բռնությունից տուժած անձանց համար </t>
  </si>
  <si>
    <t>Խցերի քանակ</t>
  </si>
  <si>
    <t>1 ք․մ․ վերանորոգման գինը, դրամ</t>
  </si>
  <si>
    <t>Բարելավվել է ազատությունից զրկված անձանց դատարաններում պահելու համար նախատեսված առնվազն 3 խուց (ներառված է դատաիրավական բարեփոխումների գործողությունների ծրագրում՝ որպես դատարանների շենքերի հիմնանորոգման, վերակառուցման կամ կառուցման ծախս)</t>
  </si>
  <si>
    <t>Վերապատրաստվել է երեխայի խնամքի հաստատությունների աշխատակիցների 50%-ը</t>
  </si>
  <si>
    <t>Ընդունվել է հավաքների հետ կապված ՀՀ Ոստիկանության գործողությունները կանոնակարգող կառավարության որոշում</t>
  </si>
  <si>
    <t>Ընդամենը Կյանքի իրավունքի գծով</t>
  </si>
  <si>
    <t>Ընդամենը Խոշտանգումների արգելքի գծով</t>
  </si>
  <si>
    <t>Ընդամենը Գործի արդար քննության իրավունքի գծով</t>
  </si>
  <si>
    <t>Ընդամենը Իրավահավասարության, խտրականության արգելքիգծով</t>
  </si>
  <si>
    <t>Ընդամենը Առողջության պահպանման իրավունքի գծով</t>
  </si>
  <si>
    <t>Ընդամենը Հավաքների ազատության գծով</t>
  </si>
  <si>
    <t>Ընդամենը Կրթության իրավունքի գծով</t>
  </si>
  <si>
    <t>Ընդամենը Կարծիքի արտահայտման ազատության գծով</t>
  </si>
  <si>
    <t>Ընդամենը Սեփականության իրավունքի գծով</t>
  </si>
  <si>
    <r>
      <t>Նպատակ.</t>
    </r>
    <r>
      <rPr>
        <sz val="8"/>
        <color rgb="FF000000"/>
        <rFont val="GHEA Grapalat"/>
      </rPr>
      <t xml:space="preserve"> Խոցելի խմբերի անձանց համար սոցիալական ապահովության, նվազագույն կենսապայմանների իրավունքի ապահովման մեխանիզմների կատարելագործում</t>
    </r>
  </si>
  <si>
    <t>Ընդամենը Երեխայի իրավունքների գծով</t>
  </si>
  <si>
    <t>Ընդամենը Տնտեսական գործունեության ազատության գծով</t>
  </si>
  <si>
    <t>Մարդու իրավունքների պաշտպանության ազգային ռազմավորության իրագործմանն աջակցող գործողություններ</t>
  </si>
  <si>
    <t>ԸՆԴԱՄԵՆԸ</t>
  </si>
  <si>
    <t xml:space="preserve">1. Կատարվել է ուսումնասիրություն՝ ԶՈւ-ում անհանդուրժողականության դրսևորումների պատճառների, նպաստող գործոնների և դրանց հաղթահարման ուղիների վերաբերյալ </t>
  </si>
  <si>
    <t>1. Զորամասերի և զինկոմիսարիատների 60%-ում փակցվել են մարդու իրավունքների (կյանքի իրավունք, խոշտանգումների արգելք) վերաբերյալ պաստառներ</t>
  </si>
  <si>
    <t>ՄԱԿ-ի 2006 թ. «Հաշմանդամություն ունեցող անձանց իրավունքների մասին» կոնվենցիայի կամընտիր արձանագրության վավերացմանն ուղղված աշխատանքների իրականացում</t>
  </si>
  <si>
    <t>Հաշմանդամություն ունեցող անձանց իրավունքների և օրինական շահերի արդյունավետ պաշտպանության նոր հնարավորությունների ամրագրում</t>
  </si>
  <si>
    <t>Նվազել են հաշմանդամություն ունեցող անձանց նկատմամբ խտրականության դեպքերը</t>
  </si>
  <si>
    <t>2021 թ. առաջին կիսամյակ</t>
  </si>
  <si>
    <t>Բարձրացնել հանրային իրազեկվածությունը պալիատիվ բժշկական օգնության և սպասարկման մասին</t>
  </si>
  <si>
    <t>Ապահովել պալիատիվ բժշկական օգնության և սպասարկման  և ցավային համախտանիշի կառավարման վերաբերյալ, այդ թվում՝ ոլորտի իրավակարգավորումների շարունակական կրթական ծրագրեր՝ բուժաշխատողների և ուսանողների համար</t>
  </si>
  <si>
    <t>Կապահովվի համապատասխան մասնագետները, որոնք կտիրապետեն ոլորտի պահանջվող բժշկագիտական և իրավական  հիմնարար գիտելիքներին</t>
  </si>
  <si>
    <t>2022 թվականի առաջին կիսամյակ</t>
  </si>
  <si>
    <t>Կազմակերպվել են հանրային իրազեկման աշխատանքներ, զանգվածային լրատվության, տեղեկատվական նյութերի միջոցով  իրականացվել են պալիատիվ բժշկական օգնության և սպասարկման հարցերի վերաբերյալ  քարոզարշավներ</t>
  </si>
  <si>
    <t>Բնակչությունն իրազեկված է պալիատիվ բժշկական օգնության և սպասարկման և դրա հետ կապված իրավունքների   մասին, մեծացել են պալիատիվ խնամքի կարիք ունեցող պացիենտների՝  պալիատիվ բժշկական օգնության և սպասարկման  դիմումների թիվը։</t>
  </si>
  <si>
    <t>2022 թվականի առաջին  կիսամյակ</t>
  </si>
  <si>
    <t>Բարձրացել է ընտանեկան բռնության զոհերի նկատմամբ արձագանքման որակը</t>
  </si>
  <si>
    <t>Վերապատրաստվել է բուժաշխատողների 20 % (Դասընթացի մշակում և 10 դասընթացավարների ուսուցանում)</t>
  </si>
  <si>
    <t>Ստեղծվել է ընտանեկան բռնությունից տուժած անձանց համար 11աջակցման կենտրոն/2 ապաստարան (կենտրոնների կառուցման/ստեղծման ծախսերն իրականացնելու են ՀԿ-ները կամ միջազգային կառույցները, մինչդեռ ՀՀ պետբյուջեից ֆինանսավորվելու է աշխատակիցների որոշակի մասի աշխատավարձի գծով ծախսը, որն արդեն իսկ ներառված է 2020թ․ պետական բյուջեի նախագծում)։</t>
  </si>
  <si>
    <t>Վերապատրաստվել է դատախազների 4%-ը (հեռաուսուցում, ներառված է դատավորների վերապատրաստման գումարի մեջ)</t>
  </si>
  <si>
    <t>2.Զորամասերի 30%-ում կազմակերպվել են հոգեբանների դասախոսություններ</t>
  </si>
  <si>
    <t>3.2.</t>
  </si>
  <si>
    <t>Դասախոսությունների ընդահանուր ժամաքանակը</t>
  </si>
  <si>
    <t>1 ժամի գինը</t>
  </si>
  <si>
    <t>Ընդամենը</t>
  </si>
  <si>
    <t>Քրեական օրենսգրքում փոփոխությւններ և լրացումներ կատարելու մասին օրենքի նախագիծն ուղարկվել է Ազգային Ժողով</t>
  </si>
  <si>
    <t>Ընտանիքում բռնության ենթարկված անձանց, անհրաժեշտության դեպքում նրանց խնամքի տակ եղած անձանց ծառայությունների տրամադրում</t>
  </si>
  <si>
    <t xml:space="preserve">2. Օրենքով
սահմանված ծառայությունների մատուցում 1800 անձի համար
</t>
  </si>
  <si>
    <t>1. 2021թ. առաջին կիսամյակ</t>
  </si>
  <si>
    <t>2. 2021թ. երկրորդ կիսամյակ</t>
  </si>
  <si>
    <t>3. 2022թ. երկրորդ կիսամյակ</t>
  </si>
  <si>
    <t>4. 2022թ. առաջին կիսամյակ</t>
  </si>
  <si>
    <t>Ոստիկանների քանակ</t>
  </si>
  <si>
    <t>Ռազմական ոստիկանների քանակ</t>
  </si>
  <si>
    <t>Բժշկական ոլորտի աշխատակիցների քանակ</t>
  </si>
  <si>
    <t>Հոգեբուժական հաստատությունների աշխատակիցների քանակ</t>
  </si>
  <si>
    <t>Կրթության ոլորտի աշխատակիցների քանակ</t>
  </si>
  <si>
    <t>Վերապատրաստման անցկացման ծախսեր</t>
  </si>
  <si>
    <t>Վերապատրաստվել է սոցիալական ոլորտի աշխատողների 50%-ը (Հեռաուսուցում)</t>
  </si>
  <si>
    <t>Կապահովվի հոգեկան, այդ թվում` մտավոր խնդիրներով հաշմանդամություն ունեցող անձանց սեփական որոշում կայացնելու մոդելի արդյունավետ կիրառումը</t>
  </si>
  <si>
    <t>Վերապատրաստվել են պետական մարմինների՝ տեղեկատվության տրամադրման համար պատասխանատու բոլոր պաշտոնատար անձինք (հեռաուսուցում)</t>
  </si>
  <si>
    <t>Նվազել են հասարակության և պետության կարիքների համար սեփականության օտարման արդյունքում մարդու սեփականության իրավունքի խախտման դեպքերը, սեփականության իրավունքի խախտման դիմաց մարդկանց տրամադրվել է արդարացի փոխհատուցում</t>
  </si>
  <si>
    <t xml:space="preserve">Ապահովվել է գնաճի նկատմամբ միջին տարիքային կենսաթոշակի չափի առաջանցիկ աճ </t>
  </si>
  <si>
    <r>
      <t>Սահմանվել</t>
    </r>
    <r>
      <rPr>
        <sz val="8"/>
        <color rgb="FF000000"/>
        <rFont val="GHEA Grapalat"/>
      </rPr>
      <t xml:space="preserve"> են  համաչափ և հայեցողության իրացման կանխատեսելի չափանիշներով պատասխանատվության միջոցներ</t>
    </r>
  </si>
  <si>
    <r>
      <t>Նվազել</t>
    </r>
    <r>
      <rPr>
        <sz val="8"/>
        <color rgb="FF000000"/>
        <rFont val="GHEA Grapalat"/>
      </rPr>
      <t xml:space="preserve"> են մաքսային սահմանով ապրանքների տեղափոխման ընթացքում մարդու իրավունքների խախտման դեպքերը</t>
    </r>
  </si>
  <si>
    <t>Ընդսմենը ՄԻՊ ռազմավարության ԳԾ աջակցող միջոցառումների գծով</t>
  </si>
  <si>
    <t>Մարդու իրավունքների պաշտպանության ազգային ռազմավարության և դրանից  բխող 2020-2022թթ. գործողությունների ծրագրի ելակետային տվյալների հավաքագրման և գնահատման հաշվետվության կազմում</t>
  </si>
  <si>
    <t>Նվազագույն գնահատա-կան</t>
  </si>
  <si>
    <t>Առավելա-գույն գնահատա-կան</t>
  </si>
  <si>
    <t>2020թ.</t>
  </si>
  <si>
    <t>202թթ.</t>
  </si>
  <si>
    <t>2021թ.</t>
  </si>
  <si>
    <t>Կենսաթոշակների տարեկան 10%-ով բարձրացման լրացուցիչ ծախսերի գնահատական (2019թ. համեմատ), հազար դրամ</t>
  </si>
  <si>
    <t>26??</t>
  </si>
  <si>
    <t>3. ՀՀ ռազմական ոստիկանության 13 բաժնում, 3 բաժանմունքում և 1 զորամասում, տեղադրվել է 8 տեսախցիկ յուրաքանչյուրում</t>
  </si>
  <si>
    <t xml:space="preserve">1. Իրականացնել ՔԿՀ-ների խցերի պայմանների ուսումնասիրություն
Վերանորոգվել է ՔԿՀ-ների առնվազն 25 խուց
</t>
  </si>
  <si>
    <t xml:space="preserve">«Խոշտանգումից տուժած անձանց հոգեբանական ծառայություններից օգտվելու կարգը և պայմանները սահմանելու մասին» 2017 թվականի հոկտեմբերի 26-ի թիվ 1367-Ն որոշմամբ ամրագրված մեխանիզմները կիրառվում են </t>
  </si>
  <si>
    <t>4. Իրականացվել է հոգեկան առողջության խնդիրներ ունեցող անձանց իրավունքների վերաբերյալ թվով 1 իրազեկման ակցիա</t>
  </si>
  <si>
    <t>Կահավորել քննչական բաժինները ճանաչման ներկայացնելու և առերեսման քննչական գործողությունները մասնակիցների՝ միմյանց տեսողական ընկալումից դուրս իրականացման նպատակով (Ծախսերը հնարավոր չէ գնահատել, անհրաժեշտ է իրականացնել նմանատիպ սարքավորումների և աշխատանքների իրականացման հնարավորությունը պարզելու ուսումնասիրություն)</t>
  </si>
  <si>
    <t xml:space="preserve"> Վերապատրաստվել է կրթության բնագավառի աշխատողների 10%-ը</t>
  </si>
  <si>
    <t>Ավելացնել երեխաներին հոգեբուժական և վերականգնողական ծառայություններ մատուցող հաստատությունների քանակը</t>
  </si>
  <si>
    <t>2. Ստեղծվել է մանկական վերականգնողական ծառայություններ մատուցող թվով 1 արտահիվանդանոցային սպասարկման կենտրոն</t>
  </si>
  <si>
    <t>1. 1. Ստեղծվել են մանկական հոգեբուժական ստացիոնար բաժանմունքներ բազմապրոֆիլային հիվանդանոցներում ՀՀ 3 մարզում</t>
  </si>
  <si>
    <t>Ստորագրել «Պաշտոնական փաստաթղթերի մատչելիության մասին» Եվրոպայի խորհրդի կոնվենցիան</t>
  </si>
  <si>
    <t xml:space="preserve">Կոնվենցիան ստորագրված է </t>
  </si>
  <si>
    <t>Ապահովվել է տեղեկատվության մատչելիության միջազգային կառուցակարգերը</t>
  </si>
  <si>
    <t xml:space="preserve">2020թ. երկրորդ կիսամյակ </t>
  </si>
  <si>
    <t>Օրենսդրորեն սահմանել աշխատանքային հարաբերությունների կարգավորման պարզեցված կառուցակարգեր՝ միջազգային չափանիշներին համապատասխան</t>
  </si>
  <si>
    <t>1. Կատարվել է ուսումնասիրություն՝ ՀՀ աշխատանքային օրենսգրքի՝ միջազգային պարտավորություններին և չափանիշներին համապատասխանության տեսանկյունից</t>
  </si>
  <si>
    <t>Նվազել են մարդու աշխատանքային իրավունքների խախտման դեպքերը</t>
  </si>
  <si>
    <t>2. ՀՀ աշխատանքային օրենսգրքում փոփոխություններ և լրացումներ կատարելու մասին օրենքի նախագիծն ուղարկվել է Ազգային ժողով</t>
  </si>
  <si>
    <t>Օրենսդրորեն ամրագրել աշխատանքային օրենսդրության պահանջների կատարման նկատմամբ ամբողջական և արդյունավետ պետական վերահսկողության համակարգի ներդրումը</t>
  </si>
  <si>
    <t>Ընդունել «Աշխատանքի անվտանգության և առողջության պահպանման ազգային ծրագիր»՝ միջազգային չափանիշներին և պարտավորություններին համապատասխան</t>
  </si>
  <si>
    <t>Ընդունվել է ծրագիրը հաստատելու մասին Կառավարության որոշում</t>
  </si>
  <si>
    <t>Նվազել են մարդու աշխատանքային իրավունքների՝ առողջ և անվտանգ աշխատանքային միջավայրի բացակայության հետևանքով խախտման դեպքերը</t>
  </si>
  <si>
    <t>2021թ. առաջին  կիսամյակ</t>
  </si>
  <si>
    <t>Պետական բյուջե, Օրենքով չարգելված այլ աղբյուրներ</t>
  </si>
  <si>
    <t>Օրենսդրորեն սահմանել Առողջապահական և աշխատանքի տեսչական մարմնի՝ ռիսկի վրա հիմնված ստուգումների մեթոդաբանությունն ու ռիսկայնությունը որոշող չափանիշների ընդհանուր նկարագիրը, ստուգումներում ընդգրկվող հարցերի ստուգաթերթը</t>
  </si>
  <si>
    <t>Ընդունվել է ԱԱՏՄ՝ ռիսկի վրա հիմնված ստուգումների մեթոդաբանությունն ու ռիսկայնությունը որոշող չափանիշների ընդհանուր նկարագիրը, ստուգումներում ընդգրկվող հարցերի ստուգաթերթը հաստատելու մասին իրավական ակտը</t>
  </si>
  <si>
    <t>2020թ. առաջին  կիսամյակ</t>
  </si>
  <si>
    <t>Օրենսդրորեն կատարելագործել արհեստակցական կազմակերպությունների (արհմիություններ) գործունեության գործիքակազմը</t>
  </si>
  <si>
    <t>Արհեստակցական միությունների մասին ՀՀ օրենքում լրացումներ և փոփոխություններ կատարելու մասին օրենքի նախագիծն ուղարկվել է Ազգային ժողով</t>
  </si>
  <si>
    <t>Օրենսդրական փոփոխություններ կատարելու մասին օրենք(ներ)ի  նախագծերն ուղարկվել են Ազգային ժողով, ընդունվել են Կառավարության որոշում(ներ)</t>
  </si>
  <si>
    <t>Բարձրացել է ամուսնությունների և ծնելիության մակարդակը, բարելավվել է երիտասարդ և երեխա ունեցող ընտանիքների սոցիալական վիճակը</t>
  </si>
  <si>
    <t>Ստեղծել երեխաների իրավունքներին առնչվող խնդիրների հաշվառման և վարման միասնական վիճակագրական համակարգ</t>
  </si>
  <si>
    <t>Ընդունվել է երեխաների իրավունքներին առնչվող խնդիրների միասնական հաշվառման և վարման կարգն ամրագրող կառավարության որոշում</t>
  </si>
  <si>
    <t>Առկա է երեխաների իրավունքներին առնչվող խնդիրների միասնական վիճակագրություն, նվազել են երեխաների իրավունքների խախտման դեպքերը</t>
  </si>
  <si>
    <t>202թ. երկրորդ կիսամյակ</t>
  </si>
  <si>
    <t>Օրենսդրորեն սահմանել կատարողական վարույթի շրջանակներում ծնողի հետ երեխայի տեսակցությունների ապահովման կարգը</t>
  </si>
  <si>
    <t xml:space="preserve">1. Կատարվել է վերլուծություն` ծնողի կողմից երեխայի տեսակցության հարկադիր ապահովման մասին միջազգային չափանիշների և լավագույն փորձի վերաբերյալ
2. Ընդունվել է կատարողական վարույթի շրջանակներում ծնողի հետ երեխայի տեսակցությունների ապահովման կարգը հաստատելու մասին Արդարադատության նախարարի հրաման
</t>
  </si>
  <si>
    <t>Նվազել են երեխայի` ծնողի հետ շփվելու և դաստիարակություն ստանալու իարվունքների խախտման դեպքերը</t>
  </si>
  <si>
    <t xml:space="preserve">Օրենսդրորեն կատարելագործել Տնտեսական մրցակցության պաշտպանության պետական հանձնաժողովի գործունեության գործիքակազմը (լիազորությունները), մասնավորապես՝ Իրականացնել Տնտեսական մրցակցության պաշտպանության պետական հանձնաժողովի կողմից պատասխանատվության միջոցների կիրառման համակարգի վերանայմանն ուղղված օրենսդրական փոփոխություններ </t>
  </si>
  <si>
    <t>Ընդամենը Սոցիալական ապահովության, նվազագույն կենսապայմանների իրավունքի գծով</t>
  </si>
  <si>
    <t xml:space="preserve">Այդ թվում` նախատեսված է ֆինանսավորում 2020թ. Պետական բյուջեում </t>
  </si>
  <si>
    <t>Նվազագույն գնահատական, հազար դրամ</t>
  </si>
  <si>
    <t>Առավելագույն գնահատական, հազար դրամ</t>
  </si>
  <si>
    <t>Վերապատրաստվել է հոգեբուժական հաստատությունների աշխատակիցների 20%-ը</t>
  </si>
  <si>
    <t>Ծախսերի գնահատական, հազար դրամ</t>
  </si>
  <si>
    <t>Average</t>
  </si>
  <si>
    <t xml:space="preserve">ՀՀ ոստիկանության և ռազմական ոստիկանության բաժիններում տեղադրել տեսաձայնագրման միջոցներ </t>
  </si>
  <si>
    <t>1. Հոգեբուժական հաստատությունների 100%-ում փակցվել են մարդու իրավունքների վերաբերյալ պաստառներ</t>
  </si>
  <si>
    <t>2. Մշակվել և տարածվել են հոգեբուժական հաստատություններում մարդու իրավունքների վերաբերյալ 2 տեղեկատվական նյութ, այդ թվում` իրավունքների պաշտպանության միջոցների մասին</t>
  </si>
  <si>
    <t>3. Մշակվել և զանգվածային լրատվության միջոցներով տարածվել են հոգեբուժական հաստատություններում մարդու իրավունքների վերաբերյալ 1 տեսաձայնագրություն</t>
  </si>
  <si>
    <t>1 խցի մակերես, ք․մ․</t>
  </si>
  <si>
    <t>1. Առկա են և շարունակական իրականացվում են պալիատիվ բժշկական օգնության և սպասարկման և ցավային համախտանիշի կառավարման վերաբերյալ կրթական ծրագրերը, վերապատրաստման դասընթացները բժշկական և ուսումնական հաստատություններում</t>
  </si>
  <si>
    <t>2.  Առկա են և շարունակական իրականացվում են պացիենտների  և բուժաշխատողների իրավունքների և պարտականությունների, պալիատիվ բժշկական օգնության և սպասարկման,  թմրամիջոց և հոգեմետ/հոգեներգործուն/ նյութեր պարունակող դեղերի դուրս գրման հետ կապված իրավակարգավորումների վերաբերյալ վերապատրաստման դասընթացներ  բժշկական և ուսումնական հաստատություններում</t>
  </si>
  <si>
    <t>3.  Մշակվել, ընդունվել  և տարածվել են ցավային համախտանիշի կառավարման նպատակով անհրաժեշտ բոլոր ժամանակակից կլինիկական ուղեցույցները բժշկական հաստատությունների և բուժմասնագետների շրջանում</t>
  </si>
  <si>
    <t xml:space="preserve">4. Իրականացվել է առողջության պահպանման և բժշկական օգնության իրավունքների վերաբերյալ 
1  իրազեկման ակցիա
/ըստ տարեթվերի` մեկական ակցիա/
</t>
  </si>
  <si>
    <t>Վերապատրաստվել է ՀՀ-ում գործող բժշկական հաստատությունների անձնակազմը</t>
  </si>
  <si>
    <t>Օրենսդրորեն սահմանել հավաքների հետ կապված ՀՀ Ոստիկանության գործողությունների կարգը և պայմանները` միջազգային չափանիշներին համապատասխան</t>
  </si>
  <si>
    <t xml:space="preserve">Հանրակրթական դպրոցներում ներդնել մարդու իրավունքներ
քննարկող թեմաներ` առարկայական նոր չափորոշիչների համատեքստում` Եվրոպայի խորհրդի «Ժողովրդավարական մշակույթի կարողունակությունները» ձևավորող շրջանակի հիման վրա
</t>
  </si>
  <si>
    <t>1. Մշակվել և տարածվել են աշխատանքային իրավունքների վերաբերյալ 1 տեղեկատվական նյութ</t>
  </si>
  <si>
    <t>2. Մշակվել և զանգվածային լրատվության միջոցներով տարածվել են աշխատանքային իրավունքների իրավունքի վերաբերյալ 1 տեսաձայնագրություն</t>
  </si>
  <si>
    <t>2020թ. - 2023թ․</t>
  </si>
  <si>
    <t>Դասընթացի մշակում</t>
  </si>
  <si>
    <t>AMD thousand</t>
  </si>
  <si>
    <t>2-day seminar/training in Tsaxkadzor</t>
  </si>
  <si>
    <t xml:space="preserve"> թեման ներառված է ԱԱ պարտադիր դասընթացների մեջ: հնարավոր է անհրաժեշտ լինի ընդլայնել </t>
  </si>
  <si>
    <t>Դասընթացի կազմում</t>
  </si>
  <si>
    <t>Վերապատրաստվել է դատախազների 7%-ը</t>
  </si>
  <si>
    <t xml:space="preserve">Վերապատրաստվել է դատախազների 25%-ը </t>
  </si>
  <si>
    <t xml:space="preserve">Վերապատրաստվել է դատախազների 11%-ը </t>
  </si>
  <si>
    <t>Դասընացներ</t>
  </si>
  <si>
    <t>Ուսումնասիրություններ</t>
  </si>
  <si>
    <t>Մեքենաների և սարքավորումների ձեռքբերում</t>
  </si>
  <si>
    <t>TR</t>
  </si>
  <si>
    <t>2020-2022թթ. Պարբերաբար</t>
  </si>
  <si>
    <t xml:space="preserve">Գործարկվել է աշխատող կենսաթոշակառուի
կենսաթոշակը վերահաշվարկելն ապահովող ենթահամակարգը
</t>
  </si>
  <si>
    <t>PR</t>
  </si>
  <si>
    <t>ST</t>
  </si>
  <si>
    <t>EQ</t>
  </si>
  <si>
    <t>Հիմնանորոգում/վերակառուցում/կառուցում</t>
  </si>
  <si>
    <t>Other</t>
  </si>
  <si>
    <t>Իրազեկման միջոցառումներ</t>
  </si>
  <si>
    <t>Այլ</t>
  </si>
  <si>
    <t xml:space="preserve"> Construction</t>
  </si>
  <si>
    <t>ՄԻՊ ռազմավարության ԳԾ ֆինանսավորման աղբյուրների գնահատական, հազար դրամ</t>
  </si>
  <si>
    <t>Ընդամենը ծախսեր</t>
  </si>
  <si>
    <t>EUR/AMD</t>
  </si>
  <si>
    <t>ԵՄ բյուջետային աջակցություն (1.5 մլն եվրո)</t>
  </si>
  <si>
    <t>Այլ դոնորներ/միջազգային կազմակերպություններ</t>
  </si>
  <si>
    <t>Նվիրատվություն ապաստան հայցող անձանց համար նախատեսված սենյակների համար</t>
  </si>
  <si>
    <t>Ընդամենը ակնկալվող ֆինանսավորում, այդ թվում`</t>
  </si>
  <si>
    <t>Ավելցուկ/պակասուրդ (+/-)</t>
  </si>
  <si>
    <t>ՄԻՊ ռազմավարության գործողությունների ծրագրի ծախսերի ամփոփ գնահատական` ըստ նպատակների B304, հազար դրամ</t>
  </si>
  <si>
    <t>ՄԻՊ ռազմավարության գործողությունների ծրագրի ծախսերի ամփոփ գնահատական` ըստ ծախսատեսակների (առանց կենսաթոշակների), հազար դրամ</t>
  </si>
  <si>
    <t>Պետական բյուջե,  Օրենքով չարգելված այլ աղբյուրներ</t>
  </si>
  <si>
    <t>Սահմանել ԶՈւ-ում և ՔԿՀ-ներում մահվան դեպքերի արագ և թափանցիկ քննության  վերաբերյալ իրազեկման չափորոշիչներ</t>
  </si>
  <si>
    <t>Պետական բյուջեից ֆինանսավորում չի պահանջվում</t>
  </si>
  <si>
    <t>Պետական բյուջեից ֆինանսավորում չի պահանջվում, Օրենքով չարգելված այլ աղբյուրներ</t>
  </si>
  <si>
    <t>Ընդունել տարեցների (կենսաթոշակային տարիքի անձանց) նկատմամբ բռնության դեմ պայքարի գործողությունների ծրագիր</t>
  </si>
  <si>
    <t>Նվազել են ռազմական ՀՀ Ոստիկանությանբաժիններում խոշտանգումների, անմադրկային կամ արժանապատվությունը նվաստացնող վերաբերմունքի դեպքերը, տեսաձայնագրություններն օգտագործվել են որպես ապացույց` այդ դեպքերի վերաբերյալ քրեական գործերով; Նվազել են քրեական գործերի մինչդատական վարույթում քրեական դատավարության մասնակիցների իրավունքների խախտումները, ապացույցների` քննչական և դատավարական գործողությունների իրականացման կարգի խախտմամբ ձեռքբերման դեպքերը</t>
  </si>
  <si>
    <t>2. ՀՀ արդարադատության ակադեմիայի կողմից ընդունվել է ուղեցույց իրավակիրառողների համար՝ նշված հասկացությունների մեկնաբանման և կիրառման վերաբերյալ</t>
  </si>
  <si>
    <t>2022թ. Երկրորդ կիսամյակ</t>
  </si>
  <si>
    <t>2021 թ.առաջին կիսամյակ</t>
  </si>
  <si>
    <t>Ապահովել խոշտանգումից տուժած անձանց հոգեբանական, սոցիալական և իրավական ծառայություններից օգտվելու իրավունքի արդյունավետ իրականացման մեխանիզմները</t>
  </si>
  <si>
    <t>Վերանայել բերման ենթարկելու կարգի իրավական կարգավորումները</t>
  </si>
  <si>
    <t xml:space="preserve">Պետական բյուջեից ֆինանսավորում չի պահանջվում, Օրենքով չարգելված այլ աղբյուրներ </t>
  </si>
  <si>
    <t xml:space="preserve">2. Կին զինծառայողների իրավունքների խթանման և պաշտպանության հարցերով զբաղվող պաշտոնի հաստիքի ավելացում </t>
  </si>
  <si>
    <t>2020-22թթ. Պարբերաբար</t>
  </si>
  <si>
    <t xml:space="preserve">Իրավական ակտի նախագիծը ներկայացվել է Ազգային ժողով </t>
  </si>
  <si>
    <t xml:space="preserve">Պետական բյուջե, Օրենքով չարգելված այլ աղբյուրներ </t>
  </si>
  <si>
    <t>Բարելավել երեխայի որդեգրման կարգը և պայմանները</t>
  </si>
  <si>
    <t>1. Կատարվել է ուսումնասիրություն երեխայի որդեգրման կարգի և պայմանների վերաբերյալ</t>
  </si>
  <si>
    <t>2. Վերանայվել են երեխայի որդեգրման գործընթացի իրավական մեխանիզմները՝ այդ թվում նաև եզրակացության տրամադրման կարգն ու պայմանները</t>
  </si>
  <si>
    <t>3. Իրավական ակտերի նախագծերը ներկայացվել են Ազգային ժողով</t>
  </si>
  <si>
    <t>Նվազել են երեխաների ապօրինի որդեգրման դեպքերը</t>
  </si>
  <si>
    <t>Մշակել մարդու իրավունքների պաշտպանության ազգային ռազմավարության և դրանից  բխող 2020-2022թթ. գործողությունների ծրագրի հաղորդակցության ռազմավարությունպլան</t>
  </si>
  <si>
    <t>Լրամշակել «Խղճի ազատության և կրոնական կազմակերպությունների մասին» օրենքը</t>
  </si>
  <si>
    <t>Նախագծերի փաթեթն ուղարկվել  է ՀՀ Ազգային ժողով</t>
  </si>
  <si>
    <t xml:space="preserve">Հիմքեր են ստեղծվել խղճի և կրոնի ազատության օրենսդրական երաշխիքներն ամրապնդելու համար։ 
1991 թ ընդունված օրենքը համապատասխանեցվել է Սահմանադրական կարգավորումներին և երկրի ստանձնած միջազգաին պարտավորություններին
</t>
  </si>
  <si>
    <t>Ընդամենը Աշխատանքի իրավունքի գծով</t>
  </si>
  <si>
    <t>Ծախսերի գնահատա-կան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</si>
</sst>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>
    <font>
      <sz val="11"/>
      <color theme="1"/>
      <name val="Calibri"/>
      <family val="2"/>
      <scheme val="minor"/>
    </font>
    <font>
      <b/>
      <sz val="9"/>
      <color theme="1"/>
      <name val="GHEA Grapalat"/>
    </font>
    <font>
      <b/>
      <sz val="9"/>
      <color rgb="FF000000"/>
      <name val="GHEA Grapalat"/>
    </font>
    <font>
      <b/>
      <sz val="12"/>
      <color theme="1"/>
      <name val="GHEA Grapalat"/>
    </font>
    <font>
      <b/>
      <sz val="8"/>
      <color rgb="FF000000"/>
      <name val="GHEA Grapalat"/>
    </font>
    <font>
      <sz val="8"/>
      <color rgb="FF000000"/>
      <name val="GHEA Grapalat"/>
    </font>
    <font>
      <sz val="8"/>
      <color theme="1"/>
      <name val="GHEA Grapalat"/>
    </font>
    <font>
      <b/>
      <sz val="8"/>
      <color theme="1"/>
      <name val="GHEA Grapalat"/>
    </font>
    <font>
      <sz val="8"/>
      <color rgb="FFFF0000"/>
      <name val="GHEA Grapalat"/>
    </font>
    <font>
      <u/>
      <sz val="8"/>
      <color rgb="FF008080"/>
      <name val="GHEA Grapalat"/>
    </font>
    <font>
      <sz val="8"/>
      <color rgb="FF000000"/>
      <name val="Courier New"/>
      <family val="3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name val="GHEA Grapalat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0">
    <xf numFmtId="0" fontId="0" fillId="0" borderId="0" xfId="0"/>
    <xf numFmtId="0" fontId="7" fillId="0" borderId="8" xfId="0" applyFont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0" fillId="2" borderId="8" xfId="0" applyFill="1" applyBorder="1" applyAlignment="1">
      <alignment vertical="top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/>
    <xf numFmtId="4" fontId="0" fillId="0" borderId="0" xfId="0" applyNumberFormat="1"/>
    <xf numFmtId="4" fontId="0" fillId="0" borderId="18" xfId="0" applyNumberFormat="1" applyBorder="1"/>
    <xf numFmtId="0" fontId="0" fillId="0" borderId="19" xfId="0" applyBorder="1"/>
    <xf numFmtId="0" fontId="0" fillId="0" borderId="20" xfId="0" applyBorder="1"/>
    <xf numFmtId="4" fontId="0" fillId="0" borderId="21" xfId="0" applyNumberFormat="1" applyBorder="1"/>
    <xf numFmtId="3" fontId="0" fillId="0" borderId="0" xfId="0" applyNumberFormat="1"/>
    <xf numFmtId="0" fontId="0" fillId="0" borderId="15" xfId="0" applyBorder="1"/>
    <xf numFmtId="3" fontId="0" fillId="0" borderId="15" xfId="0" applyNumberFormat="1" applyBorder="1"/>
    <xf numFmtId="3" fontId="0" fillId="0" borderId="16" xfId="0" applyNumberFormat="1" applyBorder="1"/>
    <xf numFmtId="3" fontId="0" fillId="0" borderId="18" xfId="0" applyNumberFormat="1" applyBorder="1"/>
    <xf numFmtId="3" fontId="0" fillId="0" borderId="20" xfId="0" applyNumberFormat="1" applyBorder="1"/>
    <xf numFmtId="3" fontId="0" fillId="0" borderId="21" xfId="0" applyNumberFormat="1" applyBorder="1"/>
    <xf numFmtId="0" fontId="0" fillId="0" borderId="22" xfId="0" applyBorder="1"/>
    <xf numFmtId="0" fontId="0" fillId="0" borderId="23" xfId="0" applyBorder="1"/>
    <xf numFmtId="3" fontId="0" fillId="0" borderId="23" xfId="0" applyNumberFormat="1" applyBorder="1"/>
    <xf numFmtId="3" fontId="0" fillId="0" borderId="24" xfId="0" applyNumberFormat="1" applyBorder="1"/>
    <xf numFmtId="0" fontId="0" fillId="0" borderId="16" xfId="0" applyBorder="1"/>
    <xf numFmtId="3" fontId="0" fillId="0" borderId="25" xfId="0" applyNumberFormat="1" applyBorder="1"/>
    <xf numFmtId="0" fontId="12" fillId="0" borderId="14" xfId="0" applyFont="1" applyBorder="1"/>
    <xf numFmtId="0" fontId="12" fillId="0" borderId="15" xfId="0" applyFont="1" applyBorder="1"/>
    <xf numFmtId="3" fontId="12" fillId="0" borderId="16" xfId="0" applyNumberFormat="1" applyFont="1" applyBorder="1"/>
    <xf numFmtId="0" fontId="0" fillId="0" borderId="17" xfId="0" applyBorder="1" applyAlignment="1">
      <alignment horizontal="right"/>
    </xf>
    <xf numFmtId="0" fontId="12" fillId="0" borderId="17" xfId="0" applyFont="1" applyBorder="1"/>
    <xf numFmtId="0" fontId="12" fillId="0" borderId="0" xfId="0" applyFont="1"/>
    <xf numFmtId="3" fontId="12" fillId="0" borderId="18" xfId="0" applyNumberFormat="1" applyFont="1" applyBorder="1"/>
    <xf numFmtId="0" fontId="0" fillId="0" borderId="19" xfId="0" applyBorder="1" applyAlignment="1">
      <alignment horizontal="left"/>
    </xf>
    <xf numFmtId="3" fontId="5" fillId="2" borderId="3" xfId="0" applyNumberFormat="1" applyFont="1" applyFill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1" fontId="0" fillId="0" borderId="0" xfId="0" applyNumberFormat="1"/>
    <xf numFmtId="4" fontId="0" fillId="0" borderId="0" xfId="0" applyNumberFormat="1" applyBorder="1"/>
    <xf numFmtId="3" fontId="5" fillId="2" borderId="5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vertical="center"/>
    </xf>
    <xf numFmtId="3" fontId="5" fillId="2" borderId="13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3" fontId="5" fillId="2" borderId="0" xfId="0" applyNumberFormat="1" applyFont="1" applyFill="1" applyBorder="1" applyAlignment="1">
      <alignment vertical="center" wrapText="1"/>
    </xf>
    <xf numFmtId="0" fontId="0" fillId="0" borderId="0" xfId="0" applyBorder="1"/>
    <xf numFmtId="0" fontId="5" fillId="2" borderId="26" xfId="0" applyFont="1" applyFill="1" applyBorder="1" applyAlignment="1">
      <alignment vertical="center"/>
    </xf>
    <xf numFmtId="0" fontId="5" fillId="2" borderId="26" xfId="0" applyFont="1" applyFill="1" applyBorder="1" applyAlignment="1">
      <alignment vertical="center" wrapText="1"/>
    </xf>
    <xf numFmtId="0" fontId="0" fillId="2" borderId="12" xfId="0" applyFill="1" applyBorder="1" applyAlignment="1">
      <alignment vertical="top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3" fontId="0" fillId="0" borderId="0" xfId="0" applyNumberFormat="1" applyBorder="1"/>
    <xf numFmtId="0" fontId="6" fillId="0" borderId="5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/>
    </xf>
    <xf numFmtId="0" fontId="7" fillId="0" borderId="11" xfId="0" applyFont="1" applyBorder="1" applyAlignment="1">
      <alignment vertical="top"/>
    </xf>
    <xf numFmtId="0" fontId="5" fillId="2" borderId="4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2" borderId="4" xfId="0" applyFont="1" applyFill="1" applyBorder="1" applyAlignment="1">
      <alignment vertical="top" wrapText="1"/>
    </xf>
    <xf numFmtId="0" fontId="4" fillId="2" borderId="9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vertical="top"/>
    </xf>
    <xf numFmtId="0" fontId="0" fillId="0" borderId="0" xfId="0" applyAlignment="1">
      <alignment vertical="top"/>
    </xf>
    <xf numFmtId="0" fontId="5" fillId="2" borderId="6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vertical="top"/>
    </xf>
    <xf numFmtId="0" fontId="5" fillId="2" borderId="5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 wrapText="1"/>
    </xf>
    <xf numFmtId="0" fontId="5" fillId="2" borderId="11" xfId="0" applyFont="1" applyFill="1" applyBorder="1" applyAlignment="1">
      <alignment vertical="top" wrapText="1"/>
    </xf>
    <xf numFmtId="3" fontId="6" fillId="0" borderId="13" xfId="0" applyNumberFormat="1" applyFont="1" applyBorder="1" applyAlignment="1">
      <alignment horizontal="right" vertical="top"/>
    </xf>
    <xf numFmtId="0" fontId="5" fillId="2" borderId="13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3" fontId="5" fillId="2" borderId="26" xfId="0" applyNumberFormat="1" applyFont="1" applyFill="1" applyBorder="1" applyAlignment="1">
      <alignment vertical="center" wrapText="1"/>
    </xf>
    <xf numFmtId="0" fontId="5" fillId="2" borderId="27" xfId="0" applyFont="1" applyFill="1" applyBorder="1" applyAlignment="1">
      <alignment vertical="center"/>
    </xf>
    <xf numFmtId="164" fontId="5" fillId="2" borderId="27" xfId="0" applyNumberFormat="1" applyFont="1" applyFill="1" applyBorder="1" applyAlignment="1">
      <alignment vertical="center"/>
    </xf>
    <xf numFmtId="0" fontId="4" fillId="2" borderId="2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left" vertical="top" wrapText="1"/>
    </xf>
    <xf numFmtId="0" fontId="5" fillId="2" borderId="26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vertical="top"/>
    </xf>
    <xf numFmtId="0" fontId="0" fillId="0" borderId="4" xfId="0" applyBorder="1"/>
    <xf numFmtId="3" fontId="6" fillId="0" borderId="26" xfId="0" applyNumberFormat="1" applyFont="1" applyBorder="1" applyAlignment="1">
      <alignment horizontal="right" vertical="top"/>
    </xf>
    <xf numFmtId="0" fontId="5" fillId="2" borderId="26" xfId="0" applyFont="1" applyFill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right" vertical="top" wrapText="1"/>
    </xf>
    <xf numFmtId="0" fontId="6" fillId="2" borderId="27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164" fontId="5" fillId="2" borderId="27" xfId="0" applyNumberFormat="1" applyFont="1" applyFill="1" applyBorder="1" applyAlignment="1">
      <alignment vertical="center" wrapText="1"/>
    </xf>
    <xf numFmtId="164" fontId="5" fillId="2" borderId="26" xfId="0" applyNumberFormat="1" applyFont="1" applyFill="1" applyBorder="1" applyAlignment="1">
      <alignment vertical="center" wrapText="1"/>
    </xf>
    <xf numFmtId="3" fontId="5" fillId="2" borderId="26" xfId="0" applyNumberFormat="1" applyFont="1" applyFill="1" applyBorder="1" applyAlignment="1">
      <alignment vertical="center"/>
    </xf>
    <xf numFmtId="3" fontId="5" fillId="2" borderId="12" xfId="0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vertical="top"/>
    </xf>
    <xf numFmtId="0" fontId="0" fillId="0" borderId="0" xfId="0" applyFill="1" applyBorder="1"/>
    <xf numFmtId="4" fontId="5" fillId="2" borderId="3" xfId="0" applyNumberFormat="1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vertical="top" wrapText="1"/>
    </xf>
    <xf numFmtId="0" fontId="0" fillId="2" borderId="27" xfId="0" applyFill="1" applyBorder="1" applyAlignment="1">
      <alignment vertical="top" wrapText="1"/>
    </xf>
    <xf numFmtId="0" fontId="5" fillId="2" borderId="26" xfId="0" applyFont="1" applyFill="1" applyBorder="1" applyAlignment="1">
      <alignment vertical="top"/>
    </xf>
    <xf numFmtId="164" fontId="5" fillId="2" borderId="11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vertical="top" wrapText="1"/>
    </xf>
    <xf numFmtId="0" fontId="5" fillId="0" borderId="13" xfId="0" applyFont="1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3" fontId="5" fillId="2" borderId="13" xfId="0" applyNumberFormat="1" applyFont="1" applyFill="1" applyBorder="1" applyAlignment="1">
      <alignment vertical="center"/>
    </xf>
    <xf numFmtId="3" fontId="5" fillId="2" borderId="10" xfId="0" applyNumberFormat="1" applyFont="1" applyFill="1" applyBorder="1" applyAlignment="1">
      <alignment vertical="center"/>
    </xf>
    <xf numFmtId="3" fontId="5" fillId="2" borderId="11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/>
    </xf>
    <xf numFmtId="0" fontId="5" fillId="2" borderId="12" xfId="0" applyFont="1" applyFill="1" applyBorder="1" applyAlignment="1">
      <alignment vertical="top" wrapText="1"/>
    </xf>
    <xf numFmtId="0" fontId="4" fillId="2" borderId="26" xfId="0" applyFont="1" applyFill="1" applyBorder="1" applyAlignment="1">
      <alignment vertical="top"/>
    </xf>
    <xf numFmtId="0" fontId="5" fillId="3" borderId="12" xfId="0" applyFont="1" applyFill="1" applyBorder="1" applyAlignment="1">
      <alignment vertical="center" wrapText="1"/>
    </xf>
    <xf numFmtId="3" fontId="5" fillId="2" borderId="26" xfId="0" applyNumberFormat="1" applyFont="1" applyFill="1" applyBorder="1" applyAlignment="1">
      <alignment horizontal="center" vertical="center" wrapText="1"/>
    </xf>
    <xf numFmtId="3" fontId="0" fillId="0" borderId="11" xfId="0" applyNumberFormat="1" applyBorder="1"/>
    <xf numFmtId="3" fontId="0" fillId="0" borderId="12" xfId="0" applyNumberFormat="1" applyBorder="1"/>
    <xf numFmtId="0" fontId="6" fillId="0" borderId="26" xfId="0" applyFont="1" applyBorder="1" applyAlignment="1">
      <alignment horizontal="left" vertical="top" wrapText="1"/>
    </xf>
    <xf numFmtId="0" fontId="5" fillId="0" borderId="26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13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5" fillId="0" borderId="13" xfId="0" applyFont="1" applyFill="1" applyBorder="1" applyAlignment="1">
      <alignment vertical="top" wrapText="1"/>
    </xf>
    <xf numFmtId="0" fontId="5" fillId="0" borderId="26" xfId="0" applyFont="1" applyFill="1" applyBorder="1" applyAlignment="1">
      <alignment vertical="center" wrapText="1"/>
    </xf>
    <xf numFmtId="3" fontId="5" fillId="2" borderId="3" xfId="0" applyNumberFormat="1" applyFont="1" applyFill="1" applyBorder="1" applyAlignment="1">
      <alignment horizontal="center" vertical="top"/>
    </xf>
    <xf numFmtId="0" fontId="11" fillId="0" borderId="10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3" fontId="5" fillId="0" borderId="10" xfId="0" applyNumberFormat="1" applyFont="1" applyFill="1" applyBorder="1" applyAlignment="1">
      <alignment horizontal="right" vertical="top"/>
    </xf>
    <xf numFmtId="0" fontId="5" fillId="0" borderId="11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top" wrapText="1"/>
    </xf>
    <xf numFmtId="0" fontId="13" fillId="2" borderId="26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vertical="center" wrapText="1"/>
    </xf>
    <xf numFmtId="0" fontId="13" fillId="0" borderId="26" xfId="0" applyFont="1" applyBorder="1" applyAlignment="1">
      <alignment vertical="top" wrapText="1"/>
    </xf>
    <xf numFmtId="0" fontId="4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7" fillId="2" borderId="0" xfId="0" applyFont="1" applyFill="1" applyBorder="1" applyAlignment="1">
      <alignment vertical="center"/>
    </xf>
    <xf numFmtId="0" fontId="5" fillId="2" borderId="13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5" fillId="2" borderId="5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3" fontId="6" fillId="0" borderId="13" xfId="0" applyNumberFormat="1" applyFont="1" applyBorder="1" applyAlignment="1">
      <alignment horizontal="right" vertical="top"/>
    </xf>
    <xf numFmtId="3" fontId="6" fillId="0" borderId="10" xfId="0" applyNumberFormat="1" applyFont="1" applyBorder="1" applyAlignment="1">
      <alignment horizontal="right" vertical="top"/>
    </xf>
    <xf numFmtId="0" fontId="4" fillId="2" borderId="0" xfId="0" applyFont="1" applyFill="1" applyBorder="1" applyAlignment="1">
      <alignment horizontal="justify" vertical="center"/>
    </xf>
    <xf numFmtId="0" fontId="6" fillId="2" borderId="0" xfId="0" applyFont="1" applyFill="1" applyBorder="1" applyAlignment="1">
      <alignment horizontal="justify" vertical="center"/>
    </xf>
    <xf numFmtId="0" fontId="3" fillId="2" borderId="0" xfId="0" applyFont="1" applyFill="1" applyBorder="1" applyAlignment="1">
      <alignment horizontal="center" vertical="center"/>
    </xf>
    <xf numFmtId="3" fontId="6" fillId="0" borderId="12" xfId="0" applyNumberFormat="1" applyFont="1" applyBorder="1" applyAlignment="1">
      <alignment vertical="top"/>
    </xf>
    <xf numFmtId="3" fontId="6" fillId="0" borderId="26" xfId="0" applyNumberFormat="1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0" fillId="0" borderId="21" xfId="0" applyBorder="1"/>
    <xf numFmtId="3" fontId="6" fillId="0" borderId="12" xfId="0" applyNumberFormat="1" applyFont="1" applyBorder="1" applyAlignment="1">
      <alignment vertical="center"/>
    </xf>
    <xf numFmtId="3" fontId="6" fillId="0" borderId="13" xfId="0" applyNumberFormat="1" applyFont="1" applyBorder="1" applyAlignment="1">
      <alignment vertical="top"/>
    </xf>
    <xf numFmtId="3" fontId="6" fillId="0" borderId="1" xfId="0" applyNumberFormat="1" applyFont="1" applyBorder="1" applyAlignment="1">
      <alignment horizontal="right" vertical="top"/>
    </xf>
    <xf numFmtId="0" fontId="13" fillId="2" borderId="0" xfId="0" applyFont="1" applyFill="1" applyBorder="1" applyAlignment="1">
      <alignment vertical="center" wrapText="1"/>
    </xf>
    <xf numFmtId="3" fontId="5" fillId="2" borderId="1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vertical="top" wrapText="1"/>
    </xf>
    <xf numFmtId="0" fontId="6" fillId="0" borderId="0" xfId="0" applyFont="1"/>
    <xf numFmtId="0" fontId="6" fillId="0" borderId="26" xfId="0" applyFont="1" applyBorder="1" applyAlignment="1">
      <alignment vertical="top" wrapText="1"/>
    </xf>
    <xf numFmtId="0" fontId="13" fillId="2" borderId="11" xfId="0" applyFont="1" applyFill="1" applyBorder="1" applyAlignment="1">
      <alignment vertical="top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4" fontId="0" fillId="0" borderId="33" xfId="0" applyNumberFormat="1" applyBorder="1"/>
    <xf numFmtId="3" fontId="12" fillId="0" borderId="11" xfId="0" applyNumberFormat="1" applyFont="1" applyBorder="1"/>
    <xf numFmtId="3" fontId="12" fillId="0" borderId="12" xfId="0" applyNumberFormat="1" applyFont="1" applyBorder="1"/>
    <xf numFmtId="3" fontId="5" fillId="2" borderId="26" xfId="0" applyNumberFormat="1" applyFont="1" applyFill="1" applyBorder="1" applyAlignment="1">
      <alignment horizontal="right" vertical="top" wrapText="1"/>
    </xf>
    <xf numFmtId="3" fontId="5" fillId="2" borderId="26" xfId="0" applyNumberFormat="1" applyFont="1" applyFill="1" applyBorder="1" applyAlignment="1">
      <alignment vertical="top" wrapText="1"/>
    </xf>
    <xf numFmtId="3" fontId="5" fillId="2" borderId="12" xfId="0" applyNumberFormat="1" applyFont="1" applyFill="1" applyBorder="1" applyAlignment="1">
      <alignment vertical="top" wrapText="1"/>
    </xf>
    <xf numFmtId="3" fontId="5" fillId="2" borderId="5" xfId="0" applyNumberFormat="1" applyFont="1" applyFill="1" applyBorder="1" applyAlignment="1">
      <alignment vertical="top" wrapText="1"/>
    </xf>
    <xf numFmtId="0" fontId="5" fillId="2" borderId="12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5" xfId="0" applyFont="1" applyFill="1" applyBorder="1" applyAlignment="1">
      <alignment vertical="top"/>
    </xf>
    <xf numFmtId="4" fontId="5" fillId="2" borderId="3" xfId="0" applyNumberFormat="1" applyFont="1" applyFill="1" applyBorder="1" applyAlignment="1">
      <alignment vertical="top"/>
    </xf>
    <xf numFmtId="164" fontId="5" fillId="2" borderId="13" xfId="0" applyNumberFormat="1" applyFont="1" applyFill="1" applyBorder="1" applyAlignment="1">
      <alignment vertical="top"/>
    </xf>
    <xf numFmtId="164" fontId="5" fillId="2" borderId="10" xfId="0" applyNumberFormat="1" applyFont="1" applyFill="1" applyBorder="1" applyAlignment="1">
      <alignment vertical="top"/>
    </xf>
    <xf numFmtId="164" fontId="5" fillId="2" borderId="5" xfId="0" applyNumberFormat="1" applyFont="1" applyFill="1" applyBorder="1" applyAlignment="1">
      <alignment vertical="top"/>
    </xf>
    <xf numFmtId="164" fontId="5" fillId="2" borderId="26" xfId="0" applyNumberFormat="1" applyFont="1" applyFill="1" applyBorder="1" applyAlignment="1">
      <alignment vertical="top"/>
    </xf>
    <xf numFmtId="164" fontId="5" fillId="2" borderId="12" xfId="0" applyNumberFormat="1" applyFont="1" applyFill="1" applyBorder="1" applyAlignment="1">
      <alignment vertical="top"/>
    </xf>
    <xf numFmtId="0" fontId="5" fillId="0" borderId="26" xfId="0" applyFont="1" applyFill="1" applyBorder="1" applyAlignment="1">
      <alignment horizontal="center" vertical="top" wrapText="1"/>
    </xf>
    <xf numFmtId="164" fontId="5" fillId="2" borderId="26" xfId="0" applyNumberFormat="1" applyFont="1" applyFill="1" applyBorder="1" applyAlignment="1">
      <alignment vertical="top" wrapText="1"/>
    </xf>
    <xf numFmtId="164" fontId="5" fillId="2" borderId="12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left" vertical="top" wrapText="1"/>
    </xf>
    <xf numFmtId="0" fontId="13" fillId="0" borderId="0" xfId="0" applyFont="1" applyAlignment="1">
      <alignment vertical="top" wrapText="1"/>
    </xf>
    <xf numFmtId="4" fontId="5" fillId="2" borderId="26" xfId="0" applyNumberFormat="1" applyFont="1" applyFill="1" applyBorder="1" applyAlignment="1">
      <alignment vertical="center" wrapText="1"/>
    </xf>
    <xf numFmtId="164" fontId="13" fillId="2" borderId="26" xfId="0" applyNumberFormat="1" applyFont="1" applyFill="1" applyBorder="1" applyAlignment="1">
      <alignment vertical="top" wrapText="1"/>
    </xf>
    <xf numFmtId="164" fontId="13" fillId="2" borderId="12" xfId="0" applyNumberFormat="1" applyFont="1" applyFill="1" applyBorder="1" applyAlignment="1">
      <alignment vertical="top" wrapText="1"/>
    </xf>
    <xf numFmtId="4" fontId="5" fillId="2" borderId="13" xfId="0" applyNumberFormat="1" applyFont="1" applyFill="1" applyBorder="1" applyAlignment="1">
      <alignment vertical="top" wrapText="1"/>
    </xf>
    <xf numFmtId="0" fontId="6" fillId="2" borderId="26" xfId="0" applyFont="1" applyFill="1" applyBorder="1" applyAlignment="1">
      <alignment vertical="top" wrapText="1"/>
    </xf>
    <xf numFmtId="0" fontId="0" fillId="0" borderId="28" xfId="0" applyBorder="1"/>
    <xf numFmtId="0" fontId="0" fillId="0" borderId="21" xfId="0" applyBorder="1" applyAlignment="1">
      <alignment wrapText="1"/>
    </xf>
    <xf numFmtId="0" fontId="0" fillId="0" borderId="22" xfId="0" applyBorder="1" applyAlignment="1">
      <alignment vertical="top"/>
    </xf>
    <xf numFmtId="0" fontId="0" fillId="0" borderId="24" xfId="0" applyBorder="1"/>
    <xf numFmtId="0" fontId="0" fillId="0" borderId="0" xfId="0" applyBorder="1" applyAlignment="1">
      <alignment vertical="top"/>
    </xf>
    <xf numFmtId="164" fontId="5" fillId="2" borderId="3" xfId="0" applyNumberFormat="1" applyFont="1" applyFill="1" applyBorder="1" applyAlignment="1">
      <alignment vertical="top"/>
    </xf>
    <xf numFmtId="0" fontId="12" fillId="0" borderId="22" xfId="0" applyFont="1" applyBorder="1"/>
    <xf numFmtId="0" fontId="12" fillId="0" borderId="24" xfId="0" applyFont="1" applyBorder="1"/>
    <xf numFmtId="3" fontId="12" fillId="0" borderId="21" xfId="0" applyNumberFormat="1" applyFont="1" applyBorder="1"/>
    <xf numFmtId="0" fontId="12" fillId="0" borderId="23" xfId="0" applyFont="1" applyBorder="1"/>
    <xf numFmtId="164" fontId="0" fillId="0" borderId="21" xfId="0" applyNumberFormat="1" applyBorder="1"/>
    <xf numFmtId="164" fontId="12" fillId="0" borderId="21" xfId="0" applyNumberFormat="1" applyFont="1" applyBorder="1"/>
    <xf numFmtId="0" fontId="1" fillId="2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top" wrapText="1"/>
    </xf>
    <xf numFmtId="0" fontId="5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vertical="top" wrapText="1"/>
    </xf>
    <xf numFmtId="0" fontId="13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14" fillId="0" borderId="21" xfId="0" applyNumberFormat="1" applyFont="1" applyBorder="1"/>
    <xf numFmtId="0" fontId="0" fillId="0" borderId="40" xfId="0" applyBorder="1"/>
    <xf numFmtId="164" fontId="0" fillId="0" borderId="30" xfId="0" applyNumberFormat="1" applyBorder="1"/>
    <xf numFmtId="0" fontId="12" fillId="0" borderId="40" xfId="0" applyFont="1" applyBorder="1"/>
    <xf numFmtId="164" fontId="12" fillId="0" borderId="30" xfId="0" applyNumberFormat="1" applyFont="1" applyBorder="1"/>
    <xf numFmtId="0" fontId="0" fillId="0" borderId="5" xfId="0" applyBorder="1"/>
    <xf numFmtId="0" fontId="0" fillId="0" borderId="30" xfId="0" applyBorder="1"/>
    <xf numFmtId="0" fontId="14" fillId="0" borderId="40" xfId="0" applyFont="1" applyBorder="1" applyAlignment="1">
      <alignment horizontal="left" indent="2"/>
    </xf>
    <xf numFmtId="164" fontId="14" fillId="0" borderId="30" xfId="0" applyNumberFormat="1" applyFont="1" applyBorder="1"/>
    <xf numFmtId="0" fontId="0" fillId="0" borderId="39" xfId="0" applyBorder="1" applyAlignment="1">
      <alignment horizontal="center" wrapText="1"/>
    </xf>
    <xf numFmtId="0" fontId="12" fillId="0" borderId="41" xfId="0" applyFont="1" applyBorder="1"/>
    <xf numFmtId="0" fontId="12" fillId="0" borderId="37" xfId="0" applyFont="1" applyBorder="1"/>
    <xf numFmtId="164" fontId="12" fillId="0" borderId="31" xfId="0" applyNumberFormat="1" applyFont="1" applyBorder="1"/>
    <xf numFmtId="164" fontId="12" fillId="0" borderId="32" xfId="0" applyNumberFormat="1" applyFont="1" applyBorder="1"/>
    <xf numFmtId="0" fontId="5" fillId="2" borderId="13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left" vertical="top" wrapText="1"/>
    </xf>
    <xf numFmtId="164" fontId="5" fillId="2" borderId="13" xfId="0" applyNumberFormat="1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5" fillId="4" borderId="0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vertical="top" wrapText="1"/>
    </xf>
    <xf numFmtId="0" fontId="7" fillId="0" borderId="26" xfId="0" applyFont="1" applyBorder="1" applyAlignment="1">
      <alignment vertical="top" wrapText="1"/>
    </xf>
    <xf numFmtId="0" fontId="5" fillId="2" borderId="27" xfId="0" applyFont="1" applyFill="1" applyBorder="1" applyAlignment="1">
      <alignment vertical="top"/>
    </xf>
    <xf numFmtId="0" fontId="4" fillId="2" borderId="12" xfId="0" applyFont="1" applyFill="1" applyBorder="1" applyAlignment="1">
      <alignment vertical="top" wrapText="1"/>
    </xf>
    <xf numFmtId="0" fontId="4" fillId="2" borderId="26" xfId="0" applyFont="1" applyFill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2" borderId="27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3" fontId="5" fillId="2" borderId="0" xfId="0" applyNumberFormat="1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 wrapText="1"/>
    </xf>
    <xf numFmtId="0" fontId="5" fillId="2" borderId="12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vertical="top" wrapText="1"/>
    </xf>
    <xf numFmtId="0" fontId="5" fillId="2" borderId="11" xfId="0" applyFont="1" applyFill="1" applyBorder="1" applyAlignment="1">
      <alignment horizontal="center" vertical="top" wrapText="1"/>
    </xf>
    <xf numFmtId="0" fontId="0" fillId="0" borderId="29" xfId="0" applyBorder="1" applyAlignment="1">
      <alignment vertical="top"/>
    </xf>
    <xf numFmtId="3" fontId="0" fillId="0" borderId="30" xfId="0" applyNumberFormat="1" applyBorder="1" applyAlignment="1">
      <alignment vertical="top"/>
    </xf>
    <xf numFmtId="3" fontId="0" fillId="0" borderId="0" xfId="0" applyNumberFormat="1" applyBorder="1" applyAlignment="1">
      <alignment vertical="top"/>
    </xf>
    <xf numFmtId="0" fontId="0" fillId="0" borderId="32" xfId="0" applyBorder="1" applyAlignment="1">
      <alignment vertical="top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vertical="top"/>
    </xf>
    <xf numFmtId="3" fontId="5" fillId="2" borderId="27" xfId="0" applyNumberFormat="1" applyFont="1" applyFill="1" applyBorder="1" applyAlignment="1">
      <alignment vertical="center"/>
    </xf>
    <xf numFmtId="3" fontId="5" fillId="2" borderId="9" xfId="0" applyNumberFormat="1" applyFont="1" applyFill="1" applyBorder="1" applyAlignment="1">
      <alignment vertical="center"/>
    </xf>
    <xf numFmtId="164" fontId="5" fillId="2" borderId="26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vertical="top" wrapText="1"/>
    </xf>
    <xf numFmtId="0" fontId="5" fillId="0" borderId="8" xfId="0" applyFont="1" applyFill="1" applyBorder="1" applyAlignment="1">
      <alignment vertical="center" wrapText="1"/>
    </xf>
    <xf numFmtId="3" fontId="5" fillId="0" borderId="13" xfId="0" applyNumberFormat="1" applyFont="1" applyFill="1" applyBorder="1" applyAlignment="1">
      <alignment horizontal="right" vertical="top"/>
    </xf>
    <xf numFmtId="4" fontId="5" fillId="2" borderId="13" xfId="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164" fontId="5" fillId="2" borderId="13" xfId="0" applyNumberFormat="1" applyFont="1" applyFill="1" applyBorder="1" applyAlignment="1">
      <alignment vertical="top" wrapText="1"/>
    </xf>
    <xf numFmtId="164" fontId="13" fillId="2" borderId="13" xfId="0" applyNumberFormat="1" applyFont="1" applyFill="1" applyBorder="1" applyAlignment="1">
      <alignment vertical="top" wrapText="1"/>
    </xf>
    <xf numFmtId="164" fontId="13" fillId="2" borderId="3" xfId="0" applyNumberFormat="1" applyFont="1" applyFill="1" applyBorder="1" applyAlignment="1">
      <alignment vertical="top" wrapText="1"/>
    </xf>
    <xf numFmtId="0" fontId="13" fillId="2" borderId="26" xfId="0" applyFont="1" applyFill="1" applyBorder="1" applyAlignment="1">
      <alignment horizontal="left" vertical="top" wrapText="1"/>
    </xf>
    <xf numFmtId="0" fontId="0" fillId="0" borderId="11" xfId="0" applyBorder="1" applyAlignment="1">
      <alignment vertical="top"/>
    </xf>
    <xf numFmtId="0" fontId="0" fillId="0" borderId="27" xfId="0" applyBorder="1"/>
    <xf numFmtId="0" fontId="0" fillId="0" borderId="27" xfId="0" applyBorder="1" applyAlignment="1">
      <alignment vertical="top"/>
    </xf>
    <xf numFmtId="0" fontId="0" fillId="0" borderId="12" xfId="0" applyBorder="1" applyAlignment="1">
      <alignment vertical="top"/>
    </xf>
    <xf numFmtId="3" fontId="0" fillId="0" borderId="21" xfId="0" applyNumberFormat="1" applyBorder="1" applyAlignment="1">
      <alignment vertical="top"/>
    </xf>
    <xf numFmtId="3" fontId="0" fillId="5" borderId="31" xfId="0" applyNumberFormat="1" applyFill="1" applyBorder="1" applyAlignment="1">
      <alignment vertical="top"/>
    </xf>
    <xf numFmtId="0" fontId="0" fillId="0" borderId="31" xfId="0" applyBorder="1" applyAlignment="1">
      <alignment vertical="top"/>
    </xf>
    <xf numFmtId="0" fontId="10" fillId="2" borderId="1" xfId="0" applyFont="1" applyFill="1" applyBorder="1" applyAlignment="1">
      <alignment horizontal="right" vertical="top"/>
    </xf>
    <xf numFmtId="0" fontId="13" fillId="2" borderId="11" xfId="0" applyFont="1" applyFill="1" applyBorder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164" fontId="13" fillId="2" borderId="13" xfId="0" applyNumberFormat="1" applyFont="1" applyFill="1" applyBorder="1" applyAlignment="1">
      <alignment horizontal="right" vertical="top" wrapText="1"/>
    </xf>
    <xf numFmtId="164" fontId="13" fillId="2" borderId="10" xfId="0" applyNumberFormat="1" applyFont="1" applyFill="1" applyBorder="1" applyAlignment="1">
      <alignment horizontal="right" vertical="top" wrapText="1"/>
    </xf>
    <xf numFmtId="164" fontId="13" fillId="2" borderId="9" xfId="0" applyNumberFormat="1" applyFont="1" applyFill="1" applyBorder="1" applyAlignment="1">
      <alignment horizontal="right" vertical="top" wrapText="1"/>
    </xf>
    <xf numFmtId="0" fontId="0" fillId="0" borderId="21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5" fillId="4" borderId="13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top" wrapText="1"/>
    </xf>
    <xf numFmtId="0" fontId="5" fillId="4" borderId="9" xfId="0" applyFont="1" applyFill="1" applyBorder="1" applyAlignment="1">
      <alignment horizontal="center" vertical="top" wrapText="1"/>
    </xf>
    <xf numFmtId="164" fontId="5" fillId="2" borderId="13" xfId="0" applyNumberFormat="1" applyFont="1" applyFill="1" applyBorder="1" applyAlignment="1">
      <alignment horizontal="center" vertical="top" wrapText="1"/>
    </xf>
    <xf numFmtId="164" fontId="5" fillId="2" borderId="9" xfId="0" applyNumberFormat="1" applyFont="1" applyFill="1" applyBorder="1" applyAlignment="1">
      <alignment horizontal="center" vertical="top" wrapText="1"/>
    </xf>
    <xf numFmtId="164" fontId="5" fillId="2" borderId="10" xfId="0" applyNumberFormat="1" applyFont="1" applyFill="1" applyBorder="1" applyAlignment="1">
      <alignment horizontal="center" vertical="top" wrapText="1"/>
    </xf>
    <xf numFmtId="4" fontId="5" fillId="2" borderId="13" xfId="0" applyNumberFormat="1" applyFont="1" applyFill="1" applyBorder="1" applyAlignment="1">
      <alignment horizontal="right" vertical="top" wrapText="1"/>
    </xf>
    <xf numFmtId="4" fontId="5" fillId="2" borderId="10" xfId="0" applyNumberFormat="1" applyFont="1" applyFill="1" applyBorder="1" applyAlignment="1">
      <alignment horizontal="right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0" fontId="5" fillId="0" borderId="13" xfId="0" applyFont="1" applyFill="1" applyBorder="1" applyAlignment="1">
      <alignment vertical="top" wrapText="1"/>
    </xf>
    <xf numFmtId="0" fontId="5" fillId="0" borderId="9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top" wrapText="1"/>
    </xf>
    <xf numFmtId="0" fontId="13" fillId="2" borderId="13" xfId="0" applyFont="1" applyFill="1" applyBorder="1" applyAlignment="1">
      <alignment horizontal="left" vertical="top" wrapText="1"/>
    </xf>
    <xf numFmtId="0" fontId="13" fillId="2" borderId="9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5" fillId="2" borderId="4" xfId="0" applyFont="1" applyFill="1" applyBorder="1" applyAlignment="1">
      <alignment vertical="top"/>
    </xf>
    <xf numFmtId="0" fontId="5" fillId="2" borderId="3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3" fontId="5" fillId="2" borderId="13" xfId="0" applyNumberFormat="1" applyFont="1" applyFill="1" applyBorder="1" applyAlignment="1">
      <alignment horizontal="right" vertical="top"/>
    </xf>
    <xf numFmtId="3" fontId="5" fillId="2" borderId="10" xfId="0" applyNumberFormat="1" applyFont="1" applyFill="1" applyBorder="1" applyAlignment="1">
      <alignment horizontal="right" vertical="top"/>
    </xf>
    <xf numFmtId="3" fontId="5" fillId="2" borderId="9" xfId="0" applyNumberFormat="1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left" vertical="top" wrapText="1"/>
    </xf>
    <xf numFmtId="0" fontId="0" fillId="0" borderId="35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4" fillId="2" borderId="13" xfId="0" applyFont="1" applyFill="1" applyBorder="1" applyAlignment="1">
      <alignment vertical="top"/>
    </xf>
    <xf numFmtId="0" fontId="4" fillId="2" borderId="10" xfId="0" applyFont="1" applyFill="1" applyBorder="1" applyAlignment="1">
      <alignment vertical="top"/>
    </xf>
    <xf numFmtId="0" fontId="6" fillId="2" borderId="3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5" fillId="3" borderId="11" xfId="0" applyFont="1" applyFill="1" applyBorder="1" applyAlignment="1">
      <alignment vertical="top" wrapText="1"/>
    </xf>
    <xf numFmtId="0" fontId="5" fillId="3" borderId="12" xfId="0" applyFont="1" applyFill="1" applyBorder="1" applyAlignment="1">
      <alignment vertical="top" wrapText="1"/>
    </xf>
    <xf numFmtId="0" fontId="5" fillId="2" borderId="11" xfId="0" applyFont="1" applyFill="1" applyBorder="1" applyAlignment="1">
      <alignment vertical="top" wrapText="1"/>
    </xf>
    <xf numFmtId="0" fontId="5" fillId="2" borderId="12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3" fontId="5" fillId="2" borderId="13" xfId="0" applyNumberFormat="1" applyFont="1" applyFill="1" applyBorder="1" applyAlignment="1">
      <alignment horizontal="center" vertical="top"/>
    </xf>
    <xf numFmtId="3" fontId="5" fillId="2" borderId="10" xfId="0" applyNumberFormat="1" applyFont="1" applyFill="1" applyBorder="1" applyAlignment="1">
      <alignment horizontal="center" vertical="top"/>
    </xf>
    <xf numFmtId="3" fontId="5" fillId="2" borderId="9" xfId="0" applyNumberFormat="1" applyFont="1" applyFill="1" applyBorder="1" applyAlignment="1">
      <alignment horizontal="center" vertical="top"/>
    </xf>
    <xf numFmtId="0" fontId="5" fillId="2" borderId="8" xfId="0" applyFont="1" applyFill="1" applyBorder="1" applyAlignment="1">
      <alignment vertical="top" wrapText="1"/>
    </xf>
    <xf numFmtId="0" fontId="5" fillId="0" borderId="10" xfId="0" applyFont="1" applyFill="1" applyBorder="1" applyAlignment="1">
      <alignment vertical="top" wrapText="1"/>
    </xf>
    <xf numFmtId="3" fontId="6" fillId="0" borderId="13" xfId="0" applyNumberFormat="1" applyFont="1" applyBorder="1" applyAlignment="1">
      <alignment horizontal="right" vertical="top"/>
    </xf>
    <xf numFmtId="3" fontId="6" fillId="0" borderId="10" xfId="0" applyNumberFormat="1" applyFont="1" applyBorder="1" applyAlignment="1">
      <alignment horizontal="right" vertical="top"/>
    </xf>
    <xf numFmtId="3" fontId="6" fillId="0" borderId="9" xfId="0" applyNumberFormat="1" applyFont="1" applyBorder="1" applyAlignment="1">
      <alignment horizontal="right" vertical="top"/>
    </xf>
    <xf numFmtId="3" fontId="6" fillId="0" borderId="13" xfId="0" applyNumberFormat="1" applyFont="1" applyBorder="1" applyAlignment="1">
      <alignment horizontal="center" vertical="top"/>
    </xf>
    <xf numFmtId="3" fontId="6" fillId="0" borderId="9" xfId="0" applyNumberFormat="1" applyFont="1" applyBorder="1" applyAlignment="1">
      <alignment horizontal="center" vertical="top"/>
    </xf>
    <xf numFmtId="0" fontId="5" fillId="2" borderId="13" xfId="0" applyFont="1" applyFill="1" applyBorder="1" applyAlignment="1">
      <alignment horizontal="right" vertical="top"/>
    </xf>
    <xf numFmtId="0" fontId="5" fillId="2" borderId="9" xfId="0" applyFont="1" applyFill="1" applyBorder="1" applyAlignment="1">
      <alignment horizontal="right" vertical="top"/>
    </xf>
    <xf numFmtId="0" fontId="4" fillId="2" borderId="4" xfId="0" applyFont="1" applyFill="1" applyBorder="1" applyAlignment="1">
      <alignment horizontal="justify" vertical="center"/>
    </xf>
    <xf numFmtId="0" fontId="4" fillId="2" borderId="0" xfId="0" applyFont="1" applyFill="1" applyBorder="1" applyAlignment="1">
      <alignment horizontal="justify" vertical="center"/>
    </xf>
    <xf numFmtId="0" fontId="6" fillId="2" borderId="4" xfId="0" applyFont="1" applyFill="1" applyBorder="1" applyAlignment="1">
      <alignment horizontal="justify" vertical="center"/>
    </xf>
    <xf numFmtId="0" fontId="6" fillId="2" borderId="0" xfId="0" applyFont="1" applyFill="1" applyBorder="1" applyAlignment="1">
      <alignment horizontal="justify" vertical="center"/>
    </xf>
    <xf numFmtId="0" fontId="4" fillId="2" borderId="6" xfId="0" applyFont="1" applyFill="1" applyBorder="1" applyAlignment="1">
      <alignment horizontal="justify" vertical="center"/>
    </xf>
    <xf numFmtId="0" fontId="4" fillId="2" borderId="7" xfId="0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4" borderId="10" xfId="0" applyFont="1" applyFill="1" applyBorder="1" applyAlignment="1">
      <alignment horizontal="left" vertical="top" wrapText="1"/>
    </xf>
    <xf numFmtId="0" fontId="5" fillId="4" borderId="13" xfId="0" applyFont="1" applyFill="1" applyBorder="1" applyAlignment="1">
      <alignment horizontal="left" vertical="top" wrapText="1"/>
    </xf>
    <xf numFmtId="0" fontId="5" fillId="4" borderId="9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0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0" fillId="0" borderId="36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3" fontId="5" fillId="2" borderId="3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ABBCD-93EB-4DF1-927C-A2C49A1A60EE}">
  <dimension ref="A1:AL319"/>
  <sheetViews>
    <sheetView tabSelected="1" topLeftCell="A312" zoomScaleNormal="100" workbookViewId="0">
      <selection activeCell="D316" sqref="D316"/>
    </sheetView>
  </sheetViews>
  <sheetFormatPr defaultRowHeight="15"/>
  <cols>
    <col min="1" max="1" width="6.28515625" style="93" customWidth="1"/>
    <col min="2" max="2" width="31" customWidth="1"/>
    <col min="3" max="3" width="32.85546875" customWidth="1"/>
    <col min="4" max="4" width="23.5703125" customWidth="1"/>
    <col min="5" max="5" width="14.85546875" hidden="1" customWidth="1"/>
    <col min="6" max="6" width="12.85546875" hidden="1" customWidth="1"/>
    <col min="7" max="7" width="12.85546875" customWidth="1"/>
    <col min="8" max="8" width="15" style="93" customWidth="1"/>
    <col min="9" max="9" width="16.7109375" style="93" customWidth="1"/>
    <col min="10" max="10" width="16.7109375" customWidth="1"/>
    <col min="11" max="11" width="9.140625" style="93"/>
  </cols>
  <sheetData>
    <row r="1" spans="1:12">
      <c r="A1" s="470" t="s">
        <v>0</v>
      </c>
      <c r="B1" s="471"/>
      <c r="C1" s="471"/>
      <c r="D1" s="471"/>
      <c r="E1" s="471"/>
      <c r="F1" s="471"/>
      <c r="G1" s="471"/>
      <c r="H1" s="471"/>
      <c r="I1" s="471"/>
      <c r="J1" s="257"/>
    </row>
    <row r="2" spans="1:12" ht="15.75">
      <c r="A2" s="472"/>
      <c r="B2" s="473"/>
      <c r="C2" s="473"/>
      <c r="D2" s="473"/>
      <c r="E2" s="473"/>
      <c r="F2" s="473"/>
      <c r="G2" s="473"/>
      <c r="H2" s="473"/>
      <c r="I2" s="473"/>
      <c r="J2" s="201"/>
    </row>
    <row r="3" spans="1:12">
      <c r="A3" s="411" t="s">
        <v>1</v>
      </c>
      <c r="B3" s="412"/>
      <c r="C3" s="412"/>
      <c r="D3" s="412"/>
      <c r="E3" s="412"/>
      <c r="F3" s="412"/>
      <c r="G3" s="412"/>
      <c r="H3" s="412"/>
      <c r="I3" s="412"/>
      <c r="J3" s="176"/>
    </row>
    <row r="4" spans="1:12">
      <c r="A4" s="418"/>
      <c r="B4" s="419"/>
      <c r="C4" s="419"/>
      <c r="D4" s="419"/>
      <c r="E4" s="419"/>
      <c r="F4" s="419"/>
      <c r="G4" s="419"/>
      <c r="H4" s="419"/>
      <c r="I4" s="419"/>
      <c r="J4" s="184"/>
    </row>
    <row r="5" spans="1:12" ht="15.75" thickBot="1">
      <c r="A5" s="413" t="s">
        <v>2</v>
      </c>
      <c r="B5" s="414"/>
      <c r="C5" s="414"/>
      <c r="D5" s="414"/>
      <c r="E5" s="414"/>
      <c r="F5" s="414"/>
      <c r="G5" s="414"/>
      <c r="H5" s="414"/>
      <c r="I5" s="414"/>
      <c r="J5" s="176"/>
    </row>
    <row r="6" spans="1:12" ht="45.75" thickBot="1">
      <c r="A6" s="84" t="s">
        <v>3</v>
      </c>
      <c r="B6" s="1" t="s">
        <v>4</v>
      </c>
      <c r="C6" s="1" t="s">
        <v>5</v>
      </c>
      <c r="D6" s="27" t="s">
        <v>6</v>
      </c>
      <c r="E6" s="96" t="s">
        <v>504</v>
      </c>
      <c r="F6" s="1" t="s">
        <v>505</v>
      </c>
      <c r="G6" s="95" t="s">
        <v>507</v>
      </c>
      <c r="H6" s="306" t="s">
        <v>7</v>
      </c>
      <c r="I6" s="307" t="s">
        <v>8</v>
      </c>
      <c r="J6" s="218"/>
    </row>
    <row r="7" spans="1:12" ht="15.75" customHeight="1" thickBot="1">
      <c r="A7" s="476">
        <v>1</v>
      </c>
      <c r="B7" s="479" t="s">
        <v>9</v>
      </c>
      <c r="C7" s="216" t="s">
        <v>524</v>
      </c>
      <c r="D7" s="217"/>
      <c r="E7" s="203">
        <f>'Cost details'!G22</f>
        <v>15000</v>
      </c>
      <c r="F7" s="206">
        <f>E7</f>
        <v>15000</v>
      </c>
      <c r="G7" s="203">
        <f>F7</f>
        <v>15000</v>
      </c>
      <c r="H7" s="370" t="s">
        <v>13</v>
      </c>
      <c r="I7" s="370" t="s">
        <v>486</v>
      </c>
      <c r="J7" s="258"/>
      <c r="K7" s="93" t="s">
        <v>535</v>
      </c>
    </row>
    <row r="8" spans="1:12" ht="22.5" customHeight="1" thickBot="1">
      <c r="A8" s="477"/>
      <c r="B8" s="480"/>
      <c r="C8" s="152" t="s">
        <v>10</v>
      </c>
      <c r="D8" s="399" t="s">
        <v>12</v>
      </c>
      <c r="E8" s="203">
        <f>'Cost details'!C83/1000</f>
        <v>47376</v>
      </c>
      <c r="F8" s="206">
        <f>E8</f>
        <v>47376</v>
      </c>
      <c r="G8" s="203">
        <f>F8</f>
        <v>47376</v>
      </c>
      <c r="H8" s="371"/>
      <c r="I8" s="371"/>
      <c r="J8" s="258"/>
      <c r="K8" s="93" t="s">
        <v>535</v>
      </c>
    </row>
    <row r="9" spans="1:12" ht="79.5" thickBot="1">
      <c r="A9" s="477"/>
      <c r="B9" s="480"/>
      <c r="C9" s="152" t="s">
        <v>11</v>
      </c>
      <c r="D9" s="400"/>
      <c r="E9" s="204">
        <v>0</v>
      </c>
      <c r="F9" s="3">
        <v>0</v>
      </c>
      <c r="G9" s="204">
        <v>0</v>
      </c>
      <c r="H9" s="371"/>
      <c r="I9" s="371"/>
      <c r="J9" s="258"/>
      <c r="K9" s="93" t="s">
        <v>535</v>
      </c>
    </row>
    <row r="10" spans="1:12" ht="68.25" thickBot="1">
      <c r="A10" s="477"/>
      <c r="B10" s="480"/>
      <c r="C10" s="152" t="s">
        <v>381</v>
      </c>
      <c r="D10" s="80" t="s">
        <v>15</v>
      </c>
      <c r="E10" s="204"/>
      <c r="F10" s="204"/>
      <c r="G10" s="204"/>
      <c r="H10" s="371"/>
      <c r="I10" s="371"/>
      <c r="J10" s="258"/>
      <c r="K10" s="93" t="s">
        <v>535</v>
      </c>
    </row>
    <row r="11" spans="1:12" ht="68.25" thickBot="1">
      <c r="A11" s="477"/>
      <c r="B11" s="480"/>
      <c r="C11" s="77" t="s">
        <v>16</v>
      </c>
      <c r="D11" s="79" t="s">
        <v>17</v>
      </c>
      <c r="E11" s="203">
        <v>0</v>
      </c>
      <c r="F11" s="59">
        <f>E11</f>
        <v>0</v>
      </c>
      <c r="G11" s="203">
        <f>F11</f>
        <v>0</v>
      </c>
      <c r="H11" s="371"/>
      <c r="I11" s="371"/>
      <c r="J11" s="258"/>
      <c r="K11" s="93" t="s">
        <v>535</v>
      </c>
      <c r="L11" t="s">
        <v>527</v>
      </c>
    </row>
    <row r="12" spans="1:12" ht="68.25" thickBot="1">
      <c r="A12" s="477"/>
      <c r="B12" s="480"/>
      <c r="C12" s="77" t="s">
        <v>429</v>
      </c>
      <c r="D12" s="79" t="s">
        <v>18</v>
      </c>
      <c r="E12" s="474"/>
      <c r="F12" s="474"/>
      <c r="G12" s="474"/>
      <c r="H12" s="371"/>
      <c r="I12" s="371"/>
      <c r="J12" s="258"/>
      <c r="K12" s="93" t="s">
        <v>535</v>
      </c>
      <c r="L12" t="s">
        <v>527</v>
      </c>
    </row>
    <row r="13" spans="1:12" ht="79.5" thickBot="1">
      <c r="A13" s="477"/>
      <c r="B13" s="480"/>
      <c r="C13" s="78" t="s">
        <v>391</v>
      </c>
      <c r="D13" s="80" t="s">
        <v>20</v>
      </c>
      <c r="E13" s="475"/>
      <c r="F13" s="475"/>
      <c r="G13" s="475"/>
      <c r="H13" s="371"/>
      <c r="I13" s="371"/>
      <c r="J13" s="258"/>
      <c r="K13" s="93" t="s">
        <v>535</v>
      </c>
      <c r="L13" t="s">
        <v>527</v>
      </c>
    </row>
    <row r="14" spans="1:12" ht="23.25" thickBot="1">
      <c r="A14" s="478"/>
      <c r="B14" s="481"/>
      <c r="C14" s="152" t="s">
        <v>21</v>
      </c>
      <c r="D14" s="152" t="s">
        <v>22</v>
      </c>
      <c r="E14" s="202">
        <f>'Cost details'!C91/1000</f>
        <v>12779.281999999999</v>
      </c>
      <c r="F14" s="202">
        <f>E14</f>
        <v>12779.281999999999</v>
      </c>
      <c r="G14" s="202">
        <f>F14</f>
        <v>12779.281999999999</v>
      </c>
      <c r="H14" s="372"/>
      <c r="I14" s="372"/>
      <c r="J14" s="258"/>
      <c r="K14" s="93" t="s">
        <v>535</v>
      </c>
    </row>
    <row r="15" spans="1:12" ht="56.25" customHeight="1">
      <c r="A15" s="487">
        <v>2</v>
      </c>
      <c r="B15" s="370" t="s">
        <v>23</v>
      </c>
      <c r="C15" s="76" t="s">
        <v>414</v>
      </c>
      <c r="D15" s="399" t="s">
        <v>30</v>
      </c>
      <c r="E15" s="451">
        <f>'Cost details'!C6</f>
        <v>12250</v>
      </c>
      <c r="F15" s="451">
        <f>'Cost details'!D6</f>
        <v>24500</v>
      </c>
      <c r="G15" s="451">
        <f>'Cost details'!E6</f>
        <v>18375</v>
      </c>
      <c r="H15" s="399" t="s">
        <v>13</v>
      </c>
      <c r="I15" s="401" t="s">
        <v>486</v>
      </c>
      <c r="J15" s="259"/>
      <c r="K15" s="93" t="s">
        <v>538</v>
      </c>
    </row>
    <row r="16" spans="1:12" ht="45">
      <c r="A16" s="488"/>
      <c r="B16" s="371"/>
      <c r="C16" s="76" t="s">
        <v>24</v>
      </c>
      <c r="D16" s="486"/>
      <c r="E16" s="452"/>
      <c r="F16" s="452"/>
      <c r="G16" s="452"/>
      <c r="H16" s="486"/>
      <c r="I16" s="357"/>
      <c r="J16" s="259"/>
    </row>
    <row r="17" spans="1:12" ht="78.75" customHeight="1">
      <c r="A17" s="488"/>
      <c r="B17" s="371"/>
      <c r="C17" s="76" t="s">
        <v>25</v>
      </c>
      <c r="D17" s="486"/>
      <c r="E17" s="452"/>
      <c r="F17" s="452"/>
      <c r="G17" s="452"/>
      <c r="H17" s="486"/>
      <c r="I17" s="357"/>
      <c r="J17" s="259"/>
    </row>
    <row r="18" spans="1:12" ht="56.25">
      <c r="A18" s="488"/>
      <c r="B18" s="371"/>
      <c r="C18" s="76" t="s">
        <v>26</v>
      </c>
      <c r="D18" s="486"/>
      <c r="E18" s="452"/>
      <c r="F18" s="452"/>
      <c r="G18" s="452"/>
      <c r="H18" s="486"/>
      <c r="I18" s="357"/>
      <c r="J18" s="259"/>
    </row>
    <row r="19" spans="1:12" ht="45">
      <c r="A19" s="488"/>
      <c r="B19" s="371"/>
      <c r="C19" s="76" t="s">
        <v>27</v>
      </c>
      <c r="D19" s="486"/>
      <c r="E19" s="452"/>
      <c r="F19" s="452"/>
      <c r="G19" s="452"/>
      <c r="H19" s="486"/>
      <c r="I19" s="357"/>
      <c r="J19" s="259"/>
    </row>
    <row r="20" spans="1:12" ht="67.5" customHeight="1">
      <c r="A20" s="488"/>
      <c r="B20" s="371"/>
      <c r="C20" s="76" t="s">
        <v>28</v>
      </c>
      <c r="D20" s="486"/>
      <c r="E20" s="452"/>
      <c r="F20" s="452"/>
      <c r="G20" s="452"/>
      <c r="H20" s="486"/>
      <c r="I20" s="357"/>
      <c r="J20" s="259"/>
    </row>
    <row r="21" spans="1:12" ht="56.25" customHeight="1" thickBot="1">
      <c r="A21" s="488"/>
      <c r="B21" s="371"/>
      <c r="C21" s="76" t="s">
        <v>29</v>
      </c>
      <c r="D21" s="486"/>
      <c r="E21" s="452"/>
      <c r="F21" s="452"/>
      <c r="G21" s="452"/>
      <c r="H21" s="486"/>
      <c r="I21" s="357"/>
      <c r="J21" s="259"/>
    </row>
    <row r="22" spans="1:12" ht="69" customHeight="1" thickBot="1">
      <c r="A22" s="487">
        <v>3</v>
      </c>
      <c r="B22" s="370" t="s">
        <v>31</v>
      </c>
      <c r="C22" s="152" t="s">
        <v>413</v>
      </c>
      <c r="D22" s="399" t="s">
        <v>32</v>
      </c>
      <c r="E22" s="102">
        <f>'Cost details'!C11</f>
        <v>9800</v>
      </c>
      <c r="F22" s="102">
        <f>'Cost details'!D11</f>
        <v>14700</v>
      </c>
      <c r="G22" s="197">
        <f>'Cost details'!E11</f>
        <v>12250</v>
      </c>
      <c r="H22" s="399" t="s">
        <v>13</v>
      </c>
      <c r="I22" s="401" t="s">
        <v>556</v>
      </c>
      <c r="J22" s="259"/>
      <c r="K22" s="93" t="s">
        <v>539</v>
      </c>
    </row>
    <row r="23" spans="1:12" ht="60" customHeight="1" thickBot="1">
      <c r="A23" s="488"/>
      <c r="B23" s="371"/>
      <c r="C23" s="152" t="s">
        <v>430</v>
      </c>
      <c r="D23" s="486"/>
      <c r="E23" s="102">
        <v>0</v>
      </c>
      <c r="F23" s="117">
        <f>E23</f>
        <v>0</v>
      </c>
      <c r="G23" s="117">
        <v>0</v>
      </c>
      <c r="H23" s="486"/>
      <c r="I23" s="358"/>
      <c r="J23" s="259"/>
    </row>
    <row r="24" spans="1:12" ht="95.25" customHeight="1" thickBot="1">
      <c r="A24" s="89">
        <v>4</v>
      </c>
      <c r="B24" s="97" t="s">
        <v>557</v>
      </c>
      <c r="C24" s="97" t="s">
        <v>33</v>
      </c>
      <c r="D24" s="81" t="s">
        <v>34</v>
      </c>
      <c r="E24" s="70">
        <v>0</v>
      </c>
      <c r="F24" s="23">
        <v>0</v>
      </c>
      <c r="G24" s="12">
        <v>0</v>
      </c>
      <c r="H24" s="81" t="s">
        <v>35</v>
      </c>
      <c r="I24" s="287" t="s">
        <v>558</v>
      </c>
      <c r="J24" s="260"/>
    </row>
    <row r="25" spans="1:12" ht="67.5">
      <c r="A25" s="389">
        <v>5</v>
      </c>
      <c r="B25" s="354" t="s">
        <v>36</v>
      </c>
      <c r="C25" s="354" t="s">
        <v>435</v>
      </c>
      <c r="D25" s="81" t="s">
        <v>37</v>
      </c>
      <c r="E25" s="12">
        <v>0</v>
      </c>
      <c r="F25" s="16">
        <v>0</v>
      </c>
      <c r="G25" s="12">
        <v>0</v>
      </c>
      <c r="H25" s="464"/>
      <c r="I25" s="354" t="s">
        <v>559</v>
      </c>
      <c r="J25" s="260"/>
    </row>
    <row r="26" spans="1:12" ht="102" thickBot="1">
      <c r="A26" s="415"/>
      <c r="B26" s="356"/>
      <c r="C26" s="356"/>
      <c r="D26" s="94" t="s">
        <v>38</v>
      </c>
      <c r="E26" s="13"/>
      <c r="F26" s="19"/>
      <c r="G26" s="13"/>
      <c r="H26" s="465"/>
      <c r="I26" s="356"/>
      <c r="J26" s="260"/>
    </row>
    <row r="27" spans="1:12" ht="45.75" thickBot="1">
      <c r="A27" s="389">
        <v>6</v>
      </c>
      <c r="B27" s="387" t="s">
        <v>39</v>
      </c>
      <c r="C27" s="99" t="s">
        <v>40</v>
      </c>
      <c r="D27" s="404" t="s">
        <v>42</v>
      </c>
      <c r="E27" s="102">
        <f>'Cost details'!C11</f>
        <v>9800</v>
      </c>
      <c r="F27" s="102">
        <f>'Cost details'!D11</f>
        <v>14700</v>
      </c>
      <c r="G27" s="197">
        <f>'Cost details'!E11</f>
        <v>12250</v>
      </c>
      <c r="H27" s="466"/>
      <c r="I27" s="467" t="s">
        <v>559</v>
      </c>
      <c r="J27" s="305"/>
      <c r="K27" s="93" t="s">
        <v>539</v>
      </c>
    </row>
    <row r="28" spans="1:12" ht="45.75" thickBot="1">
      <c r="A28" s="415"/>
      <c r="B28" s="387"/>
      <c r="C28" s="99" t="s">
        <v>41</v>
      </c>
      <c r="D28" s="404"/>
      <c r="E28" s="12">
        <v>0</v>
      </c>
      <c r="F28" s="16">
        <v>0</v>
      </c>
      <c r="G28" s="70">
        <v>0</v>
      </c>
      <c r="H28" s="466"/>
      <c r="I28" s="467"/>
      <c r="J28" s="305"/>
    </row>
    <row r="29" spans="1:12" ht="30" customHeight="1" thickBot="1">
      <c r="A29" s="359">
        <v>7</v>
      </c>
      <c r="B29" s="468" t="s">
        <v>43</v>
      </c>
      <c r="C29" s="96" t="s">
        <v>524</v>
      </c>
      <c r="D29" s="101"/>
      <c r="E29" s="127">
        <f>'Cost details'!G22</f>
        <v>15000</v>
      </c>
      <c r="F29" s="128">
        <f>E29</f>
        <v>15000</v>
      </c>
      <c r="G29" s="128">
        <f>F29</f>
        <v>15000</v>
      </c>
      <c r="H29" s="373" t="s">
        <v>536</v>
      </c>
      <c r="I29" s="375" t="s">
        <v>556</v>
      </c>
      <c r="J29" s="261"/>
      <c r="K29" s="93" t="s">
        <v>535</v>
      </c>
    </row>
    <row r="30" spans="1:12" ht="63" customHeight="1" thickBot="1">
      <c r="A30" s="360"/>
      <c r="B30" s="467"/>
      <c r="C30" s="190" t="s">
        <v>44</v>
      </c>
      <c r="D30" s="106" t="s">
        <v>45</v>
      </c>
      <c r="E30" s="102">
        <f>'Cost details'!C100/1000</f>
        <v>36060.639999999999</v>
      </c>
      <c r="F30" s="102">
        <f>E30</f>
        <v>36060.639999999999</v>
      </c>
      <c r="G30" s="197">
        <f>F30</f>
        <v>36060.639999999999</v>
      </c>
      <c r="H30" s="374"/>
      <c r="I30" s="376"/>
      <c r="J30" s="261"/>
      <c r="K30" s="93" t="s">
        <v>535</v>
      </c>
    </row>
    <row r="31" spans="1:12" ht="90.75" thickBot="1">
      <c r="A31" s="360"/>
      <c r="B31" s="467"/>
      <c r="C31" s="190" t="s">
        <v>46</v>
      </c>
      <c r="D31" s="106" t="s">
        <v>47</v>
      </c>
      <c r="E31" s="102"/>
      <c r="F31" s="102"/>
      <c r="G31" s="117"/>
      <c r="H31" s="374"/>
      <c r="I31" s="376"/>
      <c r="J31" s="261"/>
      <c r="K31" s="93" t="s">
        <v>535</v>
      </c>
      <c r="L31" t="s">
        <v>527</v>
      </c>
    </row>
    <row r="32" spans="1:12" ht="59.25" customHeight="1" thickBot="1">
      <c r="A32" s="360"/>
      <c r="B32" s="467"/>
      <c r="C32" s="190" t="s">
        <v>390</v>
      </c>
      <c r="D32" s="106" t="s">
        <v>48</v>
      </c>
      <c r="E32" s="102"/>
      <c r="F32" s="102"/>
      <c r="G32" s="198"/>
      <c r="H32" s="374"/>
      <c r="I32" s="376"/>
      <c r="J32" s="261"/>
      <c r="K32" s="93" t="s">
        <v>535</v>
      </c>
      <c r="L32" t="s">
        <v>527</v>
      </c>
    </row>
    <row r="33" spans="1:38" ht="83.25" customHeight="1" thickBot="1">
      <c r="A33" s="360"/>
      <c r="B33" s="467"/>
      <c r="C33" s="190" t="s">
        <v>49</v>
      </c>
      <c r="D33" s="106" t="s">
        <v>50</v>
      </c>
      <c r="E33" s="102"/>
      <c r="F33" s="102"/>
      <c r="G33" s="117"/>
      <c r="H33" s="374"/>
      <c r="I33" s="376"/>
      <c r="J33" s="261"/>
      <c r="K33" s="93" t="s">
        <v>535</v>
      </c>
      <c r="L33" t="s">
        <v>527</v>
      </c>
    </row>
    <row r="34" spans="1:38" ht="45.75" thickBot="1">
      <c r="A34" s="360"/>
      <c r="B34" s="467"/>
      <c r="C34" s="146" t="s">
        <v>51</v>
      </c>
      <c r="D34" s="101" t="s">
        <v>52</v>
      </c>
      <c r="E34" s="102">
        <f>'Cost details'!C111/1000</f>
        <v>5076</v>
      </c>
      <c r="F34" s="102">
        <f>E34</f>
        <v>5076</v>
      </c>
      <c r="G34" s="117">
        <f>F34</f>
        <v>5076</v>
      </c>
      <c r="H34" s="374"/>
      <c r="I34" s="376"/>
      <c r="J34" s="261"/>
      <c r="K34" s="93" t="s">
        <v>535</v>
      </c>
    </row>
    <row r="35" spans="1:38" ht="39" customHeight="1" thickBot="1">
      <c r="A35" s="360"/>
      <c r="B35" s="467"/>
      <c r="C35" s="190" t="s">
        <v>53</v>
      </c>
      <c r="D35" s="106" t="s">
        <v>54</v>
      </c>
      <c r="E35" s="102"/>
      <c r="F35" s="102"/>
      <c r="G35" s="117"/>
      <c r="H35" s="374"/>
      <c r="I35" s="376"/>
      <c r="J35" s="261"/>
      <c r="K35" s="93" t="s">
        <v>535</v>
      </c>
    </row>
    <row r="36" spans="1:38" ht="34.5" thickBot="1">
      <c r="A36" s="361"/>
      <c r="B36" s="469"/>
      <c r="C36" s="99" t="s">
        <v>427</v>
      </c>
      <c r="D36" s="101" t="s">
        <v>426</v>
      </c>
      <c r="E36" s="102">
        <f>'Cost details'!C115/1000+'Cost details'!G21/1000</f>
        <v>18098.46</v>
      </c>
      <c r="F36" s="102">
        <f>E36</f>
        <v>18098.46</v>
      </c>
      <c r="G36" s="117">
        <f>F36</f>
        <v>18098.46</v>
      </c>
      <c r="H36" s="301"/>
      <c r="I36" s="377"/>
      <c r="J36" s="261"/>
      <c r="K36" s="93" t="s">
        <v>535</v>
      </c>
    </row>
    <row r="37" spans="1:38" ht="118.5" customHeight="1" thickBot="1">
      <c r="A37" s="359">
        <v>8</v>
      </c>
      <c r="B37" s="106" t="s">
        <v>393</v>
      </c>
      <c r="C37" s="103" t="s">
        <v>428</v>
      </c>
      <c r="D37" s="354" t="s">
        <v>55</v>
      </c>
      <c r="E37" s="197">
        <v>0</v>
      </c>
      <c r="F37" s="207">
        <v>0</v>
      </c>
      <c r="G37" s="207">
        <v>0</v>
      </c>
      <c r="H37" s="351" t="s">
        <v>56</v>
      </c>
      <c r="I37" s="351" t="s">
        <v>556</v>
      </c>
      <c r="J37" s="262"/>
    </row>
    <row r="38" spans="1:38" ht="51" customHeight="1" thickBot="1">
      <c r="A38" s="361"/>
      <c r="B38" s="119" t="s">
        <v>436</v>
      </c>
      <c r="C38" s="105" t="s">
        <v>437</v>
      </c>
      <c r="D38" s="356"/>
      <c r="E38" s="197">
        <v>0</v>
      </c>
      <c r="F38" s="197">
        <v>0</v>
      </c>
      <c r="G38" s="117">
        <v>0</v>
      </c>
      <c r="H38" s="353"/>
      <c r="I38" s="353"/>
      <c r="J38" s="262"/>
    </row>
    <row r="39" spans="1:38" ht="45.75" thickBot="1">
      <c r="A39" s="89">
        <v>9</v>
      </c>
      <c r="B39" s="103" t="s">
        <v>57</v>
      </c>
      <c r="C39" s="104" t="s">
        <v>58</v>
      </c>
      <c r="D39" s="106" t="s">
        <v>59</v>
      </c>
      <c r="E39" s="102">
        <v>0</v>
      </c>
      <c r="F39" s="102">
        <v>0</v>
      </c>
      <c r="G39" s="208">
        <v>0</v>
      </c>
      <c r="H39" s="81" t="s">
        <v>60</v>
      </c>
      <c r="I39" s="287" t="s">
        <v>558</v>
      </c>
      <c r="J39" s="260"/>
    </row>
    <row r="40" spans="1:38" ht="57" thickBot="1">
      <c r="A40" s="89">
        <v>10</v>
      </c>
      <c r="B40" s="103" t="s">
        <v>560</v>
      </c>
      <c r="C40" s="103" t="s">
        <v>61</v>
      </c>
      <c r="D40" s="106" t="s">
        <v>62</v>
      </c>
      <c r="E40" s="102">
        <v>0</v>
      </c>
      <c r="F40" s="102">
        <v>0</v>
      </c>
      <c r="G40" s="197">
        <v>0</v>
      </c>
      <c r="H40" s="81" t="s">
        <v>69</v>
      </c>
      <c r="I40" s="287" t="s">
        <v>558</v>
      </c>
      <c r="J40" s="260"/>
    </row>
    <row r="41" spans="1:38" s="17" customFormat="1" ht="15.75" customHeight="1" thickBot="1">
      <c r="A41" s="88"/>
      <c r="B41" s="109" t="s">
        <v>399</v>
      </c>
      <c r="C41" s="109"/>
      <c r="D41" s="109"/>
      <c r="E41" s="102">
        <f>SUM(E7:E40)</f>
        <v>181240.38200000001</v>
      </c>
      <c r="F41" s="197">
        <f>SUM(F7:F40)</f>
        <v>203290.38200000001</v>
      </c>
      <c r="G41" s="197">
        <f>SUM(G7:G40)</f>
        <v>192265.38200000001</v>
      </c>
      <c r="H41" s="308"/>
      <c r="I41" s="135"/>
      <c r="J41" s="65"/>
      <c r="K41" s="92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</row>
    <row r="42" spans="1:38">
      <c r="A42" s="407" t="s">
        <v>63</v>
      </c>
      <c r="B42" s="408"/>
      <c r="C42" s="408"/>
      <c r="D42" s="408"/>
      <c r="E42" s="408"/>
      <c r="F42" s="408"/>
      <c r="G42" s="408"/>
      <c r="H42" s="408"/>
      <c r="I42" s="408"/>
      <c r="J42" s="181"/>
    </row>
    <row r="43" spans="1:38" ht="15" customHeight="1">
      <c r="A43" s="458" t="s">
        <v>64</v>
      </c>
      <c r="B43" s="459"/>
      <c r="C43" s="459"/>
      <c r="D43" s="459"/>
      <c r="E43" s="459"/>
      <c r="F43" s="459"/>
      <c r="G43" s="459"/>
      <c r="H43" s="459"/>
      <c r="I43" s="459"/>
      <c r="J43" s="199"/>
    </row>
    <row r="44" spans="1:38">
      <c r="A44" s="460"/>
      <c r="B44" s="461"/>
      <c r="C44" s="461"/>
      <c r="D44" s="461"/>
      <c r="E44" s="461"/>
      <c r="F44" s="461"/>
      <c r="G44" s="461"/>
      <c r="H44" s="461"/>
      <c r="I44" s="461"/>
      <c r="J44" s="200"/>
    </row>
    <row r="45" spans="1:38" ht="15.75" customHeight="1" thickBot="1">
      <c r="A45" s="462" t="s">
        <v>65</v>
      </c>
      <c r="B45" s="463"/>
      <c r="C45" s="463"/>
      <c r="D45" s="463"/>
      <c r="E45" s="463"/>
      <c r="F45" s="463"/>
      <c r="G45" s="463"/>
      <c r="H45" s="463"/>
      <c r="I45" s="463"/>
      <c r="J45" s="199"/>
    </row>
    <row r="46" spans="1:38" ht="45.75" thickBot="1">
      <c r="A46" s="86" t="s">
        <v>3</v>
      </c>
      <c r="B46" s="22" t="s">
        <v>4</v>
      </c>
      <c r="C46" s="22" t="s">
        <v>5</v>
      </c>
      <c r="D46" s="21" t="s">
        <v>6</v>
      </c>
      <c r="E46" s="96" t="s">
        <v>504</v>
      </c>
      <c r="F46" s="1" t="s">
        <v>505</v>
      </c>
      <c r="G46" s="95" t="s">
        <v>507</v>
      </c>
      <c r="H46" s="309" t="s">
        <v>7</v>
      </c>
      <c r="I46" s="310" t="s">
        <v>8</v>
      </c>
      <c r="J46" s="263"/>
    </row>
    <row r="47" spans="1:38" ht="63" customHeight="1" thickBot="1">
      <c r="A47" s="389">
        <v>11</v>
      </c>
      <c r="B47" s="354" t="s">
        <v>509</v>
      </c>
      <c r="C47" s="82" t="s">
        <v>66</v>
      </c>
      <c r="D47" s="442" t="s">
        <v>68</v>
      </c>
      <c r="E47" s="102">
        <f>44258</f>
        <v>44258</v>
      </c>
      <c r="F47" s="102">
        <f t="shared" ref="F47:G50" si="0">E47</f>
        <v>44258</v>
      </c>
      <c r="G47" s="117">
        <f t="shared" si="0"/>
        <v>44258</v>
      </c>
      <c r="H47" s="299" t="s">
        <v>60</v>
      </c>
      <c r="I47" s="351" t="s">
        <v>556</v>
      </c>
      <c r="J47" s="67"/>
      <c r="K47" s="93" t="s">
        <v>540</v>
      </c>
    </row>
    <row r="48" spans="1:38" ht="52.5" customHeight="1" thickBot="1">
      <c r="A48" s="415"/>
      <c r="B48" s="355"/>
      <c r="C48" s="114" t="s">
        <v>67</v>
      </c>
      <c r="D48" s="443"/>
      <c r="E48" s="102">
        <v>208000</v>
      </c>
      <c r="F48" s="102">
        <f t="shared" si="0"/>
        <v>208000</v>
      </c>
      <c r="G48" s="117">
        <f t="shared" si="0"/>
        <v>208000</v>
      </c>
      <c r="H48" s="299" t="s">
        <v>35</v>
      </c>
      <c r="I48" s="352"/>
      <c r="J48" s="67"/>
      <c r="K48" s="93" t="s">
        <v>540</v>
      </c>
    </row>
    <row r="49" spans="1:11" ht="259.5" thickBot="1">
      <c r="A49" s="390"/>
      <c r="B49" s="356"/>
      <c r="C49" s="113" t="s">
        <v>464</v>
      </c>
      <c r="D49" s="24" t="s">
        <v>561</v>
      </c>
      <c r="E49" s="102">
        <f>17*8*E47/20</f>
        <v>300954.40000000002</v>
      </c>
      <c r="F49" s="102">
        <f t="shared" si="0"/>
        <v>300954.40000000002</v>
      </c>
      <c r="G49" s="117">
        <f t="shared" si="0"/>
        <v>300954.40000000002</v>
      </c>
      <c r="H49" s="100" t="s">
        <v>69</v>
      </c>
      <c r="I49" s="353"/>
      <c r="J49" s="67"/>
      <c r="K49" s="93" t="s">
        <v>540</v>
      </c>
    </row>
    <row r="50" spans="1:11" ht="79.5" thickBot="1">
      <c r="A50" s="115">
        <v>12</v>
      </c>
      <c r="B50" s="103" t="s">
        <v>70</v>
      </c>
      <c r="C50" s="103" t="s">
        <v>71</v>
      </c>
      <c r="D50" s="106" t="s">
        <v>72</v>
      </c>
      <c r="E50" s="117">
        <f>44*55*'Cost details'!C1</f>
        <v>1185800</v>
      </c>
      <c r="F50" s="117">
        <f t="shared" si="0"/>
        <v>1185800</v>
      </c>
      <c r="G50" s="197">
        <f t="shared" si="0"/>
        <v>1185800</v>
      </c>
      <c r="H50" s="295" t="s">
        <v>35</v>
      </c>
      <c r="I50" s="295" t="s">
        <v>486</v>
      </c>
      <c r="J50" s="66"/>
      <c r="K50" s="93" t="s">
        <v>540</v>
      </c>
    </row>
    <row r="51" spans="1:11" ht="68.25" thickBot="1">
      <c r="A51" s="348" t="s">
        <v>73</v>
      </c>
      <c r="B51" s="103" t="s">
        <v>74</v>
      </c>
      <c r="C51" s="118" t="s">
        <v>75</v>
      </c>
      <c r="D51" s="106" t="s">
        <v>76</v>
      </c>
      <c r="E51" s="117">
        <v>0</v>
      </c>
      <c r="F51" s="117">
        <v>0</v>
      </c>
      <c r="G51" s="117">
        <v>0</v>
      </c>
      <c r="H51" s="295" t="s">
        <v>60</v>
      </c>
      <c r="I51" s="295" t="s">
        <v>558</v>
      </c>
      <c r="J51" s="264"/>
    </row>
    <row r="52" spans="1:11" ht="68.25" thickBot="1">
      <c r="A52" s="389">
        <v>14</v>
      </c>
      <c r="B52" s="386" t="s">
        <v>77</v>
      </c>
      <c r="C52" s="99" t="s">
        <v>78</v>
      </c>
      <c r="D52" s="393" t="s">
        <v>76</v>
      </c>
      <c r="E52" s="117">
        <f>'Cost details'!C11</f>
        <v>9800</v>
      </c>
      <c r="F52" s="117">
        <f>'Cost details'!D11</f>
        <v>14700</v>
      </c>
      <c r="G52" s="117">
        <f>'Cost details'!E11</f>
        <v>12250</v>
      </c>
      <c r="H52" s="386" t="s">
        <v>79</v>
      </c>
      <c r="I52" s="354" t="s">
        <v>486</v>
      </c>
      <c r="J52" s="265"/>
      <c r="K52" s="93" t="s">
        <v>539</v>
      </c>
    </row>
    <row r="53" spans="1:11" ht="66.75" customHeight="1" thickBot="1">
      <c r="A53" s="415"/>
      <c r="B53" s="387"/>
      <c r="C53" s="118" t="s">
        <v>562</v>
      </c>
      <c r="D53" s="404"/>
      <c r="E53" s="117">
        <v>0</v>
      </c>
      <c r="F53" s="117">
        <v>0</v>
      </c>
      <c r="G53" s="117">
        <v>0</v>
      </c>
      <c r="H53" s="387"/>
      <c r="I53" s="356"/>
      <c r="J53" s="265"/>
    </row>
    <row r="54" spans="1:11" ht="127.5" customHeight="1" thickBot="1">
      <c r="A54" s="89">
        <v>15</v>
      </c>
      <c r="B54" s="103" t="s">
        <v>80</v>
      </c>
      <c r="C54" s="103" t="s">
        <v>465</v>
      </c>
      <c r="D54" s="106" t="s">
        <v>81</v>
      </c>
      <c r="E54" s="117">
        <f>'Cost details'!C125/1000</f>
        <v>75000</v>
      </c>
      <c r="F54" s="117">
        <f>+E54</f>
        <v>75000</v>
      </c>
      <c r="G54" s="117">
        <f>+F54</f>
        <v>75000</v>
      </c>
      <c r="H54" s="295" t="s">
        <v>563</v>
      </c>
      <c r="I54" s="295" t="s">
        <v>556</v>
      </c>
      <c r="J54" s="66"/>
      <c r="K54" s="93" t="s">
        <v>545</v>
      </c>
    </row>
    <row r="55" spans="1:11" ht="34.5" thickBot="1">
      <c r="A55" s="89">
        <v>16</v>
      </c>
      <c r="B55" s="103" t="s">
        <v>82</v>
      </c>
      <c r="C55" s="138" t="s">
        <v>83</v>
      </c>
      <c r="D55" s="106" t="s">
        <v>84</v>
      </c>
      <c r="E55" s="117">
        <v>0</v>
      </c>
      <c r="F55" s="117">
        <f>E55</f>
        <v>0</v>
      </c>
      <c r="G55" s="117">
        <f>F55</f>
        <v>0</v>
      </c>
      <c r="H55" s="295" t="s">
        <v>564</v>
      </c>
      <c r="I55" s="295" t="s">
        <v>556</v>
      </c>
      <c r="J55" s="66"/>
    </row>
    <row r="56" spans="1:11" ht="58.5" customHeight="1" thickBot="1">
      <c r="A56" s="389">
        <v>17</v>
      </c>
      <c r="B56" s="386" t="s">
        <v>85</v>
      </c>
      <c r="C56" s="138" t="s">
        <v>86</v>
      </c>
      <c r="D56" s="106" t="s">
        <v>87</v>
      </c>
      <c r="E56" s="117">
        <v>0</v>
      </c>
      <c r="F56" s="117">
        <v>0</v>
      </c>
      <c r="G56" s="117">
        <v>0</v>
      </c>
      <c r="H56" s="351" t="s">
        <v>88</v>
      </c>
      <c r="I56" s="351" t="s">
        <v>486</v>
      </c>
      <c r="J56" s="262"/>
    </row>
    <row r="57" spans="1:11" ht="60" customHeight="1" thickBot="1">
      <c r="A57" s="415"/>
      <c r="B57" s="387"/>
      <c r="C57" s="137" t="s">
        <v>89</v>
      </c>
      <c r="D57" s="101" t="s">
        <v>90</v>
      </c>
      <c r="E57" s="117">
        <v>0</v>
      </c>
      <c r="F57" s="117">
        <v>0</v>
      </c>
      <c r="G57" s="117">
        <v>0</v>
      </c>
      <c r="H57" s="352"/>
      <c r="I57" s="352"/>
      <c r="J57" s="262"/>
    </row>
    <row r="58" spans="1:11" ht="68.25" customHeight="1" thickBot="1">
      <c r="A58" s="415"/>
      <c r="B58" s="387"/>
      <c r="C58" s="100" t="s">
        <v>91</v>
      </c>
      <c r="D58" s="101" t="s">
        <v>92</v>
      </c>
      <c r="E58" s="117">
        <v>0</v>
      </c>
      <c r="F58" s="117">
        <v>0</v>
      </c>
      <c r="G58" s="117">
        <v>0</v>
      </c>
      <c r="H58" s="352"/>
      <c r="I58" s="352"/>
      <c r="J58" s="262"/>
    </row>
    <row r="59" spans="1:11" ht="69" customHeight="1" thickBot="1">
      <c r="A59" s="390"/>
      <c r="B59" s="388"/>
      <c r="C59" s="100" t="s">
        <v>93</v>
      </c>
      <c r="D59" s="101" t="s">
        <v>94</v>
      </c>
      <c r="E59" s="117">
        <v>0</v>
      </c>
      <c r="F59" s="117">
        <v>0</v>
      </c>
      <c r="G59" s="117">
        <v>0</v>
      </c>
      <c r="H59" s="353"/>
      <c r="I59" s="353"/>
      <c r="J59" s="262"/>
    </row>
    <row r="60" spans="1:11" ht="83.25" customHeight="1">
      <c r="A60" s="393">
        <v>18</v>
      </c>
      <c r="B60" s="386" t="s">
        <v>565</v>
      </c>
      <c r="C60" s="386" t="s">
        <v>466</v>
      </c>
      <c r="D60" s="106" t="s">
        <v>95</v>
      </c>
      <c r="E60" s="454">
        <v>0</v>
      </c>
      <c r="F60" s="454">
        <v>0</v>
      </c>
      <c r="G60" s="451">
        <v>0</v>
      </c>
      <c r="H60" s="386" t="s">
        <v>60</v>
      </c>
      <c r="I60" s="351" t="s">
        <v>556</v>
      </c>
      <c r="J60" s="67"/>
    </row>
    <row r="61" spans="1:11" ht="54.75" customHeight="1" thickBot="1">
      <c r="A61" s="404"/>
      <c r="B61" s="387"/>
      <c r="C61" s="387"/>
      <c r="D61" s="90" t="s">
        <v>96</v>
      </c>
      <c r="E61" s="455"/>
      <c r="F61" s="455"/>
      <c r="G61" s="453">
        <v>0</v>
      </c>
      <c r="H61" s="387"/>
      <c r="I61" s="353"/>
      <c r="J61" s="67"/>
    </row>
    <row r="62" spans="1:11" ht="68.25" thickBot="1">
      <c r="A62" s="89">
        <v>19</v>
      </c>
      <c r="B62" s="103" t="s">
        <v>97</v>
      </c>
      <c r="C62" s="103" t="s">
        <v>98</v>
      </c>
      <c r="D62" s="106" t="s">
        <v>99</v>
      </c>
      <c r="E62" s="117">
        <f>1500*'Cost details'!C1</f>
        <v>735000</v>
      </c>
      <c r="F62" s="117">
        <f>E62</f>
        <v>735000</v>
      </c>
      <c r="G62" s="117">
        <f>F62</f>
        <v>735000</v>
      </c>
      <c r="H62" s="295" t="s">
        <v>100</v>
      </c>
      <c r="I62" s="295" t="s">
        <v>556</v>
      </c>
      <c r="J62" s="66"/>
      <c r="K62" s="93" t="s">
        <v>545</v>
      </c>
    </row>
    <row r="63" spans="1:11" ht="90.75" thickBot="1">
      <c r="A63" s="89">
        <v>20</v>
      </c>
      <c r="B63" s="97" t="s">
        <v>101</v>
      </c>
      <c r="C63" s="144" t="s">
        <v>396</v>
      </c>
      <c r="D63" s="81" t="s">
        <v>102</v>
      </c>
      <c r="E63" s="117">
        <v>0</v>
      </c>
      <c r="F63" s="117">
        <v>0</v>
      </c>
      <c r="G63" s="117">
        <v>0</v>
      </c>
      <c r="H63" s="295" t="s">
        <v>100</v>
      </c>
      <c r="I63" s="295" t="s">
        <v>556</v>
      </c>
      <c r="J63" s="66"/>
    </row>
    <row r="64" spans="1:11" ht="79.5" thickBot="1">
      <c r="A64" s="89">
        <v>21</v>
      </c>
      <c r="B64" s="103" t="s">
        <v>103</v>
      </c>
      <c r="C64" s="137" t="s">
        <v>104</v>
      </c>
      <c r="D64" s="106" t="s">
        <v>105</v>
      </c>
      <c r="E64" s="117">
        <f>3*300*12*1.1</f>
        <v>11880.000000000002</v>
      </c>
      <c r="F64" s="117">
        <f>3*300*12*1.2</f>
        <v>12960</v>
      </c>
      <c r="G64" s="117">
        <f>(E64+F64)/2</f>
        <v>12420</v>
      </c>
      <c r="H64" s="295" t="s">
        <v>69</v>
      </c>
      <c r="I64" s="295" t="s">
        <v>556</v>
      </c>
      <c r="J64" s="66"/>
      <c r="K64" s="93" t="s">
        <v>542</v>
      </c>
    </row>
    <row r="65" spans="1:12" ht="37.5" customHeight="1" thickBot="1">
      <c r="A65" s="389">
        <v>22</v>
      </c>
      <c r="B65" s="386" t="s">
        <v>106</v>
      </c>
      <c r="C65" s="118" t="s">
        <v>510</v>
      </c>
      <c r="D65" s="386" t="s">
        <v>107</v>
      </c>
      <c r="E65" s="451">
        <f>'Cost details'!C6</f>
        <v>12250</v>
      </c>
      <c r="F65" s="451">
        <f>'Cost details'!D6</f>
        <v>24500</v>
      </c>
      <c r="G65" s="451">
        <f>E65</f>
        <v>12250</v>
      </c>
      <c r="H65" s="311" t="s">
        <v>438</v>
      </c>
      <c r="I65" s="351" t="s">
        <v>556</v>
      </c>
      <c r="J65" s="67"/>
      <c r="K65" s="93" t="s">
        <v>538</v>
      </c>
    </row>
    <row r="66" spans="1:12" ht="64.5" customHeight="1" thickBot="1">
      <c r="A66" s="415"/>
      <c r="B66" s="387"/>
      <c r="C66" s="99" t="s">
        <v>511</v>
      </c>
      <c r="D66" s="387"/>
      <c r="E66" s="452"/>
      <c r="F66" s="452"/>
      <c r="G66" s="452"/>
      <c r="H66" s="312" t="s">
        <v>439</v>
      </c>
      <c r="I66" s="352"/>
      <c r="J66" s="67"/>
    </row>
    <row r="67" spans="1:12" ht="49.5" customHeight="1" thickBot="1">
      <c r="A67" s="415"/>
      <c r="B67" s="387"/>
      <c r="C67" s="99" t="s">
        <v>512</v>
      </c>
      <c r="D67" s="387"/>
      <c r="E67" s="452"/>
      <c r="F67" s="452"/>
      <c r="G67" s="452"/>
      <c r="H67" s="214" t="s">
        <v>440</v>
      </c>
      <c r="I67" s="352"/>
      <c r="J67" s="67"/>
    </row>
    <row r="68" spans="1:12" ht="34.5" thickBot="1">
      <c r="A68" s="390"/>
      <c r="B68" s="388"/>
      <c r="C68" s="100" t="s">
        <v>467</v>
      </c>
      <c r="D68" s="388"/>
      <c r="E68" s="453"/>
      <c r="F68" s="453"/>
      <c r="G68" s="453"/>
      <c r="H68" s="313" t="s">
        <v>441</v>
      </c>
      <c r="I68" s="353"/>
      <c r="J68" s="67"/>
    </row>
    <row r="69" spans="1:12" ht="57" customHeight="1" thickBot="1">
      <c r="A69" s="83">
        <v>23</v>
      </c>
      <c r="B69" s="97" t="s">
        <v>108</v>
      </c>
      <c r="C69" s="97" t="s">
        <v>109</v>
      </c>
      <c r="D69" s="97" t="s">
        <v>110</v>
      </c>
      <c r="E69" s="121">
        <v>0</v>
      </c>
      <c r="F69" s="121">
        <v>0</v>
      </c>
      <c r="G69" s="121">
        <v>0</v>
      </c>
      <c r="H69" s="295" t="s">
        <v>79</v>
      </c>
      <c r="I69" s="162" t="s">
        <v>559</v>
      </c>
      <c r="J69" s="66"/>
    </row>
    <row r="70" spans="1:12" ht="15.75" customHeight="1" thickBot="1">
      <c r="A70" s="359">
        <v>24</v>
      </c>
      <c r="B70" s="354" t="s">
        <v>111</v>
      </c>
      <c r="C70" s="178" t="s">
        <v>528</v>
      </c>
      <c r="D70" s="178"/>
      <c r="E70" s="222">
        <f>'Cost details'!G22</f>
        <v>15000</v>
      </c>
      <c r="F70" s="222">
        <f t="shared" ref="F70:G72" si="1">E70</f>
        <v>15000</v>
      </c>
      <c r="G70" s="222">
        <f t="shared" si="1"/>
        <v>15000</v>
      </c>
      <c r="H70" s="351" t="s">
        <v>536</v>
      </c>
      <c r="I70" s="354" t="s">
        <v>486</v>
      </c>
      <c r="J70" s="262"/>
      <c r="K70" s="93" t="s">
        <v>535</v>
      </c>
    </row>
    <row r="71" spans="1:12" ht="94.5" customHeight="1" thickBot="1">
      <c r="A71" s="360"/>
      <c r="B71" s="355"/>
      <c r="C71" s="103" t="s">
        <v>112</v>
      </c>
      <c r="D71" s="103" t="s">
        <v>113</v>
      </c>
      <c r="E71" s="117">
        <f>'Cost details'!C130/1000</f>
        <v>75727.343999999997</v>
      </c>
      <c r="F71" s="117">
        <f t="shared" si="1"/>
        <v>75727.343999999997</v>
      </c>
      <c r="G71" s="117">
        <f t="shared" si="1"/>
        <v>75727.343999999997</v>
      </c>
      <c r="H71" s="352"/>
      <c r="I71" s="355"/>
      <c r="J71" s="262"/>
      <c r="K71" s="93" t="s">
        <v>535</v>
      </c>
    </row>
    <row r="72" spans="1:12" ht="80.25" customHeight="1" thickBot="1">
      <c r="A72" s="360"/>
      <c r="B72" s="355"/>
      <c r="C72" s="137" t="s">
        <v>114</v>
      </c>
      <c r="D72" s="106" t="s">
        <v>115</v>
      </c>
      <c r="E72" s="102">
        <f>'Cost details'!C135/1000</f>
        <v>10654.279999999999</v>
      </c>
      <c r="F72" s="102">
        <f t="shared" si="1"/>
        <v>10654.279999999999</v>
      </c>
      <c r="G72" s="197">
        <f t="shared" si="1"/>
        <v>10654.279999999999</v>
      </c>
      <c r="H72" s="352"/>
      <c r="I72" s="355"/>
      <c r="J72" s="262"/>
      <c r="K72" s="93" t="s">
        <v>535</v>
      </c>
    </row>
    <row r="73" spans="1:12" ht="45" customHeight="1" thickBot="1">
      <c r="A73" s="360"/>
      <c r="B73" s="355"/>
      <c r="C73" s="103" t="s">
        <v>116</v>
      </c>
      <c r="D73" s="106" t="s">
        <v>117</v>
      </c>
      <c r="E73" s="117"/>
      <c r="F73" s="117"/>
      <c r="G73" s="117"/>
      <c r="H73" s="352"/>
      <c r="I73" s="355"/>
      <c r="J73" s="262"/>
      <c r="K73" s="93" t="s">
        <v>535</v>
      </c>
      <c r="L73" t="s">
        <v>527</v>
      </c>
    </row>
    <row r="74" spans="1:12" ht="93" customHeight="1" thickBot="1">
      <c r="A74" s="360"/>
      <c r="B74" s="355"/>
      <c r="C74" s="103" t="s">
        <v>529</v>
      </c>
      <c r="D74" s="106" t="s">
        <v>117</v>
      </c>
      <c r="E74" s="117">
        <v>0</v>
      </c>
      <c r="F74" s="117">
        <v>0</v>
      </c>
      <c r="G74" s="117">
        <v>0</v>
      </c>
      <c r="H74" s="352"/>
      <c r="I74" s="355"/>
      <c r="J74" s="262"/>
      <c r="K74" s="93" t="s">
        <v>535</v>
      </c>
      <c r="L74" t="s">
        <v>527</v>
      </c>
    </row>
    <row r="75" spans="1:12" ht="90.75" customHeight="1" thickBot="1">
      <c r="A75" s="360"/>
      <c r="B75" s="355"/>
      <c r="C75" s="103" t="s">
        <v>118</v>
      </c>
      <c r="D75" s="106" t="s">
        <v>117</v>
      </c>
      <c r="E75" s="117"/>
      <c r="F75" s="117">
        <f t="shared" ref="F75:G79" si="2">E75</f>
        <v>0</v>
      </c>
      <c r="G75" s="117">
        <f t="shared" si="2"/>
        <v>0</v>
      </c>
      <c r="H75" s="352"/>
      <c r="I75" s="355"/>
      <c r="J75" s="262"/>
      <c r="K75" s="93" t="s">
        <v>535</v>
      </c>
      <c r="L75" t="s">
        <v>527</v>
      </c>
    </row>
    <row r="76" spans="1:12" ht="82.5" customHeight="1" thickBot="1">
      <c r="A76" s="360"/>
      <c r="B76" s="355"/>
      <c r="C76" s="118" t="s">
        <v>506</v>
      </c>
      <c r="D76" s="101" t="s">
        <v>119</v>
      </c>
      <c r="E76" s="117">
        <f>'Cost details'!C144/1000</f>
        <v>2764.1784000000002</v>
      </c>
      <c r="F76" s="117">
        <f t="shared" si="2"/>
        <v>2764.1784000000002</v>
      </c>
      <c r="G76" s="117">
        <f t="shared" si="2"/>
        <v>2764.1784000000002</v>
      </c>
      <c r="H76" s="352"/>
      <c r="I76" s="355"/>
      <c r="J76" s="262"/>
      <c r="K76" s="93" t="s">
        <v>535</v>
      </c>
    </row>
    <row r="77" spans="1:12" ht="83.25" customHeight="1" thickBot="1">
      <c r="A77" s="360"/>
      <c r="B77" s="355"/>
      <c r="C77" s="103" t="s">
        <v>397</v>
      </c>
      <c r="D77" s="106" t="s">
        <v>120</v>
      </c>
      <c r="E77" s="117">
        <f>'Cost details'!C148/1000</f>
        <v>12690</v>
      </c>
      <c r="F77" s="117">
        <f t="shared" si="2"/>
        <v>12690</v>
      </c>
      <c r="G77" s="117">
        <f t="shared" si="2"/>
        <v>12690</v>
      </c>
      <c r="H77" s="352"/>
      <c r="I77" s="355"/>
      <c r="J77" s="262"/>
      <c r="K77" s="93" t="s">
        <v>535</v>
      </c>
    </row>
    <row r="78" spans="1:12" ht="91.5" customHeight="1" thickBot="1">
      <c r="A78" s="360"/>
      <c r="B78" s="355"/>
      <c r="C78" s="114" t="s">
        <v>121</v>
      </c>
      <c r="D78" s="101" t="s">
        <v>117</v>
      </c>
      <c r="E78" s="223">
        <f>'Cost details'!C152/1000</f>
        <v>12779.281999999999</v>
      </c>
      <c r="F78" s="224">
        <f t="shared" si="2"/>
        <v>12779.281999999999</v>
      </c>
      <c r="G78" s="223">
        <f t="shared" si="2"/>
        <v>12779.281999999999</v>
      </c>
      <c r="H78" s="352"/>
      <c r="I78" s="355"/>
      <c r="J78" s="262"/>
      <c r="K78" s="93" t="s">
        <v>535</v>
      </c>
    </row>
    <row r="79" spans="1:12" ht="104.25" customHeight="1" thickBot="1">
      <c r="A79" s="361"/>
      <c r="B79" s="356"/>
      <c r="C79" s="186" t="s">
        <v>122</v>
      </c>
      <c r="D79" s="118" t="s">
        <v>123</v>
      </c>
      <c r="E79" s="225">
        <f>'Cost details'!C156/1000</f>
        <v>1001.034</v>
      </c>
      <c r="F79" s="225">
        <f t="shared" si="2"/>
        <v>1001.034</v>
      </c>
      <c r="G79" s="225">
        <f t="shared" si="2"/>
        <v>1001.034</v>
      </c>
      <c r="H79" s="353"/>
      <c r="I79" s="356"/>
      <c r="J79" s="262"/>
      <c r="K79" s="93" t="s">
        <v>535</v>
      </c>
    </row>
    <row r="80" spans="1:12" ht="15.75" thickBot="1">
      <c r="A80" s="87"/>
      <c r="B80" s="122" t="s">
        <v>400</v>
      </c>
      <c r="C80" s="123"/>
      <c r="D80" s="124"/>
      <c r="E80" s="126">
        <f>SUM(E47:E79)</f>
        <v>2713558.5183999999</v>
      </c>
      <c r="F80" s="126">
        <f>SUM(F47:F79)</f>
        <v>2731788.5183999999</v>
      </c>
      <c r="G80" s="126">
        <f>SUM(G47:G79)</f>
        <v>2716548.5183999999</v>
      </c>
      <c r="H80" s="314"/>
      <c r="I80" s="315"/>
      <c r="J80" s="266"/>
    </row>
    <row r="81" spans="1:11">
      <c r="A81" s="444"/>
      <c r="B81" s="445"/>
      <c r="C81" s="445"/>
      <c r="D81" s="445"/>
      <c r="E81" s="445"/>
      <c r="F81" s="445"/>
      <c r="G81" s="445"/>
      <c r="H81" s="445"/>
      <c r="I81" s="445"/>
      <c r="J81" s="192"/>
    </row>
    <row r="82" spans="1:11">
      <c r="A82" s="384" t="s">
        <v>125</v>
      </c>
      <c r="B82" s="385"/>
      <c r="C82" s="385"/>
      <c r="D82" s="385"/>
      <c r="E82" s="385"/>
      <c r="F82" s="385"/>
      <c r="G82" s="385"/>
      <c r="H82" s="385"/>
      <c r="I82" s="385"/>
      <c r="J82" s="181"/>
    </row>
    <row r="83" spans="1:11">
      <c r="A83" s="409"/>
      <c r="B83" s="410"/>
      <c r="C83" s="410"/>
      <c r="D83" s="410"/>
      <c r="E83" s="410"/>
      <c r="F83" s="410"/>
      <c r="G83" s="410"/>
      <c r="H83" s="410"/>
      <c r="I83" s="410"/>
      <c r="J83" s="192"/>
    </row>
    <row r="84" spans="1:11">
      <c r="A84" s="411" t="s">
        <v>126</v>
      </c>
      <c r="B84" s="412"/>
      <c r="C84" s="412"/>
      <c r="D84" s="412"/>
      <c r="E84" s="412"/>
      <c r="F84" s="412"/>
      <c r="G84" s="412"/>
      <c r="H84" s="412"/>
      <c r="I84" s="412"/>
      <c r="J84" s="176"/>
    </row>
    <row r="85" spans="1:11">
      <c r="A85" s="68"/>
      <c r="B85" s="68"/>
      <c r="C85" s="68"/>
      <c r="D85" s="68"/>
      <c r="E85" s="68"/>
      <c r="F85" s="68"/>
      <c r="G85" s="68"/>
      <c r="H85" s="316"/>
      <c r="I85" s="316"/>
      <c r="J85" s="68"/>
    </row>
    <row r="86" spans="1:11" ht="15.75" thickBot="1">
      <c r="A86" s="413" t="s">
        <v>127</v>
      </c>
      <c r="B86" s="414"/>
      <c r="C86" s="414"/>
      <c r="D86" s="414"/>
      <c r="E86" s="414"/>
      <c r="F86" s="414"/>
      <c r="G86" s="414"/>
      <c r="H86" s="414"/>
      <c r="I86" s="414"/>
      <c r="J86" s="176"/>
    </row>
    <row r="87" spans="1:11" ht="45.75" thickBot="1">
      <c r="A87" s="86" t="s">
        <v>3</v>
      </c>
      <c r="B87" s="2" t="s">
        <v>4</v>
      </c>
      <c r="C87" s="2" t="s">
        <v>5</v>
      </c>
      <c r="D87" s="21" t="s">
        <v>6</v>
      </c>
      <c r="E87" s="96" t="s">
        <v>504</v>
      </c>
      <c r="F87" s="1" t="s">
        <v>505</v>
      </c>
      <c r="G87" s="95" t="s">
        <v>507</v>
      </c>
      <c r="H87" s="317" t="s">
        <v>7</v>
      </c>
      <c r="I87" s="310" t="s">
        <v>8</v>
      </c>
      <c r="J87" s="263"/>
    </row>
    <row r="88" spans="1:11" ht="62.25" customHeight="1" thickBot="1">
      <c r="A88" s="456">
        <v>25</v>
      </c>
      <c r="B88" s="354" t="s">
        <v>128</v>
      </c>
      <c r="C88" s="327" t="s">
        <v>130</v>
      </c>
      <c r="D88" s="290" t="s">
        <v>129</v>
      </c>
      <c r="E88" s="127">
        <f>E47/20*85</f>
        <v>188096.5</v>
      </c>
      <c r="F88" s="128">
        <f>E88</f>
        <v>188096.5</v>
      </c>
      <c r="G88" s="128">
        <f>F88</f>
        <v>188096.5</v>
      </c>
      <c r="H88" s="100" t="s">
        <v>79</v>
      </c>
      <c r="I88" s="352" t="s">
        <v>556</v>
      </c>
      <c r="J88" s="262"/>
      <c r="K88" s="93" t="s">
        <v>540</v>
      </c>
    </row>
    <row r="89" spans="1:11" ht="23.25" thickBot="1">
      <c r="A89" s="457"/>
      <c r="B89" s="356"/>
      <c r="C89" s="9" t="s">
        <v>131</v>
      </c>
      <c r="D89" s="292"/>
      <c r="E89" s="4">
        <v>0</v>
      </c>
      <c r="F89" s="4">
        <v>0</v>
      </c>
      <c r="G89" s="19">
        <f>F89</f>
        <v>0</v>
      </c>
      <c r="H89" s="100" t="s">
        <v>35</v>
      </c>
      <c r="I89" s="353"/>
      <c r="J89" s="262"/>
    </row>
    <row r="90" spans="1:11" ht="81.75" customHeight="1" thickBot="1">
      <c r="A90" s="389">
        <v>26</v>
      </c>
      <c r="B90" s="391" t="s">
        <v>468</v>
      </c>
      <c r="C90" s="159" t="s">
        <v>132</v>
      </c>
      <c r="D90" s="393" t="s">
        <v>133</v>
      </c>
      <c r="E90" s="70">
        <v>0</v>
      </c>
      <c r="F90" s="23">
        <v>0</v>
      </c>
      <c r="G90" s="12">
        <v>0</v>
      </c>
      <c r="H90" s="295" t="s">
        <v>79</v>
      </c>
      <c r="I90" s="352" t="s">
        <v>556</v>
      </c>
      <c r="J90" s="262"/>
    </row>
    <row r="91" spans="1:11" ht="79.5" thickBot="1">
      <c r="A91" s="390"/>
      <c r="B91" s="392"/>
      <c r="C91" s="100" t="s">
        <v>134</v>
      </c>
      <c r="D91" s="394"/>
      <c r="E91" s="135">
        <v>0</v>
      </c>
      <c r="F91" s="226">
        <v>0</v>
      </c>
      <c r="G91" s="328">
        <v>0</v>
      </c>
      <c r="H91" s="100" t="s">
        <v>35</v>
      </c>
      <c r="I91" s="353"/>
      <c r="J91" s="262"/>
    </row>
    <row r="92" spans="1:11" ht="57" thickBot="1">
      <c r="A92" s="158">
        <v>27</v>
      </c>
      <c r="B92" s="159" t="s">
        <v>135</v>
      </c>
      <c r="C92" s="159" t="s">
        <v>136</v>
      </c>
      <c r="D92" s="154" t="s">
        <v>137</v>
      </c>
      <c r="E92" s="135">
        <v>0</v>
      </c>
      <c r="F92" s="226">
        <v>0</v>
      </c>
      <c r="G92" s="135">
        <v>0</v>
      </c>
      <c r="H92" s="295" t="s">
        <v>100</v>
      </c>
      <c r="I92" s="295" t="s">
        <v>559</v>
      </c>
      <c r="J92" s="66"/>
    </row>
    <row r="93" spans="1:11" ht="57" thickBot="1">
      <c r="A93" s="158">
        <v>28</v>
      </c>
      <c r="B93" s="159" t="s">
        <v>138</v>
      </c>
      <c r="C93" s="159" t="s">
        <v>139</v>
      </c>
      <c r="D93" s="155" t="s">
        <v>140</v>
      </c>
      <c r="E93" s="194">
        <v>0</v>
      </c>
      <c r="F93" s="228">
        <v>0</v>
      </c>
      <c r="G93" s="135">
        <v>0</v>
      </c>
      <c r="H93" s="295" t="s">
        <v>79</v>
      </c>
      <c r="I93" s="295" t="s">
        <v>559</v>
      </c>
      <c r="J93" s="66"/>
    </row>
    <row r="94" spans="1:11" ht="57" thickBot="1">
      <c r="A94" s="158">
        <v>29</v>
      </c>
      <c r="B94" s="159" t="s">
        <v>566</v>
      </c>
      <c r="C94" s="159" t="s">
        <v>136</v>
      </c>
      <c r="D94" s="154" t="s">
        <v>141</v>
      </c>
      <c r="E94" s="135">
        <v>0</v>
      </c>
      <c r="F94" s="226">
        <v>0</v>
      </c>
      <c r="G94" s="227">
        <v>0</v>
      </c>
      <c r="H94" s="295" t="s">
        <v>79</v>
      </c>
      <c r="I94" s="295" t="s">
        <v>559</v>
      </c>
      <c r="J94" s="66"/>
    </row>
    <row r="95" spans="1:11" ht="85.5" customHeight="1" thickBot="1">
      <c r="A95" s="158">
        <v>30</v>
      </c>
      <c r="B95" s="159" t="s">
        <v>142</v>
      </c>
      <c r="C95" s="159" t="s">
        <v>136</v>
      </c>
      <c r="D95" s="155" t="s">
        <v>143</v>
      </c>
      <c r="E95" s="135">
        <v>0</v>
      </c>
      <c r="F95" s="226">
        <v>0</v>
      </c>
      <c r="G95" s="135">
        <v>0</v>
      </c>
      <c r="H95" s="295" t="s">
        <v>79</v>
      </c>
      <c r="I95" s="295" t="s">
        <v>559</v>
      </c>
      <c r="J95" s="66"/>
    </row>
    <row r="96" spans="1:11" ht="63.75" customHeight="1">
      <c r="A96" s="389">
        <v>31</v>
      </c>
      <c r="B96" s="386" t="s">
        <v>144</v>
      </c>
      <c r="C96" s="159" t="s">
        <v>145</v>
      </c>
      <c r="D96" s="386" t="s">
        <v>147</v>
      </c>
      <c r="E96" s="62">
        <f>'Cost details'!C11</f>
        <v>9800</v>
      </c>
      <c r="F96" s="62">
        <f>'Cost details'!D11</f>
        <v>14700</v>
      </c>
      <c r="G96" s="62">
        <f>'Cost details'!E11</f>
        <v>12250</v>
      </c>
      <c r="H96" s="386" t="s">
        <v>69</v>
      </c>
      <c r="I96" s="351" t="s">
        <v>559</v>
      </c>
      <c r="J96" s="67"/>
      <c r="K96" s="93" t="s">
        <v>539</v>
      </c>
    </row>
    <row r="97" spans="1:12" ht="45.75" thickBot="1">
      <c r="A97" s="415"/>
      <c r="B97" s="387"/>
      <c r="C97" s="161" t="s">
        <v>146</v>
      </c>
      <c r="D97" s="387"/>
      <c r="E97" s="18">
        <v>0</v>
      </c>
      <c r="F97" s="18">
        <v>0</v>
      </c>
      <c r="G97" s="18"/>
      <c r="H97" s="387"/>
      <c r="I97" s="353"/>
      <c r="J97" s="67"/>
    </row>
    <row r="98" spans="1:12" ht="70.5" customHeight="1" thickBot="1">
      <c r="A98" s="389">
        <v>32</v>
      </c>
      <c r="B98" s="391" t="s">
        <v>148</v>
      </c>
      <c r="C98" s="162" t="s">
        <v>112</v>
      </c>
      <c r="D98" s="159" t="s">
        <v>149</v>
      </c>
      <c r="E98" s="127">
        <f>'Cost details'!C130/1000</f>
        <v>75727.343999999997</v>
      </c>
      <c r="F98" s="128">
        <f>E98</f>
        <v>75727.343999999997</v>
      </c>
      <c r="G98" s="128">
        <f>F98</f>
        <v>75727.343999999997</v>
      </c>
      <c r="H98" s="351" t="s">
        <v>13</v>
      </c>
      <c r="I98" s="351" t="s">
        <v>556</v>
      </c>
      <c r="J98" s="67"/>
      <c r="K98" s="93" t="s">
        <v>535</v>
      </c>
    </row>
    <row r="99" spans="1:12" ht="74.25" customHeight="1" thickBot="1">
      <c r="A99" s="415"/>
      <c r="B99" s="450"/>
      <c r="C99" s="137" t="s">
        <v>150</v>
      </c>
      <c r="D99" s="101" t="s">
        <v>151</v>
      </c>
      <c r="E99" s="127">
        <f>'Cost details'!C135/1000</f>
        <v>10654.279999999999</v>
      </c>
      <c r="F99" s="128">
        <f>E99</f>
        <v>10654.279999999999</v>
      </c>
      <c r="G99" s="127">
        <f>F99</f>
        <v>10654.279999999999</v>
      </c>
      <c r="H99" s="352"/>
      <c r="I99" s="352"/>
      <c r="J99" s="67"/>
      <c r="K99" s="93" t="s">
        <v>535</v>
      </c>
    </row>
    <row r="100" spans="1:12" ht="45" customHeight="1" thickBot="1">
      <c r="A100" s="415"/>
      <c r="B100" s="450"/>
      <c r="C100" s="159" t="s">
        <v>152</v>
      </c>
      <c r="D100" s="155" t="s">
        <v>153</v>
      </c>
      <c r="E100" s="12">
        <v>0</v>
      </c>
      <c r="F100" s="16">
        <v>0</v>
      </c>
      <c r="G100" s="12">
        <v>0</v>
      </c>
      <c r="H100" s="352"/>
      <c r="I100" s="352"/>
      <c r="J100" s="67"/>
      <c r="K100" s="93" t="s">
        <v>535</v>
      </c>
      <c r="L100" t="s">
        <v>527</v>
      </c>
    </row>
    <row r="101" spans="1:12" ht="51.75" customHeight="1" thickBot="1">
      <c r="A101" s="415"/>
      <c r="B101" s="450"/>
      <c r="C101" s="157" t="s">
        <v>530</v>
      </c>
      <c r="D101" s="154" t="s">
        <v>154</v>
      </c>
      <c r="E101" s="12">
        <v>0</v>
      </c>
      <c r="F101" s="16">
        <v>0</v>
      </c>
      <c r="G101" s="12">
        <v>0</v>
      </c>
      <c r="H101" s="352"/>
      <c r="I101" s="352"/>
      <c r="J101" s="67"/>
      <c r="K101" s="93" t="s">
        <v>535</v>
      </c>
      <c r="L101" t="s">
        <v>527</v>
      </c>
    </row>
    <row r="102" spans="1:12" ht="63" customHeight="1" thickBot="1">
      <c r="A102" s="415"/>
      <c r="B102" s="450"/>
      <c r="C102" s="71" t="s">
        <v>19</v>
      </c>
      <c r="D102" s="154" t="s">
        <v>155</v>
      </c>
      <c r="E102" s="12">
        <v>0</v>
      </c>
      <c r="F102" s="16">
        <v>0</v>
      </c>
      <c r="G102" s="70">
        <v>0</v>
      </c>
      <c r="H102" s="353"/>
      <c r="I102" s="353"/>
      <c r="J102" s="67"/>
      <c r="K102" s="93" t="s">
        <v>535</v>
      </c>
      <c r="L102" t="s">
        <v>527</v>
      </c>
    </row>
    <row r="103" spans="1:12" ht="63.75" customHeight="1" thickBot="1">
      <c r="A103" s="389">
        <v>33</v>
      </c>
      <c r="B103" s="386" t="s">
        <v>156</v>
      </c>
      <c r="C103" s="156" t="s">
        <v>157</v>
      </c>
      <c r="D103" s="393" t="s">
        <v>158</v>
      </c>
      <c r="E103" s="127">
        <f>'Cost details'!C11</f>
        <v>9800</v>
      </c>
      <c r="F103" s="143">
        <f>'Cost details'!D11</f>
        <v>14700</v>
      </c>
      <c r="G103" s="127">
        <f>'Cost details'!E11</f>
        <v>12250</v>
      </c>
      <c r="H103" s="416" t="s">
        <v>69</v>
      </c>
      <c r="I103" s="351" t="s">
        <v>559</v>
      </c>
      <c r="J103" s="67"/>
      <c r="K103" s="93" t="s">
        <v>539</v>
      </c>
    </row>
    <row r="104" spans="1:12" ht="52.5" customHeight="1" thickBot="1">
      <c r="A104" s="390"/>
      <c r="B104" s="388"/>
      <c r="C104" s="100" t="s">
        <v>41</v>
      </c>
      <c r="D104" s="394"/>
      <c r="E104" s="70">
        <v>0</v>
      </c>
      <c r="F104" s="109">
        <v>0</v>
      </c>
      <c r="G104" s="70">
        <v>0</v>
      </c>
      <c r="H104" s="449"/>
      <c r="I104" s="353"/>
      <c r="J104" s="67"/>
    </row>
    <row r="105" spans="1:12" ht="57" thickBot="1">
      <c r="A105" s="389">
        <v>34</v>
      </c>
      <c r="B105" s="386" t="s">
        <v>159</v>
      </c>
      <c r="C105" s="156" t="s">
        <v>157</v>
      </c>
      <c r="D105" s="393" t="s">
        <v>160</v>
      </c>
      <c r="E105" s="127">
        <f>'Cost details'!C11</f>
        <v>9800</v>
      </c>
      <c r="F105" s="143">
        <f>'Cost details'!D11</f>
        <v>14700</v>
      </c>
      <c r="G105" s="127">
        <f>'Cost details'!E11</f>
        <v>12250</v>
      </c>
      <c r="H105" s="416" t="s">
        <v>60</v>
      </c>
      <c r="I105" s="386" t="s">
        <v>559</v>
      </c>
      <c r="J105" s="66"/>
      <c r="K105" s="93" t="s">
        <v>539</v>
      </c>
    </row>
    <row r="106" spans="1:12" ht="45.75" thickBot="1">
      <c r="A106" s="390"/>
      <c r="B106" s="388"/>
      <c r="C106" s="100" t="s">
        <v>41</v>
      </c>
      <c r="D106" s="394"/>
      <c r="E106" s="127">
        <v>0</v>
      </c>
      <c r="F106" s="329">
        <v>0</v>
      </c>
      <c r="G106" s="330"/>
      <c r="H106" s="449"/>
      <c r="I106" s="388"/>
      <c r="J106" s="66"/>
    </row>
    <row r="107" spans="1:12" ht="57" thickBot="1">
      <c r="A107" s="389">
        <v>35</v>
      </c>
      <c r="B107" s="386" t="s">
        <v>161</v>
      </c>
      <c r="C107" s="156" t="s">
        <v>162</v>
      </c>
      <c r="D107" s="393" t="s">
        <v>164</v>
      </c>
      <c r="E107" s="127">
        <f>'Cost details'!C11</f>
        <v>9800</v>
      </c>
      <c r="F107" s="143">
        <f>'Cost details'!D11</f>
        <v>14700</v>
      </c>
      <c r="G107" s="127">
        <f>'Cost details'!E11</f>
        <v>12250</v>
      </c>
      <c r="H107" s="416" t="s">
        <v>60</v>
      </c>
      <c r="I107" s="386" t="s">
        <v>559</v>
      </c>
      <c r="J107" s="66"/>
      <c r="K107" s="93" t="s">
        <v>539</v>
      </c>
    </row>
    <row r="108" spans="1:12" ht="57" thickBot="1">
      <c r="A108" s="390"/>
      <c r="B108" s="388"/>
      <c r="C108" s="100" t="s">
        <v>163</v>
      </c>
      <c r="D108" s="394"/>
      <c r="E108" s="127">
        <v>0</v>
      </c>
      <c r="F108" s="329">
        <v>0</v>
      </c>
      <c r="G108" s="330"/>
      <c r="H108" s="449"/>
      <c r="I108" s="388"/>
      <c r="J108" s="66"/>
    </row>
    <row r="109" spans="1:12" ht="15.75" thickBot="1">
      <c r="A109" s="88"/>
      <c r="B109" s="109" t="s">
        <v>401</v>
      </c>
      <c r="C109" s="124"/>
      <c r="D109" s="123"/>
      <c r="E109" s="110">
        <f>SUM(E88:E108)</f>
        <v>313678.12399999995</v>
      </c>
      <c r="F109" s="110">
        <f>SUM(F88:F108)</f>
        <v>333278.12399999995</v>
      </c>
      <c r="G109" s="331">
        <f>SUM(G88:G108)</f>
        <v>323478.12399999995</v>
      </c>
      <c r="H109" s="140"/>
      <c r="I109" s="146"/>
      <c r="J109" s="66"/>
    </row>
    <row r="110" spans="1:12">
      <c r="A110" s="384" t="s">
        <v>165</v>
      </c>
      <c r="B110" s="385"/>
      <c r="C110" s="385"/>
      <c r="D110" s="385"/>
      <c r="E110" s="385"/>
      <c r="F110" s="385"/>
      <c r="G110" s="385"/>
      <c r="H110" s="385"/>
      <c r="I110" s="385"/>
      <c r="J110" s="181"/>
    </row>
    <row r="111" spans="1:12">
      <c r="A111" s="411" t="s">
        <v>166</v>
      </c>
      <c r="B111" s="412"/>
      <c r="C111" s="412"/>
      <c r="D111" s="412"/>
      <c r="E111" s="412"/>
      <c r="F111" s="412"/>
      <c r="G111" s="412"/>
      <c r="H111" s="412"/>
      <c r="I111" s="412"/>
      <c r="J111" s="176"/>
    </row>
    <row r="112" spans="1:12" ht="15.75" thickBot="1">
      <c r="A112" s="413" t="s">
        <v>167</v>
      </c>
      <c r="B112" s="414"/>
      <c r="C112" s="414"/>
      <c r="D112" s="414"/>
      <c r="E112" s="414"/>
      <c r="F112" s="414"/>
      <c r="G112" s="414"/>
      <c r="H112" s="414"/>
      <c r="I112" s="414"/>
      <c r="J112" s="176"/>
    </row>
    <row r="113" spans="1:12" ht="45.75" thickBot="1">
      <c r="A113" s="86" t="s">
        <v>3</v>
      </c>
      <c r="B113" s="22" t="s">
        <v>4</v>
      </c>
      <c r="C113" s="22" t="s">
        <v>5</v>
      </c>
      <c r="D113" s="21" t="s">
        <v>6</v>
      </c>
      <c r="E113" s="96" t="s">
        <v>504</v>
      </c>
      <c r="F113" s="1" t="s">
        <v>505</v>
      </c>
      <c r="G113" s="95" t="s">
        <v>507</v>
      </c>
      <c r="H113" s="309" t="s">
        <v>7</v>
      </c>
      <c r="I113" s="310" t="s">
        <v>8</v>
      </c>
      <c r="J113" s="263"/>
    </row>
    <row r="114" spans="1:12" ht="86.25" customHeight="1" thickBot="1">
      <c r="A114" s="135">
        <v>36</v>
      </c>
      <c r="B114" s="100" t="s">
        <v>168</v>
      </c>
      <c r="C114" s="100" t="s">
        <v>169</v>
      </c>
      <c r="D114" s="101" t="s">
        <v>170</v>
      </c>
      <c r="E114" s="70">
        <v>0</v>
      </c>
      <c r="F114" s="19">
        <v>0</v>
      </c>
      <c r="G114" s="19"/>
      <c r="H114" s="100" t="s">
        <v>100</v>
      </c>
      <c r="I114" s="295" t="s">
        <v>559</v>
      </c>
      <c r="J114" s="66"/>
    </row>
    <row r="115" spans="1:12" ht="15.75" thickBot="1">
      <c r="A115" s="359">
        <v>37</v>
      </c>
      <c r="B115" s="354" t="s">
        <v>171</v>
      </c>
      <c r="C115" s="100" t="s">
        <v>528</v>
      </c>
      <c r="D115" s="187"/>
      <c r="E115" s="127">
        <f>'Cost details'!G22</f>
        <v>15000</v>
      </c>
      <c r="F115" s="127">
        <f t="shared" ref="F115:G117" si="3">E115</f>
        <v>15000</v>
      </c>
      <c r="G115" s="127">
        <f t="shared" si="3"/>
        <v>15000</v>
      </c>
      <c r="H115" s="351" t="s">
        <v>536</v>
      </c>
      <c r="I115" s="351" t="s">
        <v>556</v>
      </c>
      <c r="J115" s="262"/>
      <c r="K115" s="93" t="s">
        <v>535</v>
      </c>
    </row>
    <row r="116" spans="1:12" ht="55.5" customHeight="1" thickBot="1">
      <c r="A116" s="360"/>
      <c r="B116" s="355"/>
      <c r="C116" s="153" t="s">
        <v>172</v>
      </c>
      <c r="D116" s="106" t="s">
        <v>173</v>
      </c>
      <c r="E116" s="127">
        <f>'Cost details'!C168/1000</f>
        <v>50484.896000000001</v>
      </c>
      <c r="F116" s="128">
        <f t="shared" si="3"/>
        <v>50484.896000000001</v>
      </c>
      <c r="G116" s="127">
        <f t="shared" si="3"/>
        <v>50484.896000000001</v>
      </c>
      <c r="H116" s="352"/>
      <c r="I116" s="352"/>
      <c r="J116" s="262"/>
      <c r="K116" s="93" t="s">
        <v>535</v>
      </c>
    </row>
    <row r="117" spans="1:12" ht="22.5" customHeight="1" thickBot="1">
      <c r="A117" s="360"/>
      <c r="B117" s="355"/>
      <c r="C117" s="129" t="s">
        <v>16</v>
      </c>
      <c r="D117" s="354" t="s">
        <v>174</v>
      </c>
      <c r="E117" s="127">
        <f>'Cost details'!C172/1000</f>
        <v>12176.32</v>
      </c>
      <c r="F117" s="127">
        <f t="shared" si="3"/>
        <v>12176.32</v>
      </c>
      <c r="G117" s="127"/>
      <c r="H117" s="352"/>
      <c r="I117" s="352"/>
      <c r="J117" s="262"/>
      <c r="K117" s="93" t="s">
        <v>535</v>
      </c>
      <c r="L117" t="s">
        <v>527</v>
      </c>
    </row>
    <row r="118" spans="1:12" ht="23.25" thickBot="1">
      <c r="A118" s="360"/>
      <c r="B118" s="355"/>
      <c r="C118" s="100" t="s">
        <v>531</v>
      </c>
      <c r="D118" s="355"/>
      <c r="E118" s="127">
        <v>0</v>
      </c>
      <c r="F118" s="128">
        <v>0</v>
      </c>
      <c r="G118" s="127">
        <v>0</v>
      </c>
      <c r="H118" s="352"/>
      <c r="I118" s="352"/>
      <c r="J118" s="262"/>
      <c r="K118" s="93" t="s">
        <v>535</v>
      </c>
      <c r="L118" t="s">
        <v>527</v>
      </c>
    </row>
    <row r="119" spans="1:12" ht="15.75" thickBot="1">
      <c r="A119" s="360"/>
      <c r="B119" s="355"/>
      <c r="C119" s="129" t="s">
        <v>175</v>
      </c>
      <c r="D119" s="356"/>
      <c r="E119" s="127">
        <f>'Cost details'!G34/1000</f>
        <v>29529.599999999999</v>
      </c>
      <c r="F119" s="128">
        <f>E119</f>
        <v>29529.599999999999</v>
      </c>
      <c r="G119" s="127"/>
      <c r="H119" s="352"/>
      <c r="I119" s="352"/>
      <c r="J119" s="262"/>
      <c r="K119" s="93" t="s">
        <v>535</v>
      </c>
      <c r="L119" t="s">
        <v>527</v>
      </c>
    </row>
    <row r="120" spans="1:12" ht="45.75" thickBot="1">
      <c r="A120" s="360"/>
      <c r="B120" s="355"/>
      <c r="C120" s="332" t="s">
        <v>176</v>
      </c>
      <c r="D120" s="101" t="s">
        <v>177</v>
      </c>
      <c r="E120" s="127"/>
      <c r="F120" s="128"/>
      <c r="G120" s="127">
        <f>G121</f>
        <v>12741.6</v>
      </c>
      <c r="H120" s="352"/>
      <c r="I120" s="352"/>
      <c r="J120" s="262"/>
      <c r="K120" s="93" t="s">
        <v>535</v>
      </c>
    </row>
    <row r="121" spans="1:12" ht="47.25" customHeight="1" thickBot="1">
      <c r="A121" s="360"/>
      <c r="B121" s="355"/>
      <c r="C121" s="100" t="s">
        <v>448</v>
      </c>
      <c r="D121" s="101" t="s">
        <v>178</v>
      </c>
      <c r="E121" s="127">
        <v>0</v>
      </c>
      <c r="F121" s="128">
        <v>0</v>
      </c>
      <c r="G121" s="127">
        <f>'Cost details'!G32/1000</f>
        <v>12741.6</v>
      </c>
      <c r="H121" s="352"/>
      <c r="I121" s="352"/>
      <c r="J121" s="262"/>
      <c r="K121" s="93" t="s">
        <v>535</v>
      </c>
    </row>
    <row r="122" spans="1:12" ht="34.5" thickBot="1">
      <c r="A122" s="361"/>
      <c r="B122" s="356"/>
      <c r="C122" s="333" t="s">
        <v>469</v>
      </c>
      <c r="D122" s="24" t="s">
        <v>179</v>
      </c>
      <c r="E122" s="127"/>
      <c r="F122" s="128"/>
      <c r="G122" s="127">
        <f>G121</f>
        <v>12741.6</v>
      </c>
      <c r="H122" s="353"/>
      <c r="I122" s="353"/>
      <c r="J122" s="262"/>
      <c r="K122" s="93" t="s">
        <v>535</v>
      </c>
    </row>
    <row r="123" spans="1:12" ht="85.5" customHeight="1">
      <c r="A123" s="389">
        <v>38</v>
      </c>
      <c r="B123" s="386" t="s">
        <v>180</v>
      </c>
      <c r="C123" s="7" t="s">
        <v>181</v>
      </c>
      <c r="D123" s="386" t="s">
        <v>184</v>
      </c>
      <c r="E123" s="446">
        <f>'Cost details'!C6</f>
        <v>12250</v>
      </c>
      <c r="F123" s="446">
        <f>'Cost details'!D6</f>
        <v>24500</v>
      </c>
      <c r="G123" s="422">
        <f>'Cost details'!E6</f>
        <v>18375</v>
      </c>
      <c r="H123" s="386" t="s">
        <v>13</v>
      </c>
      <c r="I123" s="351" t="s">
        <v>556</v>
      </c>
      <c r="J123" s="67"/>
      <c r="K123" s="93" t="s">
        <v>538</v>
      </c>
    </row>
    <row r="124" spans="1:12" ht="56.25">
      <c r="A124" s="415"/>
      <c r="B124" s="387"/>
      <c r="C124" s="8" t="s">
        <v>182</v>
      </c>
      <c r="D124" s="387"/>
      <c r="E124" s="447"/>
      <c r="F124" s="447"/>
      <c r="G124" s="423"/>
      <c r="H124" s="387"/>
      <c r="I124" s="352"/>
      <c r="J124" s="67"/>
    </row>
    <row r="125" spans="1:12" ht="34.5" customHeight="1" thickBot="1">
      <c r="A125" s="390"/>
      <c r="B125" s="388"/>
      <c r="C125" s="9" t="s">
        <v>183</v>
      </c>
      <c r="D125" s="388"/>
      <c r="E125" s="448"/>
      <c r="F125" s="448"/>
      <c r="G125" s="424"/>
      <c r="H125" s="388"/>
      <c r="I125" s="353"/>
      <c r="J125" s="67"/>
    </row>
    <row r="126" spans="1:12" ht="63" customHeight="1">
      <c r="A126" s="389">
        <v>39</v>
      </c>
      <c r="B126" s="386" t="s">
        <v>185</v>
      </c>
      <c r="C126" s="133" t="s">
        <v>186</v>
      </c>
      <c r="D126" s="386" t="s">
        <v>188</v>
      </c>
      <c r="E126" s="164">
        <f>'Cost details'!C11</f>
        <v>9800</v>
      </c>
      <c r="F126" s="164">
        <f>'Cost details'!D11</f>
        <v>14700</v>
      </c>
      <c r="G126" s="164">
        <f>'Cost details'!E11</f>
        <v>12250</v>
      </c>
      <c r="H126" s="386" t="s">
        <v>100</v>
      </c>
      <c r="I126" s="351" t="s">
        <v>567</v>
      </c>
      <c r="J126" s="67"/>
      <c r="K126" s="93" t="s">
        <v>539</v>
      </c>
    </row>
    <row r="127" spans="1:12" ht="51.75" customHeight="1" thickBot="1">
      <c r="A127" s="390"/>
      <c r="B127" s="388"/>
      <c r="C127" s="100" t="s">
        <v>187</v>
      </c>
      <c r="D127" s="388"/>
      <c r="E127" s="19"/>
      <c r="F127" s="19"/>
      <c r="G127" s="19"/>
      <c r="H127" s="388"/>
      <c r="I127" s="353"/>
      <c r="J127" s="67"/>
    </row>
    <row r="128" spans="1:12" ht="77.25" customHeight="1" thickBot="1">
      <c r="A128" s="132">
        <v>40</v>
      </c>
      <c r="B128" s="8" t="s">
        <v>415</v>
      </c>
      <c r="C128" s="165" t="s">
        <v>416</v>
      </c>
      <c r="D128" s="166" t="s">
        <v>417</v>
      </c>
      <c r="E128" s="168">
        <v>0</v>
      </c>
      <c r="F128" s="168">
        <v>0</v>
      </c>
      <c r="G128" s="334"/>
      <c r="H128" s="167" t="s">
        <v>418</v>
      </c>
      <c r="I128" s="289" t="s">
        <v>558</v>
      </c>
      <c r="J128" s="267"/>
    </row>
    <row r="129" spans="1:11" ht="33" customHeight="1">
      <c r="A129" s="389">
        <v>41</v>
      </c>
      <c r="B129" s="386" t="s">
        <v>189</v>
      </c>
      <c r="C129" s="107" t="s">
        <v>190</v>
      </c>
      <c r="D129" s="386" t="s">
        <v>188</v>
      </c>
      <c r="E129" s="131">
        <f>'Cost details'!C6</f>
        <v>12250</v>
      </c>
      <c r="F129" s="63">
        <f>'Cost details'!D6</f>
        <v>24500</v>
      </c>
      <c r="G129" s="335">
        <f>'Cost details'!E6</f>
        <v>18375</v>
      </c>
      <c r="H129" s="386" t="s">
        <v>13</v>
      </c>
      <c r="I129" s="351" t="s">
        <v>486</v>
      </c>
      <c r="J129" s="67"/>
      <c r="K129" s="93" t="s">
        <v>538</v>
      </c>
    </row>
    <row r="130" spans="1:11" ht="45">
      <c r="A130" s="415"/>
      <c r="B130" s="387"/>
      <c r="C130" s="99" t="s">
        <v>191</v>
      </c>
      <c r="D130" s="387"/>
      <c r="E130" s="18"/>
      <c r="F130" s="18"/>
      <c r="G130" s="336"/>
      <c r="H130" s="387"/>
      <c r="I130" s="352"/>
      <c r="J130" s="67"/>
    </row>
    <row r="131" spans="1:11" ht="34.5" thickBot="1">
      <c r="A131" s="415"/>
      <c r="B131" s="387"/>
      <c r="C131" s="99" t="s">
        <v>192</v>
      </c>
      <c r="D131" s="387"/>
      <c r="E131" s="18"/>
      <c r="F131" s="18"/>
      <c r="G131" s="336"/>
      <c r="H131" s="387"/>
      <c r="I131" s="353"/>
      <c r="J131" s="67"/>
    </row>
    <row r="132" spans="1:11" ht="78" customHeight="1">
      <c r="A132" s="389">
        <v>42</v>
      </c>
      <c r="B132" s="386" t="s">
        <v>193</v>
      </c>
      <c r="C132" s="103" t="s">
        <v>194</v>
      </c>
      <c r="D132" s="393" t="s">
        <v>196</v>
      </c>
      <c r="E132" s="12">
        <v>0</v>
      </c>
      <c r="F132" s="16">
        <v>0</v>
      </c>
      <c r="G132" s="12"/>
      <c r="H132" s="386" t="s">
        <v>56</v>
      </c>
      <c r="I132" s="351" t="s">
        <v>567</v>
      </c>
      <c r="J132" s="67"/>
    </row>
    <row r="133" spans="1:11" ht="34.5" thickBot="1">
      <c r="A133" s="390"/>
      <c r="B133" s="388"/>
      <c r="C133" s="105" t="s">
        <v>195</v>
      </c>
      <c r="D133" s="394"/>
      <c r="E133" s="26"/>
      <c r="F133" s="20"/>
      <c r="G133" s="26"/>
      <c r="H133" s="388"/>
      <c r="I133" s="353"/>
      <c r="J133" s="67"/>
    </row>
    <row r="134" spans="1:11" ht="68.25" thickBot="1">
      <c r="A134" s="88">
        <v>43</v>
      </c>
      <c r="B134" s="118" t="s">
        <v>197</v>
      </c>
      <c r="C134" s="118" t="s">
        <v>198</v>
      </c>
      <c r="D134" s="118" t="s">
        <v>199</v>
      </c>
      <c r="E134" s="226">
        <v>0</v>
      </c>
      <c r="F134" s="226">
        <v>0</v>
      </c>
      <c r="G134" s="226"/>
      <c r="H134" s="118" t="s">
        <v>200</v>
      </c>
      <c r="I134" s="118" t="s">
        <v>567</v>
      </c>
      <c r="J134" s="66"/>
    </row>
    <row r="135" spans="1:11" ht="67.5">
      <c r="A135" s="359">
        <v>44</v>
      </c>
      <c r="B135" s="107" t="s">
        <v>201</v>
      </c>
      <c r="C135" s="107" t="s">
        <v>202</v>
      </c>
      <c r="D135" s="354" t="s">
        <v>449</v>
      </c>
      <c r="E135" s="229">
        <f>'Cost details'!C11</f>
        <v>9800</v>
      </c>
      <c r="F135" s="229">
        <f>'Cost details'!D11</f>
        <v>14700</v>
      </c>
      <c r="G135" s="229">
        <f>'Cost details'!E11</f>
        <v>12250</v>
      </c>
      <c r="H135" s="295" t="s">
        <v>204</v>
      </c>
      <c r="I135" s="351" t="s">
        <v>567</v>
      </c>
      <c r="J135" s="67"/>
      <c r="K135" s="93" t="s">
        <v>539</v>
      </c>
    </row>
    <row r="136" spans="1:11" ht="60" customHeight="1" thickBot="1">
      <c r="A136" s="361"/>
      <c r="B136" s="100" t="s">
        <v>124</v>
      </c>
      <c r="C136" s="100" t="s">
        <v>203</v>
      </c>
      <c r="D136" s="356"/>
      <c r="E136" s="129">
        <v>0</v>
      </c>
      <c r="F136" s="129">
        <v>0</v>
      </c>
      <c r="G136" s="129">
        <v>0</v>
      </c>
      <c r="H136" s="297"/>
      <c r="I136" s="353"/>
      <c r="J136" s="67"/>
    </row>
    <row r="137" spans="1:11" ht="51" customHeight="1" thickBot="1">
      <c r="A137" s="415">
        <v>45</v>
      </c>
      <c r="B137" s="387" t="s">
        <v>205</v>
      </c>
      <c r="C137" s="99" t="s">
        <v>206</v>
      </c>
      <c r="D137" s="386" t="s">
        <v>208</v>
      </c>
      <c r="E137" s="230">
        <f>'Cost details'!C11</f>
        <v>9800</v>
      </c>
      <c r="F137" s="230">
        <f>'Cost details'!D11</f>
        <v>14700</v>
      </c>
      <c r="G137" s="230">
        <f>'Cost details'!E11</f>
        <v>12250</v>
      </c>
      <c r="H137" s="387" t="s">
        <v>35</v>
      </c>
      <c r="I137" s="351" t="s">
        <v>486</v>
      </c>
      <c r="J137" s="67"/>
      <c r="K137" s="93" t="s">
        <v>539</v>
      </c>
    </row>
    <row r="138" spans="1:11" ht="42" customHeight="1" thickBot="1">
      <c r="A138" s="415"/>
      <c r="B138" s="387"/>
      <c r="C138" s="299" t="s">
        <v>568</v>
      </c>
      <c r="D138" s="387"/>
      <c r="E138" s="231"/>
      <c r="F138" s="232"/>
      <c r="G138" s="233"/>
      <c r="H138" s="387"/>
      <c r="I138" s="352"/>
      <c r="J138" s="67"/>
    </row>
    <row r="139" spans="1:11" ht="57" thickBot="1">
      <c r="A139" s="415"/>
      <c r="B139" s="387"/>
      <c r="C139" s="99" t="s">
        <v>207</v>
      </c>
      <c r="D139" s="387"/>
      <c r="E139" s="231">
        <f>'Cost details'!C6</f>
        <v>12250</v>
      </c>
      <c r="F139" s="232">
        <f>E139</f>
        <v>12250</v>
      </c>
      <c r="G139" s="232">
        <f>F139</f>
        <v>12250</v>
      </c>
      <c r="H139" s="387"/>
      <c r="I139" s="352"/>
      <c r="J139" s="67"/>
      <c r="K139" s="93" t="s">
        <v>538</v>
      </c>
    </row>
    <row r="140" spans="1:11" ht="22.5" customHeight="1" thickBot="1">
      <c r="A140" s="88"/>
      <c r="B140" s="123" t="s">
        <v>402</v>
      </c>
      <c r="C140" s="134"/>
      <c r="D140" s="123"/>
      <c r="E140" s="136">
        <f>SUM(E114:E139)</f>
        <v>173340.81599999999</v>
      </c>
      <c r="F140" s="136">
        <f>SUM(F114:F139)</f>
        <v>212540.81599999999</v>
      </c>
      <c r="G140" s="331">
        <f>SUM(G114:G139)</f>
        <v>189459.696</v>
      </c>
      <c r="H140" s="140"/>
      <c r="I140" s="146"/>
      <c r="J140" s="66"/>
    </row>
    <row r="141" spans="1:11">
      <c r="A141" s="444"/>
      <c r="B141" s="445"/>
      <c r="C141" s="445"/>
      <c r="D141" s="445"/>
      <c r="E141" s="445"/>
      <c r="F141" s="445"/>
      <c r="G141" s="445"/>
      <c r="H141" s="445"/>
      <c r="I141" s="445"/>
      <c r="J141" s="192"/>
    </row>
    <row r="142" spans="1:11">
      <c r="A142" s="384" t="s">
        <v>209</v>
      </c>
      <c r="B142" s="385"/>
      <c r="C142" s="385"/>
      <c r="D142" s="385"/>
      <c r="E142" s="385"/>
      <c r="F142" s="385"/>
      <c r="G142" s="385"/>
      <c r="H142" s="385"/>
      <c r="I142" s="385"/>
      <c r="J142" s="181"/>
    </row>
    <row r="143" spans="1:11">
      <c r="A143" s="395"/>
      <c r="B143" s="396"/>
      <c r="C143" s="396"/>
      <c r="D143" s="396"/>
      <c r="E143" s="396"/>
      <c r="F143" s="396"/>
      <c r="G143" s="396"/>
      <c r="H143" s="396"/>
      <c r="I143" s="396"/>
      <c r="J143" s="177"/>
    </row>
    <row r="144" spans="1:11">
      <c r="A144" s="411" t="s">
        <v>210</v>
      </c>
      <c r="B144" s="412"/>
      <c r="C144" s="412"/>
      <c r="D144" s="412"/>
      <c r="E144" s="412"/>
      <c r="F144" s="412"/>
      <c r="G144" s="412"/>
      <c r="H144" s="412"/>
      <c r="I144" s="412"/>
      <c r="J144" s="176"/>
    </row>
    <row r="145" spans="1:11">
      <c r="A145" s="418"/>
      <c r="B145" s="419"/>
      <c r="C145" s="419"/>
      <c r="D145" s="419"/>
      <c r="E145" s="419"/>
      <c r="F145" s="419"/>
      <c r="G145" s="419"/>
      <c r="H145" s="419"/>
      <c r="I145" s="419"/>
      <c r="J145" s="184"/>
    </row>
    <row r="146" spans="1:11">
      <c r="A146" s="411" t="s">
        <v>211</v>
      </c>
      <c r="B146" s="412"/>
      <c r="C146" s="412"/>
      <c r="D146" s="412"/>
      <c r="E146" s="412"/>
      <c r="F146" s="412"/>
      <c r="G146" s="412"/>
      <c r="H146" s="412"/>
      <c r="I146" s="412"/>
      <c r="J146" s="176"/>
    </row>
    <row r="147" spans="1:11" ht="15.75" thickBot="1">
      <c r="A147" s="420"/>
      <c r="B147" s="421"/>
      <c r="C147" s="421"/>
      <c r="D147" s="421"/>
      <c r="E147" s="421"/>
      <c r="F147" s="421"/>
      <c r="G147" s="421"/>
      <c r="H147" s="421"/>
      <c r="I147" s="421"/>
      <c r="J147" s="184"/>
    </row>
    <row r="148" spans="1:11" ht="45.75" thickBot="1">
      <c r="A148" s="86" t="s">
        <v>3</v>
      </c>
      <c r="B148" s="22" t="s">
        <v>4</v>
      </c>
      <c r="C148" s="22" t="s">
        <v>5</v>
      </c>
      <c r="D148" s="21" t="s">
        <v>6</v>
      </c>
      <c r="E148" s="96" t="s">
        <v>504</v>
      </c>
      <c r="F148" s="1" t="s">
        <v>505</v>
      </c>
      <c r="G148" s="95" t="s">
        <v>507</v>
      </c>
      <c r="H148" s="309" t="s">
        <v>7</v>
      </c>
      <c r="I148" s="310" t="s">
        <v>8</v>
      </c>
      <c r="J148" s="263"/>
    </row>
    <row r="149" spans="1:11" ht="45.75" customHeight="1" thickBot="1">
      <c r="A149" s="294">
        <v>46</v>
      </c>
      <c r="B149" s="295" t="s">
        <v>212</v>
      </c>
      <c r="C149" s="99" t="s">
        <v>213</v>
      </c>
      <c r="D149" s="293" t="s">
        <v>214</v>
      </c>
      <c r="E149" s="233"/>
      <c r="F149" s="234">
        <f>E149</f>
        <v>0</v>
      </c>
      <c r="G149" s="288">
        <v>1200</v>
      </c>
      <c r="H149" s="299" t="s">
        <v>569</v>
      </c>
      <c r="I149" s="286" t="s">
        <v>556</v>
      </c>
      <c r="J149" s="67"/>
      <c r="K149" s="93" t="s">
        <v>538</v>
      </c>
    </row>
    <row r="150" spans="1:11" ht="60" customHeight="1" thickBot="1">
      <c r="A150" s="389">
        <v>47</v>
      </c>
      <c r="B150" s="386" t="s">
        <v>470</v>
      </c>
      <c r="C150" s="137" t="s">
        <v>472</v>
      </c>
      <c r="D150" s="393" t="s">
        <v>215</v>
      </c>
      <c r="E150" s="233">
        <f>3*5000</f>
        <v>15000</v>
      </c>
      <c r="F150" s="234">
        <f>3*10000</f>
        <v>30000</v>
      </c>
      <c r="G150" s="233">
        <f>E150</f>
        <v>15000</v>
      </c>
      <c r="H150" s="299" t="s">
        <v>35</v>
      </c>
      <c r="I150" s="351" t="s">
        <v>556</v>
      </c>
      <c r="J150" s="67"/>
      <c r="K150" s="93" t="s">
        <v>542</v>
      </c>
    </row>
    <row r="151" spans="1:11" ht="66" customHeight="1" thickBot="1">
      <c r="A151" s="415"/>
      <c r="B151" s="387"/>
      <c r="C151" s="167" t="s">
        <v>471</v>
      </c>
      <c r="D151" s="404"/>
      <c r="E151" s="233">
        <v>10000</v>
      </c>
      <c r="F151" s="234">
        <v>15000</v>
      </c>
      <c r="G151" s="233">
        <f>E151</f>
        <v>10000</v>
      </c>
      <c r="H151" s="299" t="s">
        <v>60</v>
      </c>
      <c r="I151" s="352"/>
      <c r="J151" s="67"/>
      <c r="K151" s="93" t="s">
        <v>542</v>
      </c>
    </row>
    <row r="152" spans="1:11" ht="124.5" thickBot="1">
      <c r="A152" s="88">
        <v>48</v>
      </c>
      <c r="B152" s="137" t="s">
        <v>419</v>
      </c>
      <c r="C152" s="137" t="s">
        <v>423</v>
      </c>
      <c r="D152" s="169" t="s">
        <v>424</v>
      </c>
      <c r="E152" s="233">
        <f>'Cost details'!C6</f>
        <v>12250</v>
      </c>
      <c r="F152" s="234">
        <f>'Cost details'!D6</f>
        <v>24500</v>
      </c>
      <c r="G152" s="233">
        <f>'Cost details'!E6</f>
        <v>18375</v>
      </c>
      <c r="H152" s="319" t="s">
        <v>425</v>
      </c>
      <c r="I152" s="235" t="s">
        <v>556</v>
      </c>
      <c r="J152" s="267"/>
      <c r="K152" s="93" t="s">
        <v>538</v>
      </c>
    </row>
    <row r="153" spans="1:11" ht="90.75" customHeight="1" thickBot="1">
      <c r="A153" s="359">
        <v>49</v>
      </c>
      <c r="B153" s="425" t="s">
        <v>420</v>
      </c>
      <c r="C153" s="170" t="s">
        <v>514</v>
      </c>
      <c r="D153" s="397" t="s">
        <v>421</v>
      </c>
      <c r="E153" s="233">
        <v>0</v>
      </c>
      <c r="F153" s="234">
        <f t="shared" ref="F153:G156" si="4">E153</f>
        <v>0</v>
      </c>
      <c r="G153" s="233">
        <f t="shared" si="4"/>
        <v>0</v>
      </c>
      <c r="H153" s="167" t="s">
        <v>422</v>
      </c>
      <c r="I153" s="351" t="s">
        <v>486</v>
      </c>
      <c r="J153" s="67"/>
    </row>
    <row r="154" spans="1:11" ht="124.5" thickBot="1">
      <c r="A154" s="360"/>
      <c r="B154" s="425"/>
      <c r="C154" s="163" t="s">
        <v>515</v>
      </c>
      <c r="D154" s="398"/>
      <c r="E154" s="233">
        <v>0</v>
      </c>
      <c r="F154" s="234">
        <f t="shared" si="4"/>
        <v>0</v>
      </c>
      <c r="G154" s="233">
        <f t="shared" si="4"/>
        <v>0</v>
      </c>
      <c r="H154" s="167"/>
      <c r="I154" s="352"/>
      <c r="J154" s="67"/>
    </row>
    <row r="155" spans="1:11" ht="68.25" thickBot="1">
      <c r="A155" s="360"/>
      <c r="B155" s="425"/>
      <c r="C155" s="163" t="s">
        <v>516</v>
      </c>
      <c r="D155" s="398"/>
      <c r="E155" s="233">
        <v>0</v>
      </c>
      <c r="F155" s="234">
        <f t="shared" si="4"/>
        <v>0</v>
      </c>
      <c r="G155" s="233">
        <f t="shared" si="4"/>
        <v>0</v>
      </c>
      <c r="H155" s="167"/>
      <c r="I155" s="352"/>
      <c r="J155" s="67"/>
    </row>
    <row r="156" spans="1:11" ht="45.75" thickBot="1">
      <c r="A156" s="89">
        <v>50</v>
      </c>
      <c r="B156" s="186" t="s">
        <v>216</v>
      </c>
      <c r="C156" s="212" t="s">
        <v>217</v>
      </c>
      <c r="D156" s="187" t="s">
        <v>218</v>
      </c>
      <c r="E156" s="233">
        <v>0</v>
      </c>
      <c r="F156" s="234">
        <f t="shared" si="4"/>
        <v>0</v>
      </c>
      <c r="G156" s="233">
        <f t="shared" si="4"/>
        <v>0</v>
      </c>
      <c r="H156" s="295" t="s">
        <v>35</v>
      </c>
      <c r="I156" s="295" t="s">
        <v>486</v>
      </c>
      <c r="J156" s="66"/>
    </row>
    <row r="157" spans="1:11" ht="63" customHeight="1" thickBot="1">
      <c r="A157" s="351">
        <v>51</v>
      </c>
      <c r="B157" s="354" t="s">
        <v>219</v>
      </c>
      <c r="C157" s="99" t="s">
        <v>220</v>
      </c>
      <c r="D157" s="351" t="s">
        <v>223</v>
      </c>
      <c r="E157" s="381">
        <f>'Cost details'!C6</f>
        <v>12250</v>
      </c>
      <c r="F157" s="381">
        <f>'Cost details'!D6</f>
        <v>24500</v>
      </c>
      <c r="G157" s="381">
        <f>'Cost details'!E6</f>
        <v>18375</v>
      </c>
      <c r="H157" s="351" t="s">
        <v>35</v>
      </c>
      <c r="I157" s="351" t="s">
        <v>556</v>
      </c>
      <c r="J157" s="262"/>
      <c r="K157" s="93" t="s">
        <v>538</v>
      </c>
    </row>
    <row r="158" spans="1:11" ht="90.75" thickBot="1">
      <c r="A158" s="352"/>
      <c r="B158" s="355"/>
      <c r="C158" s="118" t="s">
        <v>221</v>
      </c>
      <c r="D158" s="352"/>
      <c r="E158" s="382"/>
      <c r="F158" s="382"/>
      <c r="G158" s="382"/>
      <c r="H158" s="352"/>
      <c r="I158" s="352"/>
      <c r="J158" s="262"/>
    </row>
    <row r="159" spans="1:11" ht="90.75" thickBot="1">
      <c r="A159" s="352"/>
      <c r="B159" s="355"/>
      <c r="C159" s="99" t="s">
        <v>222</v>
      </c>
      <c r="D159" s="352"/>
      <c r="E159" s="382"/>
      <c r="F159" s="382"/>
      <c r="G159" s="382"/>
      <c r="H159" s="352"/>
      <c r="I159" s="352"/>
      <c r="J159" s="262"/>
    </row>
    <row r="160" spans="1:11" ht="68.25" thickBot="1">
      <c r="A160" s="188"/>
      <c r="B160" s="356"/>
      <c r="C160" s="120" t="s">
        <v>517</v>
      </c>
      <c r="D160" s="353"/>
      <c r="E160" s="383"/>
      <c r="F160" s="383"/>
      <c r="G160" s="383"/>
      <c r="H160" s="353"/>
      <c r="I160" s="353"/>
      <c r="J160" s="262"/>
    </row>
    <row r="161" spans="1:11" ht="45.75" thickBot="1">
      <c r="A161" s="106">
        <v>52</v>
      </c>
      <c r="B161" s="171" t="s">
        <v>224</v>
      </c>
      <c r="C161" s="214" t="s">
        <v>518</v>
      </c>
      <c r="D161" s="103" t="s">
        <v>225</v>
      </c>
      <c r="E161" s="118">
        <v>0</v>
      </c>
      <c r="F161" s="146">
        <v>0</v>
      </c>
      <c r="G161" s="118">
        <v>0</v>
      </c>
      <c r="H161" s="244"/>
      <c r="I161" s="118" t="s">
        <v>556</v>
      </c>
      <c r="J161" s="66"/>
      <c r="K161" s="93" t="s">
        <v>535</v>
      </c>
    </row>
    <row r="162" spans="1:11" ht="22.5" customHeight="1" thickBot="1">
      <c r="A162" s="101"/>
      <c r="B162" s="123" t="s">
        <v>403</v>
      </c>
      <c r="C162" s="213"/>
      <c r="D162" s="123"/>
      <c r="E162" s="126">
        <f>SUM(E149:E161)</f>
        <v>49500</v>
      </c>
      <c r="F162" s="126">
        <f>SUM(F149:F161)</f>
        <v>94000</v>
      </c>
      <c r="G162" s="126">
        <f>SUM(G149:G161)</f>
        <v>62950</v>
      </c>
      <c r="H162" s="314"/>
      <c r="I162" s="146"/>
      <c r="J162" s="66"/>
    </row>
    <row r="163" spans="1:11">
      <c r="A163" s="407" t="s">
        <v>226</v>
      </c>
      <c r="B163" s="408"/>
      <c r="C163" s="408"/>
      <c r="D163" s="408"/>
      <c r="E163" s="408"/>
      <c r="F163" s="408"/>
      <c r="G163" s="408"/>
      <c r="H163" s="408"/>
      <c r="I163" s="408"/>
      <c r="J163" s="181"/>
    </row>
    <row r="164" spans="1:11">
      <c r="A164" s="411" t="s">
        <v>227</v>
      </c>
      <c r="B164" s="412"/>
      <c r="C164" s="412"/>
      <c r="D164" s="412"/>
      <c r="E164" s="412"/>
      <c r="F164" s="412"/>
      <c r="G164" s="412"/>
      <c r="H164" s="412"/>
      <c r="I164" s="412"/>
      <c r="J164" s="176"/>
    </row>
    <row r="165" spans="1:11">
      <c r="A165" s="418"/>
      <c r="B165" s="419"/>
      <c r="C165" s="419"/>
      <c r="D165" s="419"/>
      <c r="E165" s="419"/>
      <c r="F165" s="419"/>
      <c r="G165" s="419"/>
      <c r="H165" s="419"/>
      <c r="I165" s="419"/>
      <c r="J165" s="184"/>
    </row>
    <row r="166" spans="1:11">
      <c r="A166" s="411" t="s">
        <v>228</v>
      </c>
      <c r="B166" s="412"/>
      <c r="C166" s="412"/>
      <c r="D166" s="412"/>
      <c r="E166" s="412"/>
      <c r="F166" s="412"/>
      <c r="G166" s="412"/>
      <c r="H166" s="412"/>
      <c r="I166" s="412"/>
      <c r="J166" s="176"/>
    </row>
    <row r="167" spans="1:11" ht="15.75" thickBot="1">
      <c r="A167" s="420"/>
      <c r="B167" s="421"/>
      <c r="C167" s="421"/>
      <c r="D167" s="421"/>
      <c r="E167" s="421"/>
      <c r="F167" s="421"/>
      <c r="G167" s="421"/>
      <c r="H167" s="421"/>
      <c r="I167" s="421"/>
      <c r="J167" s="184"/>
    </row>
    <row r="168" spans="1:11" ht="45.75" thickBot="1">
      <c r="A168" s="86" t="s">
        <v>3</v>
      </c>
      <c r="B168" s="22" t="s">
        <v>4</v>
      </c>
      <c r="C168" s="22" t="s">
        <v>5</v>
      </c>
      <c r="D168" s="21" t="s">
        <v>6</v>
      </c>
      <c r="E168" s="96" t="s">
        <v>504</v>
      </c>
      <c r="F168" s="1" t="s">
        <v>505</v>
      </c>
      <c r="G168" s="95" t="s">
        <v>507</v>
      </c>
      <c r="H168" s="309" t="s">
        <v>7</v>
      </c>
      <c r="I168" s="310" t="s">
        <v>8</v>
      </c>
      <c r="J168" s="263"/>
    </row>
    <row r="169" spans="1:11" ht="64.5" customHeight="1" thickBot="1">
      <c r="A169" s="389">
        <v>53</v>
      </c>
      <c r="B169" s="386" t="s">
        <v>229</v>
      </c>
      <c r="C169" s="8" t="s">
        <v>230</v>
      </c>
      <c r="D169" s="442" t="s">
        <v>232</v>
      </c>
      <c r="E169" s="236">
        <f>'Cost details'!C11</f>
        <v>9800</v>
      </c>
      <c r="F169" s="236">
        <f>'Cost details'!D11</f>
        <v>14700</v>
      </c>
      <c r="G169" s="236">
        <f>'Cost details'!E11</f>
        <v>12250</v>
      </c>
      <c r="H169" s="416" t="s">
        <v>233</v>
      </c>
      <c r="I169" s="351" t="s">
        <v>567</v>
      </c>
      <c r="J169" s="67"/>
      <c r="K169" s="93" t="s">
        <v>539</v>
      </c>
    </row>
    <row r="170" spans="1:11" ht="50.25" customHeight="1" thickBot="1">
      <c r="A170" s="415"/>
      <c r="B170" s="387"/>
      <c r="C170" s="8" t="s">
        <v>231</v>
      </c>
      <c r="D170" s="443"/>
      <c r="E170" s="194">
        <v>0</v>
      </c>
      <c r="F170" s="228">
        <v>0</v>
      </c>
      <c r="G170" s="193">
        <v>0</v>
      </c>
      <c r="H170" s="417"/>
      <c r="I170" s="353"/>
      <c r="J170" s="67"/>
    </row>
    <row r="171" spans="1:11" ht="57" thickBot="1">
      <c r="A171" s="89">
        <v>54</v>
      </c>
      <c r="B171" s="103" t="s">
        <v>234</v>
      </c>
      <c r="C171" s="162" t="s">
        <v>235</v>
      </c>
      <c r="D171" s="106" t="s">
        <v>236</v>
      </c>
      <c r="E171" s="236">
        <f>'Cost details'!C176/1000</f>
        <v>86545.535999999993</v>
      </c>
      <c r="F171" s="237">
        <f>E171</f>
        <v>86545.535999999993</v>
      </c>
      <c r="G171" s="337">
        <f>F171</f>
        <v>86545.535999999993</v>
      </c>
      <c r="H171" s="298" t="s">
        <v>13</v>
      </c>
      <c r="I171" s="295" t="s">
        <v>486</v>
      </c>
      <c r="J171" s="66"/>
      <c r="K171" s="93" t="s">
        <v>535</v>
      </c>
    </row>
    <row r="172" spans="1:11" ht="57" thickBot="1">
      <c r="A172" s="89">
        <v>55</v>
      </c>
      <c r="B172" s="186" t="s">
        <v>519</v>
      </c>
      <c r="C172" s="103" t="s">
        <v>398</v>
      </c>
      <c r="D172" s="106" t="s">
        <v>237</v>
      </c>
      <c r="E172" s="236">
        <v>0</v>
      </c>
      <c r="F172" s="237">
        <v>0</v>
      </c>
      <c r="G172" s="236">
        <f>F172</f>
        <v>0</v>
      </c>
      <c r="H172" s="298" t="s">
        <v>238</v>
      </c>
      <c r="I172" s="286" t="s">
        <v>567</v>
      </c>
      <c r="J172" s="67"/>
    </row>
    <row r="173" spans="1:11" ht="15.75" thickBot="1">
      <c r="A173" s="88"/>
      <c r="B173" s="109" t="s">
        <v>404</v>
      </c>
      <c r="C173" s="123"/>
      <c r="D173" s="123"/>
      <c r="E173" s="125">
        <f>SUM(E169:E172)</f>
        <v>96345.535999999993</v>
      </c>
      <c r="F173" s="125">
        <f>SUM(F169:F172)</f>
        <v>101245.53599999999</v>
      </c>
      <c r="G173" s="125">
        <f>SUM(G169:G172)</f>
        <v>98795.535999999993</v>
      </c>
      <c r="H173" s="140"/>
      <c r="I173" s="72"/>
      <c r="J173" s="269"/>
    </row>
    <row r="174" spans="1:11">
      <c r="A174" s="407" t="s">
        <v>239</v>
      </c>
      <c r="B174" s="408"/>
      <c r="C174" s="408"/>
      <c r="D174" s="408"/>
      <c r="E174" s="408"/>
      <c r="F174" s="408"/>
      <c r="G174" s="408"/>
      <c r="H174" s="408"/>
      <c r="I174" s="408"/>
      <c r="J174" s="181"/>
    </row>
    <row r="175" spans="1:11">
      <c r="A175" s="395"/>
      <c r="B175" s="396"/>
      <c r="C175" s="396"/>
      <c r="D175" s="396"/>
      <c r="E175" s="396"/>
      <c r="F175" s="396"/>
      <c r="G175" s="396"/>
      <c r="H175" s="396"/>
      <c r="I175" s="396"/>
      <c r="J175" s="177"/>
    </row>
    <row r="176" spans="1:11">
      <c r="A176" s="411" t="s">
        <v>240</v>
      </c>
      <c r="B176" s="412"/>
      <c r="C176" s="412"/>
      <c r="D176" s="412"/>
      <c r="E176" s="412"/>
      <c r="F176" s="412"/>
      <c r="G176" s="412"/>
      <c r="H176" s="412"/>
      <c r="I176" s="412"/>
      <c r="J176" s="176"/>
    </row>
    <row r="177" spans="1:10">
      <c r="A177" s="418"/>
      <c r="B177" s="419"/>
      <c r="C177" s="419"/>
      <c r="D177" s="419"/>
      <c r="E177" s="419"/>
      <c r="F177" s="419"/>
      <c r="G177" s="419"/>
      <c r="H177" s="419"/>
      <c r="I177" s="419"/>
      <c r="J177" s="184"/>
    </row>
    <row r="178" spans="1:10" ht="15.75" thickBot="1">
      <c r="A178" s="413" t="s">
        <v>241</v>
      </c>
      <c r="B178" s="414"/>
      <c r="C178" s="414"/>
      <c r="D178" s="414"/>
      <c r="E178" s="414"/>
      <c r="F178" s="414"/>
      <c r="G178" s="414"/>
      <c r="H178" s="414"/>
      <c r="I178" s="414"/>
      <c r="J178" s="176"/>
    </row>
    <row r="179" spans="1:10" ht="45.75" thickBot="1">
      <c r="A179" s="86" t="s">
        <v>3</v>
      </c>
      <c r="B179" s="22" t="s">
        <v>4</v>
      </c>
      <c r="C179" s="22" t="s">
        <v>5</v>
      </c>
      <c r="D179" s="21" t="s">
        <v>6</v>
      </c>
      <c r="E179" s="96" t="s">
        <v>504</v>
      </c>
      <c r="F179" s="1" t="s">
        <v>505</v>
      </c>
      <c r="G179" s="95" t="s">
        <v>507</v>
      </c>
      <c r="H179" s="309" t="s">
        <v>7</v>
      </c>
      <c r="I179" s="310" t="s">
        <v>8</v>
      </c>
      <c r="J179" s="263"/>
    </row>
    <row r="180" spans="1:10" ht="55.5" customHeight="1">
      <c r="A180" s="389">
        <v>56</v>
      </c>
      <c r="B180" s="386" t="s">
        <v>520</v>
      </c>
      <c r="C180" s="99" t="s">
        <v>242</v>
      </c>
      <c r="D180" s="393" t="s">
        <v>245</v>
      </c>
      <c r="E180" s="10"/>
      <c r="F180" s="7"/>
      <c r="G180" s="290"/>
      <c r="H180" s="416" t="s">
        <v>79</v>
      </c>
      <c r="I180" s="354" t="s">
        <v>556</v>
      </c>
      <c r="J180" s="260"/>
    </row>
    <row r="181" spans="1:10" ht="33.75">
      <c r="A181" s="415"/>
      <c r="B181" s="387"/>
      <c r="C181" s="99" t="s">
        <v>243</v>
      </c>
      <c r="D181" s="404"/>
      <c r="E181" s="11"/>
      <c r="F181" s="8"/>
      <c r="G181" s="291"/>
      <c r="H181" s="417"/>
      <c r="I181" s="355"/>
      <c r="J181" s="260"/>
    </row>
    <row r="182" spans="1:10" ht="45.75" thickBot="1">
      <c r="A182" s="415"/>
      <c r="B182" s="387"/>
      <c r="C182" s="99" t="s">
        <v>244</v>
      </c>
      <c r="D182" s="404"/>
      <c r="E182" s="11"/>
      <c r="F182" s="8"/>
      <c r="G182" s="291"/>
      <c r="H182" s="417"/>
      <c r="I182" s="356"/>
      <c r="J182" s="260"/>
    </row>
    <row r="183" spans="1:10" ht="57" thickBot="1">
      <c r="A183" s="294">
        <v>57</v>
      </c>
      <c r="B183" s="295" t="s">
        <v>246</v>
      </c>
      <c r="C183" s="295" t="s">
        <v>247</v>
      </c>
      <c r="D183" s="293" t="s">
        <v>248</v>
      </c>
      <c r="E183" s="179">
        <v>0</v>
      </c>
      <c r="F183" s="189">
        <v>0</v>
      </c>
      <c r="G183" s="290"/>
      <c r="H183" s="298" t="s">
        <v>60</v>
      </c>
      <c r="I183" s="295" t="s">
        <v>486</v>
      </c>
      <c r="J183" s="66"/>
    </row>
    <row r="184" spans="1:10" ht="45.75" thickBot="1">
      <c r="A184" s="185">
        <v>58</v>
      </c>
      <c r="B184" s="186" t="s">
        <v>249</v>
      </c>
      <c r="C184" s="186" t="s">
        <v>250</v>
      </c>
      <c r="D184" s="187" t="s">
        <v>251</v>
      </c>
      <c r="E184" s="71">
        <v>0</v>
      </c>
      <c r="F184" s="182">
        <v>0</v>
      </c>
      <c r="G184" s="71"/>
      <c r="H184" s="298" t="s">
        <v>60</v>
      </c>
      <c r="I184" s="295" t="s">
        <v>486</v>
      </c>
      <c r="J184" s="66"/>
    </row>
    <row r="185" spans="1:10" ht="63.75" customHeight="1">
      <c r="A185" s="389">
        <v>59</v>
      </c>
      <c r="B185" s="386" t="s">
        <v>252</v>
      </c>
      <c r="C185" s="238" t="s">
        <v>253</v>
      </c>
      <c r="D185" s="393" t="s">
        <v>256</v>
      </c>
      <c r="E185" s="179"/>
      <c r="F185" s="189"/>
      <c r="G185" s="290"/>
      <c r="H185" s="295" t="s">
        <v>257</v>
      </c>
      <c r="I185" s="354" t="s">
        <v>486</v>
      </c>
      <c r="J185" s="260"/>
    </row>
    <row r="186" spans="1:10" ht="56.25">
      <c r="A186" s="415"/>
      <c r="B186" s="387"/>
      <c r="C186" s="191" t="s">
        <v>254</v>
      </c>
      <c r="D186" s="404"/>
      <c r="E186" s="180"/>
      <c r="F186" s="195"/>
      <c r="G186" s="291"/>
      <c r="H186" s="296" t="s">
        <v>69</v>
      </c>
      <c r="I186" s="355"/>
      <c r="J186" s="260"/>
    </row>
    <row r="187" spans="1:10" ht="34.5" thickBot="1">
      <c r="A187" s="415"/>
      <c r="B187" s="387"/>
      <c r="C187" s="191" t="s">
        <v>255</v>
      </c>
      <c r="D187" s="404"/>
      <c r="E187" s="180"/>
      <c r="F187" s="195"/>
      <c r="G187" s="292"/>
      <c r="H187" s="297" t="s">
        <v>35</v>
      </c>
      <c r="I187" s="356"/>
      <c r="J187" s="260"/>
    </row>
    <row r="188" spans="1:10" ht="15.75" thickBot="1">
      <c r="A188" s="88"/>
      <c r="B188" s="123" t="s">
        <v>405</v>
      </c>
      <c r="C188" s="134"/>
      <c r="D188" s="123"/>
      <c r="E188" s="24">
        <f>SUM(E180:E187)</f>
        <v>0</v>
      </c>
      <c r="F188" s="25">
        <f>SUM(F180:F187)</f>
        <v>0</v>
      </c>
      <c r="G188" s="182">
        <f>SUM(G180:G187)</f>
        <v>0</v>
      </c>
      <c r="H188" s="140"/>
      <c r="I188" s="72"/>
      <c r="J188" s="269"/>
    </row>
    <row r="189" spans="1:10">
      <c r="A189" s="407" t="s">
        <v>258</v>
      </c>
      <c r="B189" s="408"/>
      <c r="C189" s="408"/>
      <c r="D189" s="408"/>
      <c r="E189" s="408"/>
      <c r="F189" s="408"/>
      <c r="G189" s="408"/>
      <c r="H189" s="408"/>
      <c r="I189" s="408"/>
      <c r="J189" s="181"/>
    </row>
    <row r="190" spans="1:10">
      <c r="A190" s="411" t="s">
        <v>259</v>
      </c>
      <c r="B190" s="412"/>
      <c r="C190" s="412"/>
      <c r="D190" s="412"/>
      <c r="E190" s="412"/>
      <c r="F190" s="412"/>
      <c r="G190" s="412"/>
      <c r="H190" s="412"/>
      <c r="I190" s="412"/>
      <c r="J190" s="176"/>
    </row>
    <row r="191" spans="1:10">
      <c r="A191" s="418"/>
      <c r="B191" s="419"/>
      <c r="C191" s="419"/>
      <c r="D191" s="419"/>
      <c r="E191" s="419"/>
      <c r="F191" s="419"/>
      <c r="G191" s="419"/>
      <c r="H191" s="419"/>
      <c r="I191" s="419"/>
      <c r="J191" s="184"/>
    </row>
    <row r="192" spans="1:10" ht="15.75" thickBot="1">
      <c r="A192" s="413" t="s">
        <v>260</v>
      </c>
      <c r="B192" s="414"/>
      <c r="C192" s="414"/>
      <c r="D192" s="414"/>
      <c r="E192" s="414"/>
      <c r="F192" s="414"/>
      <c r="G192" s="414"/>
      <c r="H192" s="414"/>
      <c r="I192" s="414"/>
      <c r="J192" s="176"/>
    </row>
    <row r="193" spans="1:11" ht="45.75" thickBot="1">
      <c r="A193" s="86" t="s">
        <v>3</v>
      </c>
      <c r="B193" s="2" t="s">
        <v>4</v>
      </c>
      <c r="C193" s="2" t="s">
        <v>5</v>
      </c>
      <c r="D193" s="21" t="s">
        <v>6</v>
      </c>
      <c r="E193" s="96" t="s">
        <v>504</v>
      </c>
      <c r="F193" s="1" t="s">
        <v>505</v>
      </c>
      <c r="G193" s="95" t="s">
        <v>507</v>
      </c>
      <c r="H193" s="317" t="s">
        <v>7</v>
      </c>
      <c r="I193" s="310" t="s">
        <v>8</v>
      </c>
      <c r="J193" s="263"/>
    </row>
    <row r="194" spans="1:11" ht="122.25" customHeight="1" thickBot="1">
      <c r="A194" s="89">
        <v>60</v>
      </c>
      <c r="B194" s="103" t="s">
        <v>261</v>
      </c>
      <c r="C194" s="103" t="s">
        <v>139</v>
      </c>
      <c r="D194" s="295" t="s">
        <v>262</v>
      </c>
      <c r="E194" s="233">
        <v>0</v>
      </c>
      <c r="F194" s="234">
        <v>0</v>
      </c>
      <c r="G194" s="250">
        <f>F194</f>
        <v>0</v>
      </c>
      <c r="H194" s="295" t="s">
        <v>69</v>
      </c>
      <c r="I194" s="295" t="s">
        <v>567</v>
      </c>
      <c r="J194" s="66"/>
    </row>
    <row r="195" spans="1:11" ht="108" customHeight="1" thickBot="1">
      <c r="A195" s="89">
        <v>61</v>
      </c>
      <c r="B195" s="103" t="s">
        <v>263</v>
      </c>
      <c r="C195" s="103" t="s">
        <v>264</v>
      </c>
      <c r="D195" s="295" t="s">
        <v>265</v>
      </c>
      <c r="E195" s="233">
        <v>0</v>
      </c>
      <c r="F195" s="234">
        <v>0</v>
      </c>
      <c r="G195" s="250">
        <f>F195</f>
        <v>0</v>
      </c>
      <c r="H195" s="295" t="s">
        <v>69</v>
      </c>
      <c r="I195" s="295" t="s">
        <v>556</v>
      </c>
      <c r="J195" s="66"/>
    </row>
    <row r="196" spans="1:11" ht="123" customHeight="1" thickBot="1">
      <c r="A196" s="89">
        <v>62</v>
      </c>
      <c r="B196" s="103" t="s">
        <v>266</v>
      </c>
      <c r="C196" s="103" t="s">
        <v>450</v>
      </c>
      <c r="D196" s="295" t="s">
        <v>267</v>
      </c>
      <c r="E196" s="233">
        <f>'Cost details'!G34/1000</f>
        <v>29529.599999999999</v>
      </c>
      <c r="F196" s="234">
        <f>E196</f>
        <v>29529.599999999999</v>
      </c>
      <c r="G196" s="250">
        <f>F196</f>
        <v>29529.599999999999</v>
      </c>
      <c r="H196" s="300"/>
      <c r="I196" s="295" t="s">
        <v>556</v>
      </c>
      <c r="J196" s="66"/>
      <c r="K196" s="93" t="s">
        <v>535</v>
      </c>
    </row>
    <row r="197" spans="1:11" ht="45.75" thickBot="1">
      <c r="A197" s="158">
        <v>63</v>
      </c>
      <c r="B197" s="159" t="s">
        <v>473</v>
      </c>
      <c r="C197" s="159" t="s">
        <v>474</v>
      </c>
      <c r="D197" s="118" t="s">
        <v>475</v>
      </c>
      <c r="E197" s="127">
        <f>'Cost details'!G35/1000</f>
        <v>0</v>
      </c>
      <c r="F197" s="128">
        <f>E197</f>
        <v>0</v>
      </c>
      <c r="G197" s="58"/>
      <c r="H197" s="300" t="s">
        <v>476</v>
      </c>
      <c r="I197" s="295" t="s">
        <v>558</v>
      </c>
      <c r="J197" s="66"/>
    </row>
    <row r="198" spans="1:11" ht="135.75" thickBot="1">
      <c r="A198" s="302">
        <v>64</v>
      </c>
      <c r="B198" s="303" t="s">
        <v>578</v>
      </c>
      <c r="C198" s="303" t="s">
        <v>579</v>
      </c>
      <c r="D198" s="118" t="s">
        <v>580</v>
      </c>
      <c r="E198" s="127">
        <f>'Cost details'!G36/1000</f>
        <v>0</v>
      </c>
      <c r="F198" s="128">
        <f>E198</f>
        <v>0</v>
      </c>
      <c r="G198" s="489">
        <v>0</v>
      </c>
      <c r="H198" s="304" t="s">
        <v>35</v>
      </c>
      <c r="I198" s="303" t="s">
        <v>558</v>
      </c>
      <c r="J198" s="66"/>
    </row>
    <row r="199" spans="1:11" ht="22.5" customHeight="1" thickBot="1">
      <c r="A199" s="88"/>
      <c r="B199" s="140" t="s">
        <v>406</v>
      </c>
      <c r="C199" s="140"/>
      <c r="D199" s="140"/>
      <c r="E199" s="127">
        <f>SUM(E194:E197)</f>
        <v>29529.599999999999</v>
      </c>
      <c r="F199" s="127">
        <f>SUM(F194:F197)</f>
        <v>29529.599999999999</v>
      </c>
      <c r="G199" s="127">
        <f>SUM(G194:G198)</f>
        <v>29529.599999999999</v>
      </c>
      <c r="H199" s="314"/>
      <c r="I199" s="146"/>
      <c r="J199" s="66"/>
    </row>
    <row r="200" spans="1:11">
      <c r="A200" s="407" t="s">
        <v>268</v>
      </c>
      <c r="B200" s="408"/>
      <c r="C200" s="408"/>
      <c r="D200" s="408"/>
      <c r="E200" s="408"/>
      <c r="F200" s="408"/>
      <c r="G200" s="408"/>
      <c r="H200" s="408"/>
      <c r="I200" s="408"/>
      <c r="J200" s="181"/>
    </row>
    <row r="201" spans="1:11">
      <c r="A201" s="411" t="s">
        <v>269</v>
      </c>
      <c r="B201" s="412"/>
      <c r="C201" s="412"/>
      <c r="D201" s="412"/>
      <c r="E201" s="412"/>
      <c r="F201" s="412"/>
      <c r="G201" s="412"/>
      <c r="H201" s="412"/>
      <c r="I201" s="412"/>
      <c r="J201" s="176"/>
    </row>
    <row r="202" spans="1:11" ht="15.75" thickBot="1">
      <c r="A202" s="413" t="s">
        <v>270</v>
      </c>
      <c r="B202" s="414"/>
      <c r="C202" s="414"/>
      <c r="D202" s="414"/>
      <c r="E202" s="414"/>
      <c r="F202" s="414"/>
      <c r="G202" s="414"/>
      <c r="H202" s="414"/>
      <c r="I202" s="414"/>
      <c r="J202" s="176"/>
    </row>
    <row r="203" spans="1:11" ht="15.75" thickBot="1">
      <c r="A203" s="86" t="s">
        <v>3</v>
      </c>
      <c r="B203" s="22" t="s">
        <v>4</v>
      </c>
      <c r="C203" s="22" t="s">
        <v>5</v>
      </c>
      <c r="D203" s="21" t="s">
        <v>6</v>
      </c>
      <c r="E203" s="111"/>
      <c r="F203" s="22"/>
      <c r="G203" s="22"/>
      <c r="H203" s="309" t="s">
        <v>7</v>
      </c>
      <c r="I203" s="310" t="s">
        <v>8</v>
      </c>
      <c r="J203" s="263"/>
    </row>
    <row r="204" spans="1:11" ht="67.5">
      <c r="A204" s="389">
        <v>65</v>
      </c>
      <c r="B204" s="386" t="s">
        <v>271</v>
      </c>
      <c r="C204" s="99" t="s">
        <v>272</v>
      </c>
      <c r="D204" s="393" t="s">
        <v>451</v>
      </c>
      <c r="E204" s="141">
        <f>'Cost details'!C11</f>
        <v>9800</v>
      </c>
      <c r="F204" s="58">
        <f>'Cost details'!D11</f>
        <v>14700</v>
      </c>
      <c r="G204" s="58">
        <f>'Cost details'!E11</f>
        <v>12250</v>
      </c>
      <c r="H204" s="416" t="s">
        <v>35</v>
      </c>
      <c r="I204" s="351" t="s">
        <v>567</v>
      </c>
      <c r="J204" s="67"/>
      <c r="K204" s="93" t="s">
        <v>539</v>
      </c>
    </row>
    <row r="205" spans="1:11" ht="79.5" thickBot="1">
      <c r="A205" s="415"/>
      <c r="B205" s="387"/>
      <c r="C205" s="99" t="s">
        <v>273</v>
      </c>
      <c r="D205" s="404"/>
      <c r="E205" s="142"/>
      <c r="F205" s="62"/>
      <c r="G205" s="62"/>
      <c r="H205" s="417"/>
      <c r="I205" s="353"/>
      <c r="J205" s="67"/>
    </row>
    <row r="206" spans="1:11" ht="22.5" customHeight="1" thickBot="1">
      <c r="A206" s="88"/>
      <c r="B206" s="123" t="s">
        <v>407</v>
      </c>
      <c r="C206" s="134"/>
      <c r="D206" s="123"/>
      <c r="E206" s="143">
        <f>SUM(E204:E205)</f>
        <v>9800</v>
      </c>
      <c r="F206" s="127">
        <f>SUM(F204:F205)</f>
        <v>14700</v>
      </c>
      <c r="G206" s="128">
        <f>SUM(G204:G205)</f>
        <v>12250</v>
      </c>
      <c r="H206" s="140"/>
      <c r="I206" s="146"/>
      <c r="J206" s="66"/>
    </row>
    <row r="207" spans="1:11">
      <c r="A207" s="407" t="s">
        <v>274</v>
      </c>
      <c r="B207" s="408"/>
      <c r="C207" s="408"/>
      <c r="D207" s="408"/>
      <c r="E207" s="408"/>
      <c r="F207" s="408"/>
      <c r="G207" s="408"/>
      <c r="H207" s="408"/>
      <c r="I207" s="408"/>
      <c r="J207" s="181"/>
    </row>
    <row r="208" spans="1:11">
      <c r="A208" s="409"/>
      <c r="B208" s="410"/>
      <c r="C208" s="410"/>
      <c r="D208" s="410"/>
      <c r="E208" s="410"/>
      <c r="F208" s="410"/>
      <c r="G208" s="410"/>
      <c r="H208" s="410"/>
      <c r="I208" s="410"/>
      <c r="J208" s="192"/>
    </row>
    <row r="209" spans="1:11">
      <c r="A209" s="411" t="s">
        <v>275</v>
      </c>
      <c r="B209" s="412"/>
      <c r="C209" s="412"/>
      <c r="D209" s="412"/>
      <c r="E209" s="412"/>
      <c r="F209" s="412"/>
      <c r="G209" s="412"/>
      <c r="H209" s="412"/>
      <c r="I209" s="412"/>
      <c r="J209" s="176"/>
    </row>
    <row r="210" spans="1:11" ht="15.75" thickBot="1">
      <c r="A210" s="413" t="s">
        <v>276</v>
      </c>
      <c r="B210" s="414"/>
      <c r="C210" s="414"/>
      <c r="D210" s="414"/>
      <c r="E210" s="414"/>
      <c r="F210" s="414"/>
      <c r="G210" s="414"/>
      <c r="H210" s="414"/>
      <c r="I210" s="414"/>
      <c r="J210" s="176"/>
    </row>
    <row r="211" spans="1:11" ht="45.75" thickBot="1">
      <c r="A211" s="86" t="s">
        <v>3</v>
      </c>
      <c r="B211" s="22" t="s">
        <v>4</v>
      </c>
      <c r="C211" s="22" t="s">
        <v>5</v>
      </c>
      <c r="D211" s="21" t="s">
        <v>6</v>
      </c>
      <c r="E211" s="96" t="s">
        <v>504</v>
      </c>
      <c r="F211" s="1" t="s">
        <v>505</v>
      </c>
      <c r="G211" s="95" t="s">
        <v>507</v>
      </c>
      <c r="H211" s="309" t="s">
        <v>7</v>
      </c>
      <c r="I211" s="310" t="s">
        <v>8</v>
      </c>
      <c r="J211" s="263"/>
    </row>
    <row r="212" spans="1:11" ht="45" customHeight="1">
      <c r="A212" s="389">
        <v>66</v>
      </c>
      <c r="B212" s="386" t="s">
        <v>277</v>
      </c>
      <c r="C212" s="99" t="s">
        <v>521</v>
      </c>
      <c r="D212" s="393" t="s">
        <v>278</v>
      </c>
      <c r="E212" s="378">
        <f>'Cost details'!C6/2</f>
        <v>6125</v>
      </c>
      <c r="F212" s="378">
        <f>'Cost details'!D6/2</f>
        <v>12250</v>
      </c>
      <c r="G212" s="378">
        <f>'Cost details'!E6/2</f>
        <v>9187.5</v>
      </c>
      <c r="H212" s="405" t="s">
        <v>35</v>
      </c>
      <c r="I212" s="354" t="s">
        <v>556</v>
      </c>
      <c r="J212" s="268"/>
      <c r="K212" s="93" t="s">
        <v>538</v>
      </c>
    </row>
    <row r="213" spans="1:11" ht="57" thickBot="1">
      <c r="A213" s="415"/>
      <c r="B213" s="387"/>
      <c r="C213" s="99" t="s">
        <v>522</v>
      </c>
      <c r="D213" s="404"/>
      <c r="E213" s="379"/>
      <c r="F213" s="380"/>
      <c r="G213" s="379"/>
      <c r="H213" s="406"/>
      <c r="I213" s="355"/>
      <c r="J213" s="268"/>
    </row>
    <row r="214" spans="1:11" ht="69" customHeight="1" thickBot="1">
      <c r="A214" s="359">
        <v>67</v>
      </c>
      <c r="B214" s="354" t="s">
        <v>477</v>
      </c>
      <c r="C214" s="172" t="s">
        <v>478</v>
      </c>
      <c r="D214" s="399" t="s">
        <v>479</v>
      </c>
      <c r="E214" s="241">
        <f>'Cost details'!C11</f>
        <v>9800</v>
      </c>
      <c r="F214" s="233">
        <f>'Cost details'!D11</f>
        <v>14700</v>
      </c>
      <c r="G214" s="241">
        <f>'Cost details'!E11</f>
        <v>12250</v>
      </c>
      <c r="H214" s="401" t="s">
        <v>60</v>
      </c>
      <c r="I214" s="402" t="s">
        <v>567</v>
      </c>
      <c r="J214" s="270"/>
      <c r="K214" s="93" t="s">
        <v>539</v>
      </c>
    </row>
    <row r="215" spans="1:11" ht="45.75" thickBot="1">
      <c r="A215" s="361"/>
      <c r="B215" s="355"/>
      <c r="C215" s="172" t="s">
        <v>480</v>
      </c>
      <c r="D215" s="400"/>
      <c r="E215" s="241">
        <v>0</v>
      </c>
      <c r="F215" s="233">
        <v>0</v>
      </c>
      <c r="G215" s="241">
        <f>F215</f>
        <v>0</v>
      </c>
      <c r="H215" s="358"/>
      <c r="I215" s="403"/>
      <c r="J215" s="270"/>
    </row>
    <row r="216" spans="1:11" ht="68.25" thickBot="1">
      <c r="A216" s="88">
        <v>68</v>
      </c>
      <c r="B216" s="173" t="s">
        <v>481</v>
      </c>
      <c r="C216" s="173" t="s">
        <v>570</v>
      </c>
      <c r="D216" s="215" t="s">
        <v>479</v>
      </c>
      <c r="E216" s="241">
        <v>0</v>
      </c>
      <c r="F216" s="233">
        <v>0</v>
      </c>
      <c r="G216" s="241">
        <f>F216</f>
        <v>0</v>
      </c>
      <c r="H216" s="239" t="s">
        <v>60</v>
      </c>
      <c r="I216" s="173" t="s">
        <v>567</v>
      </c>
      <c r="J216" s="209"/>
    </row>
    <row r="217" spans="1:11" ht="79.5" thickBot="1">
      <c r="A217" s="88">
        <v>69</v>
      </c>
      <c r="B217" s="175" t="s">
        <v>482</v>
      </c>
      <c r="C217" s="173" t="s">
        <v>483</v>
      </c>
      <c r="D217" s="215" t="s">
        <v>484</v>
      </c>
      <c r="E217" s="241">
        <v>0</v>
      </c>
      <c r="F217" s="233">
        <v>0</v>
      </c>
      <c r="G217" s="241">
        <f>F217</f>
        <v>0</v>
      </c>
      <c r="H217" s="175" t="s">
        <v>485</v>
      </c>
      <c r="I217" s="173" t="s">
        <v>567</v>
      </c>
      <c r="J217" s="209"/>
    </row>
    <row r="218" spans="1:11" ht="79.5" thickBot="1">
      <c r="A218" s="88">
        <v>70</v>
      </c>
      <c r="B218" s="173" t="s">
        <v>487</v>
      </c>
      <c r="C218" s="172" t="s">
        <v>488</v>
      </c>
      <c r="D218" s="215" t="s">
        <v>479</v>
      </c>
      <c r="E218" s="241">
        <v>0</v>
      </c>
      <c r="F218" s="233">
        <v>0</v>
      </c>
      <c r="G218" s="241">
        <f>F218</f>
        <v>0</v>
      </c>
      <c r="H218" s="239" t="s">
        <v>489</v>
      </c>
      <c r="I218" s="173" t="s">
        <v>567</v>
      </c>
      <c r="J218" s="209"/>
    </row>
    <row r="219" spans="1:11" ht="57" thickBot="1">
      <c r="A219" s="88">
        <v>71</v>
      </c>
      <c r="B219" s="173" t="s">
        <v>490</v>
      </c>
      <c r="C219" s="173" t="s">
        <v>491</v>
      </c>
      <c r="D219" s="215" t="s">
        <v>479</v>
      </c>
      <c r="E219" s="241">
        <v>0</v>
      </c>
      <c r="F219" s="233">
        <v>0</v>
      </c>
      <c r="G219" s="241">
        <f>F219</f>
        <v>0</v>
      </c>
      <c r="H219" s="175" t="s">
        <v>489</v>
      </c>
      <c r="I219" s="173" t="s">
        <v>567</v>
      </c>
      <c r="J219" s="209"/>
    </row>
    <row r="220" spans="1:11" ht="22.5" customHeight="1" thickBot="1">
      <c r="A220" s="88"/>
      <c r="B220" s="109" t="s">
        <v>581</v>
      </c>
      <c r="C220" s="123"/>
      <c r="D220" s="123"/>
      <c r="E220" s="240">
        <f>SUM(E212:E219)</f>
        <v>15925</v>
      </c>
      <c r="F220" s="240">
        <f>SUM(F212:F219)</f>
        <v>26950</v>
      </c>
      <c r="G220" s="240">
        <f>SUM(G212:G219)</f>
        <v>21437.5</v>
      </c>
      <c r="H220" s="140"/>
      <c r="I220" s="146"/>
      <c r="J220" s="66"/>
    </row>
    <row r="221" spans="1:11">
      <c r="A221" s="407" t="s">
        <v>279</v>
      </c>
      <c r="B221" s="408"/>
      <c r="C221" s="408"/>
      <c r="D221" s="408"/>
      <c r="E221" s="408"/>
      <c r="F221" s="408"/>
      <c r="G221" s="408"/>
      <c r="H221" s="408"/>
      <c r="I221" s="408"/>
      <c r="J221" s="181"/>
    </row>
    <row r="222" spans="1:11">
      <c r="A222" s="409"/>
      <c r="B222" s="410"/>
      <c r="C222" s="410"/>
      <c r="D222" s="410"/>
      <c r="E222" s="410"/>
      <c r="F222" s="410"/>
      <c r="G222" s="410"/>
      <c r="H222" s="410"/>
      <c r="I222" s="410"/>
      <c r="J222" s="192"/>
    </row>
    <row r="223" spans="1:11">
      <c r="A223" s="411" t="s">
        <v>408</v>
      </c>
      <c r="B223" s="412"/>
      <c r="C223" s="412"/>
      <c r="D223" s="412"/>
      <c r="E223" s="412"/>
      <c r="F223" s="412"/>
      <c r="G223" s="412"/>
      <c r="H223" s="412"/>
      <c r="I223" s="412"/>
      <c r="J223" s="176"/>
    </row>
    <row r="224" spans="1:11">
      <c r="A224" s="418"/>
      <c r="B224" s="419"/>
      <c r="C224" s="419"/>
      <c r="D224" s="419"/>
      <c r="E224" s="419"/>
      <c r="F224" s="419"/>
      <c r="G224" s="419"/>
      <c r="H224" s="419"/>
      <c r="I224" s="419"/>
      <c r="J224" s="184"/>
    </row>
    <row r="225" spans="1:11" ht="15.75" thickBot="1">
      <c r="A225" s="413" t="s">
        <v>280</v>
      </c>
      <c r="B225" s="414"/>
      <c r="C225" s="414"/>
      <c r="D225" s="414"/>
      <c r="E225" s="414"/>
      <c r="F225" s="414"/>
      <c r="G225" s="414"/>
      <c r="H225" s="414"/>
      <c r="I225" s="414"/>
      <c r="J225" s="176"/>
    </row>
    <row r="226" spans="1:11" ht="45.75" thickBot="1">
      <c r="A226" s="86" t="s">
        <v>3</v>
      </c>
      <c r="B226" s="22" t="s">
        <v>4</v>
      </c>
      <c r="C226" s="22" t="s">
        <v>5</v>
      </c>
      <c r="D226" s="21" t="s">
        <v>6</v>
      </c>
      <c r="E226" s="96" t="s">
        <v>504</v>
      </c>
      <c r="F226" s="1" t="s">
        <v>505</v>
      </c>
      <c r="G226" s="95" t="s">
        <v>507</v>
      </c>
      <c r="H226" s="309" t="s">
        <v>7</v>
      </c>
      <c r="I226" s="310" t="s">
        <v>8</v>
      </c>
      <c r="J226" s="263"/>
    </row>
    <row r="227" spans="1:11" ht="69" customHeight="1" thickBot="1">
      <c r="A227" s="89">
        <v>72</v>
      </c>
      <c r="B227" s="103"/>
      <c r="C227" s="103" t="s">
        <v>281</v>
      </c>
      <c r="D227" s="106" t="s">
        <v>452</v>
      </c>
      <c r="E227" s="241"/>
      <c r="F227" s="233"/>
      <c r="G227" s="241"/>
      <c r="H227" s="295" t="s">
        <v>13</v>
      </c>
      <c r="I227" s="295" t="s">
        <v>14</v>
      </c>
      <c r="J227" s="66"/>
    </row>
    <row r="228" spans="1:11" ht="68.25" thickBot="1">
      <c r="A228" s="158">
        <v>73</v>
      </c>
      <c r="B228" s="162" t="s">
        <v>282</v>
      </c>
      <c r="C228" s="159" t="s">
        <v>492</v>
      </c>
      <c r="D228" s="106" t="s">
        <v>493</v>
      </c>
      <c r="E228" s="241">
        <v>0</v>
      </c>
      <c r="F228" s="233">
        <v>0</v>
      </c>
      <c r="G228" s="241">
        <v>0</v>
      </c>
      <c r="H228" s="295" t="s">
        <v>60</v>
      </c>
      <c r="I228" s="173" t="s">
        <v>567</v>
      </c>
      <c r="J228" s="67"/>
    </row>
    <row r="229" spans="1:11" ht="34.5" thickBot="1">
      <c r="A229" s="88">
        <v>74</v>
      </c>
      <c r="B229" s="71" t="s">
        <v>283</v>
      </c>
      <c r="C229" s="25" t="s">
        <v>284</v>
      </c>
      <c r="D229" s="24" t="s">
        <v>285</v>
      </c>
      <c r="E229" s="241">
        <v>0</v>
      </c>
      <c r="F229" s="233">
        <v>0</v>
      </c>
      <c r="G229" s="241"/>
      <c r="H229" s="146" t="s">
        <v>286</v>
      </c>
      <c r="I229" s="173" t="s">
        <v>571</v>
      </c>
      <c r="J229" s="66"/>
    </row>
    <row r="230" spans="1:11" ht="57" thickBot="1">
      <c r="A230" s="89">
        <v>75</v>
      </c>
      <c r="B230" s="10" t="s">
        <v>287</v>
      </c>
      <c r="C230" s="8" t="s">
        <v>537</v>
      </c>
      <c r="D230" s="6" t="s">
        <v>288</v>
      </c>
      <c r="E230" s="241">
        <v>10000</v>
      </c>
      <c r="F230" s="233">
        <f>E230</f>
        <v>10000</v>
      </c>
      <c r="G230" s="241">
        <f>F230</f>
        <v>10000</v>
      </c>
      <c r="H230" s="295" t="s">
        <v>60</v>
      </c>
      <c r="I230" s="173" t="s">
        <v>571</v>
      </c>
      <c r="J230" s="66"/>
      <c r="K230" s="93" t="s">
        <v>542</v>
      </c>
    </row>
    <row r="231" spans="1:11" ht="34.5" customHeight="1" thickBot="1">
      <c r="A231" s="135"/>
      <c r="B231" s="349" t="s">
        <v>502</v>
      </c>
      <c r="C231" s="350"/>
      <c r="D231" s="123"/>
      <c r="E231" s="241">
        <f>SUM(E227:E230)</f>
        <v>10000</v>
      </c>
      <c r="F231" s="233">
        <f>SUM(F227:F230)</f>
        <v>10000</v>
      </c>
      <c r="G231" s="233">
        <f>SUM(G227:G230)</f>
        <v>10000</v>
      </c>
      <c r="H231" s="101"/>
      <c r="I231" s="146"/>
      <c r="J231" s="66"/>
    </row>
    <row r="232" spans="1:11">
      <c r="A232" s="407" t="s">
        <v>289</v>
      </c>
      <c r="B232" s="408"/>
      <c r="C232" s="408"/>
      <c r="D232" s="408"/>
      <c r="E232" s="408"/>
      <c r="F232" s="408"/>
      <c r="G232" s="408"/>
      <c r="H232" s="408"/>
      <c r="I232" s="408"/>
      <c r="J232" s="181"/>
    </row>
    <row r="233" spans="1:11">
      <c r="A233" s="395"/>
      <c r="B233" s="396"/>
      <c r="C233" s="396"/>
      <c r="D233" s="396"/>
      <c r="E233" s="396"/>
      <c r="F233" s="396"/>
      <c r="G233" s="396"/>
      <c r="H233" s="396"/>
      <c r="I233" s="396"/>
      <c r="J233" s="177"/>
    </row>
    <row r="234" spans="1:11">
      <c r="A234" s="411" t="s">
        <v>290</v>
      </c>
      <c r="B234" s="412"/>
      <c r="C234" s="412"/>
      <c r="D234" s="412"/>
      <c r="E234" s="412"/>
      <c r="F234" s="412"/>
      <c r="G234" s="412"/>
      <c r="H234" s="412"/>
      <c r="I234" s="412"/>
      <c r="J234" s="176"/>
    </row>
    <row r="235" spans="1:11">
      <c r="A235" s="418"/>
      <c r="B235" s="419"/>
      <c r="C235" s="419"/>
      <c r="D235" s="419"/>
      <c r="E235" s="419"/>
      <c r="F235" s="419"/>
      <c r="G235" s="419"/>
      <c r="H235" s="419"/>
      <c r="I235" s="419"/>
      <c r="J235" s="184"/>
    </row>
    <row r="236" spans="1:11">
      <c r="A236" s="411" t="s">
        <v>291</v>
      </c>
      <c r="B236" s="412"/>
      <c r="C236" s="412"/>
      <c r="D236" s="412"/>
      <c r="E236" s="412"/>
      <c r="F236" s="412"/>
      <c r="G236" s="412"/>
      <c r="H236" s="412"/>
      <c r="I236" s="412"/>
      <c r="J236" s="176"/>
    </row>
    <row r="237" spans="1:11" ht="15.75" thickBot="1">
      <c r="A237" s="420"/>
      <c r="B237" s="421"/>
      <c r="C237" s="421"/>
      <c r="D237" s="421"/>
      <c r="E237" s="421"/>
      <c r="F237" s="421"/>
      <c r="G237" s="421"/>
      <c r="H237" s="421"/>
      <c r="I237" s="421"/>
      <c r="J237" s="184"/>
    </row>
    <row r="238" spans="1:11" ht="45.75" thickBot="1">
      <c r="A238" s="86" t="s">
        <v>3</v>
      </c>
      <c r="B238" s="2" t="s">
        <v>4</v>
      </c>
      <c r="C238" s="2" t="s">
        <v>5</v>
      </c>
      <c r="D238" s="111" t="s">
        <v>6</v>
      </c>
      <c r="E238" s="96" t="s">
        <v>504</v>
      </c>
      <c r="F238" s="1" t="s">
        <v>505</v>
      </c>
      <c r="G238" s="95" t="s">
        <v>507</v>
      </c>
      <c r="H238" s="317" t="s">
        <v>7</v>
      </c>
      <c r="I238" s="310" t="s">
        <v>8</v>
      </c>
      <c r="J238" s="263"/>
    </row>
    <row r="239" spans="1:11" ht="79.5" thickBot="1">
      <c r="A239" s="389">
        <v>76</v>
      </c>
      <c r="B239" s="386" t="s">
        <v>292</v>
      </c>
      <c r="C239" s="103" t="s">
        <v>293</v>
      </c>
      <c r="D239" s="386" t="s">
        <v>295</v>
      </c>
      <c r="E239" s="241">
        <f>'Cost details'!C11</f>
        <v>9800</v>
      </c>
      <c r="F239" s="233">
        <f>'Cost details'!D11</f>
        <v>14700</v>
      </c>
      <c r="G239" s="242">
        <f>'Cost details'!E11</f>
        <v>12250</v>
      </c>
      <c r="H239" s="405"/>
      <c r="I239" s="351" t="s">
        <v>559</v>
      </c>
      <c r="J239" s="67"/>
      <c r="K239" s="93" t="s">
        <v>539</v>
      </c>
    </row>
    <row r="240" spans="1:11" ht="45.75" thickBot="1">
      <c r="A240" s="415"/>
      <c r="B240" s="387"/>
      <c r="C240" s="118" t="s">
        <v>294</v>
      </c>
      <c r="D240" s="387"/>
      <c r="E240" s="241">
        <v>0</v>
      </c>
      <c r="F240" s="233">
        <v>0</v>
      </c>
      <c r="G240" s="242">
        <v>0</v>
      </c>
      <c r="H240" s="406"/>
      <c r="I240" s="352"/>
      <c r="J240" s="67"/>
    </row>
    <row r="241" spans="1:11" ht="102" thickBot="1">
      <c r="A241" s="389">
        <v>77</v>
      </c>
      <c r="B241" s="386" t="s">
        <v>296</v>
      </c>
      <c r="C241" s="99" t="s">
        <v>297</v>
      </c>
      <c r="D241" s="386" t="s">
        <v>300</v>
      </c>
      <c r="E241" s="241">
        <f>'Cost details'!C11</f>
        <v>9800</v>
      </c>
      <c r="F241" s="233">
        <f>'Cost details'!D11</f>
        <v>14700</v>
      </c>
      <c r="G241" s="242">
        <f>'Cost details'!E11</f>
        <v>12250</v>
      </c>
      <c r="H241" s="386" t="s">
        <v>238</v>
      </c>
      <c r="I241" s="351" t="s">
        <v>559</v>
      </c>
      <c r="J241" s="67"/>
      <c r="K241" s="93" t="s">
        <v>539</v>
      </c>
    </row>
    <row r="242" spans="1:11" ht="57" thickBot="1">
      <c r="A242" s="415"/>
      <c r="B242" s="387"/>
      <c r="C242" s="118" t="s">
        <v>298</v>
      </c>
      <c r="D242" s="387"/>
      <c r="E242" s="241">
        <v>0</v>
      </c>
      <c r="F242" s="233">
        <v>0</v>
      </c>
      <c r="G242" s="242">
        <v>0</v>
      </c>
      <c r="H242" s="387"/>
      <c r="I242" s="352"/>
      <c r="J242" s="67"/>
    </row>
    <row r="243" spans="1:11" ht="23.25" thickBot="1">
      <c r="A243" s="415"/>
      <c r="B243" s="387"/>
      <c r="C243" s="99" t="s">
        <v>299</v>
      </c>
      <c r="D243" s="387"/>
      <c r="E243" s="338">
        <v>0</v>
      </c>
      <c r="F243" s="230">
        <v>0</v>
      </c>
      <c r="G243" s="339">
        <v>0</v>
      </c>
      <c r="H243" s="387"/>
      <c r="I243" s="352"/>
      <c r="J243" s="67"/>
    </row>
    <row r="244" spans="1:11" ht="34.5" thickBot="1">
      <c r="A244" s="359">
        <v>78</v>
      </c>
      <c r="B244" s="351" t="s">
        <v>572</v>
      </c>
      <c r="C244" s="146" t="s">
        <v>573</v>
      </c>
      <c r="D244" s="354" t="s">
        <v>576</v>
      </c>
      <c r="E244" s="241"/>
      <c r="F244" s="233"/>
      <c r="G244" s="242">
        <f>'Cost details'!E11</f>
        <v>12250</v>
      </c>
      <c r="H244" s="357" t="s">
        <v>79</v>
      </c>
      <c r="I244" s="351" t="s">
        <v>559</v>
      </c>
      <c r="J244" s="67"/>
      <c r="K244" s="93" t="s">
        <v>539</v>
      </c>
    </row>
    <row r="245" spans="1:11" ht="45.75" thickBot="1">
      <c r="A245" s="360"/>
      <c r="B245" s="352"/>
      <c r="C245" s="298" t="s">
        <v>574</v>
      </c>
      <c r="D245" s="355"/>
      <c r="E245" s="338"/>
      <c r="F245" s="230"/>
      <c r="G245" s="339">
        <v>0</v>
      </c>
      <c r="H245" s="357"/>
      <c r="I245" s="352"/>
      <c r="J245" s="67"/>
    </row>
    <row r="246" spans="1:11" ht="23.25" thickBot="1">
      <c r="A246" s="361"/>
      <c r="B246" s="353"/>
      <c r="C246" s="298" t="s">
        <v>575</v>
      </c>
      <c r="D246" s="356"/>
      <c r="E246" s="338"/>
      <c r="F246" s="230"/>
      <c r="G246" s="339">
        <v>0</v>
      </c>
      <c r="H246" s="358"/>
      <c r="I246" s="352"/>
      <c r="J246" s="67"/>
    </row>
    <row r="247" spans="1:11" ht="40.5" customHeight="1">
      <c r="A247" s="389">
        <v>79</v>
      </c>
      <c r="B247" s="386" t="s">
        <v>301</v>
      </c>
      <c r="C247" s="103" t="s">
        <v>302</v>
      </c>
      <c r="D247" s="386" t="s">
        <v>295</v>
      </c>
      <c r="E247" s="362">
        <f>'Cost details'!C6</f>
        <v>12250</v>
      </c>
      <c r="F247" s="362">
        <f>'Cost details'!D6</f>
        <v>24500</v>
      </c>
      <c r="G247" s="362">
        <f>'Cost details'!E6</f>
        <v>18375</v>
      </c>
      <c r="H247" s="386" t="s">
        <v>13</v>
      </c>
      <c r="I247" s="351" t="s">
        <v>556</v>
      </c>
      <c r="J247" s="67"/>
      <c r="K247" s="93" t="s">
        <v>538</v>
      </c>
    </row>
    <row r="248" spans="1:11" ht="56.25">
      <c r="A248" s="415"/>
      <c r="B248" s="387"/>
      <c r="C248" s="104" t="s">
        <v>303</v>
      </c>
      <c r="D248" s="387"/>
      <c r="E248" s="363"/>
      <c r="F248" s="363"/>
      <c r="G248" s="363"/>
      <c r="H248" s="387"/>
      <c r="I248" s="352"/>
      <c r="J248" s="67"/>
    </row>
    <row r="249" spans="1:11" ht="45">
      <c r="A249" s="415"/>
      <c r="B249" s="387"/>
      <c r="C249" s="104" t="s">
        <v>304</v>
      </c>
      <c r="D249" s="387"/>
      <c r="E249" s="363"/>
      <c r="F249" s="363"/>
      <c r="G249" s="363"/>
      <c r="H249" s="387"/>
      <c r="I249" s="352"/>
      <c r="J249" s="67"/>
    </row>
    <row r="250" spans="1:11" ht="34.5" thickBot="1">
      <c r="A250" s="415"/>
      <c r="B250" s="387"/>
      <c r="C250" s="160" t="s">
        <v>305</v>
      </c>
      <c r="D250" s="387"/>
      <c r="E250" s="364"/>
      <c r="F250" s="364"/>
      <c r="G250" s="364"/>
      <c r="H250" s="387"/>
      <c r="I250" s="352"/>
      <c r="J250" s="67"/>
    </row>
    <row r="251" spans="1:11" ht="56.25" customHeight="1" thickBot="1">
      <c r="A251" s="88">
        <v>80</v>
      </c>
      <c r="B251" s="118" t="s">
        <v>494</v>
      </c>
      <c r="C251" s="146" t="s">
        <v>495</v>
      </c>
      <c r="D251" s="118" t="s">
        <v>496</v>
      </c>
      <c r="E251" s="241">
        <v>0</v>
      </c>
      <c r="F251" s="233">
        <v>0</v>
      </c>
      <c r="G251" s="242">
        <v>0</v>
      </c>
      <c r="H251" s="118" t="s">
        <v>497</v>
      </c>
      <c r="I251" s="320" t="s">
        <v>559</v>
      </c>
      <c r="J251" s="67"/>
    </row>
    <row r="252" spans="1:11" ht="56.25" customHeight="1" thickBot="1">
      <c r="A252" s="415">
        <v>81</v>
      </c>
      <c r="B252" s="387" t="s">
        <v>306</v>
      </c>
      <c r="C252" s="99" t="s">
        <v>307</v>
      </c>
      <c r="D252" s="387" t="s">
        <v>295</v>
      </c>
      <c r="E252" s="241">
        <f>'Cost details'!C11</f>
        <v>9800</v>
      </c>
      <c r="F252" s="241">
        <f>'Cost details'!D11</f>
        <v>14700</v>
      </c>
      <c r="G252" s="241">
        <f>'Cost details'!E11</f>
        <v>12250</v>
      </c>
      <c r="H252" s="387" t="s">
        <v>233</v>
      </c>
      <c r="I252" s="352" t="s">
        <v>559</v>
      </c>
      <c r="J252" s="67"/>
      <c r="K252" s="93" t="s">
        <v>539</v>
      </c>
    </row>
    <row r="253" spans="1:11" ht="45.75" thickBot="1">
      <c r="A253" s="415"/>
      <c r="B253" s="387"/>
      <c r="C253" s="99" t="s">
        <v>308</v>
      </c>
      <c r="D253" s="387"/>
      <c r="E253" s="241">
        <v>0</v>
      </c>
      <c r="F253" s="233">
        <v>0</v>
      </c>
      <c r="G253" s="242">
        <v>0</v>
      </c>
      <c r="H253" s="387"/>
      <c r="I253" s="352"/>
      <c r="J253" s="67"/>
    </row>
    <row r="254" spans="1:11" ht="57" thickBot="1">
      <c r="A254" s="415"/>
      <c r="B254" s="387"/>
      <c r="C254" s="99" t="s">
        <v>309</v>
      </c>
      <c r="D254" s="387"/>
      <c r="E254" s="241">
        <v>0</v>
      </c>
      <c r="F254" s="233">
        <v>0</v>
      </c>
      <c r="G254" s="242">
        <v>0</v>
      </c>
      <c r="H254" s="387"/>
      <c r="I254" s="353"/>
      <c r="J254" s="67"/>
    </row>
    <row r="255" spans="1:11" ht="147" thickBot="1">
      <c r="A255" s="89">
        <v>82</v>
      </c>
      <c r="B255" s="340" t="s">
        <v>498</v>
      </c>
      <c r="C255" s="174" t="s">
        <v>499</v>
      </c>
      <c r="D255" s="215" t="s">
        <v>500</v>
      </c>
      <c r="E255" s="241">
        <f>'Cost details'!C11</f>
        <v>9800</v>
      </c>
      <c r="F255" s="233">
        <f>'Cost details'!D11</f>
        <v>14700</v>
      </c>
      <c r="G255" s="233">
        <f>'Cost details'!E11</f>
        <v>12250</v>
      </c>
      <c r="H255" s="173" t="s">
        <v>286</v>
      </c>
      <c r="I255" s="118" t="s">
        <v>559</v>
      </c>
      <c r="J255" s="66"/>
      <c r="K255" s="93" t="s">
        <v>539</v>
      </c>
    </row>
    <row r="256" spans="1:11" ht="79.5" thickBot="1">
      <c r="A256" s="389">
        <v>83</v>
      </c>
      <c r="B256" s="386" t="s">
        <v>310</v>
      </c>
      <c r="C256" s="107" t="s">
        <v>311</v>
      </c>
      <c r="D256" s="393" t="s">
        <v>314</v>
      </c>
      <c r="E256" s="241">
        <f>'Cost details'!C11</f>
        <v>9800</v>
      </c>
      <c r="F256" s="241">
        <f>'Cost details'!D11</f>
        <v>14700</v>
      </c>
      <c r="G256" s="241">
        <f>'Cost details'!E11</f>
        <v>12250</v>
      </c>
      <c r="H256" s="386" t="s">
        <v>13</v>
      </c>
      <c r="I256" s="351" t="s">
        <v>486</v>
      </c>
      <c r="J256" s="67"/>
      <c r="K256" s="93" t="s">
        <v>539</v>
      </c>
    </row>
    <row r="257" spans="1:32" ht="34.5" thickBot="1">
      <c r="A257" s="415"/>
      <c r="B257" s="387"/>
      <c r="C257" s="99" t="s">
        <v>312</v>
      </c>
      <c r="D257" s="404"/>
      <c r="E257" s="241">
        <v>0</v>
      </c>
      <c r="F257" s="233">
        <v>0</v>
      </c>
      <c r="G257" s="241">
        <v>0</v>
      </c>
      <c r="H257" s="387"/>
      <c r="I257" s="352"/>
      <c r="J257" s="67"/>
    </row>
    <row r="258" spans="1:32" ht="45.75" thickBot="1">
      <c r="A258" s="415"/>
      <c r="B258" s="388"/>
      <c r="C258" s="100" t="s">
        <v>313</v>
      </c>
      <c r="D258" s="394"/>
      <c r="E258" s="241">
        <v>0</v>
      </c>
      <c r="F258" s="233">
        <v>0</v>
      </c>
      <c r="G258" s="241">
        <v>0</v>
      </c>
      <c r="H258" s="388"/>
      <c r="I258" s="353"/>
      <c r="J258" s="67"/>
    </row>
    <row r="259" spans="1:32" ht="15.75" thickBot="1">
      <c r="A259" s="98"/>
      <c r="B259" s="112" t="s">
        <v>409</v>
      </c>
      <c r="C259" s="139"/>
      <c r="D259" s="112"/>
      <c r="E259" s="108">
        <f>SUM(E239:E258)</f>
        <v>61250</v>
      </c>
      <c r="F259" s="108">
        <f>SUM(F239:F258)</f>
        <v>98000</v>
      </c>
      <c r="G259" s="108">
        <f>SUM(G239:G258)</f>
        <v>91875</v>
      </c>
      <c r="H259" s="321"/>
      <c r="I259" s="14"/>
      <c r="J259" s="269"/>
    </row>
    <row r="260" spans="1:32">
      <c r="A260" s="407" t="s">
        <v>315</v>
      </c>
      <c r="B260" s="408"/>
      <c r="C260" s="408"/>
      <c r="D260" s="408"/>
      <c r="E260" s="408"/>
      <c r="F260" s="408"/>
      <c r="G260" s="408"/>
      <c r="H260" s="408"/>
      <c r="I260" s="408"/>
      <c r="J260" s="181"/>
    </row>
    <row r="261" spans="1:32">
      <c r="A261" s="395"/>
      <c r="B261" s="396"/>
      <c r="C261" s="396"/>
      <c r="D261" s="396"/>
      <c r="E261" s="396"/>
      <c r="F261" s="396"/>
      <c r="G261" s="396"/>
      <c r="H261" s="396"/>
      <c r="I261" s="396"/>
      <c r="J261" s="177"/>
    </row>
    <row r="262" spans="1:32">
      <c r="A262" s="411" t="s">
        <v>316</v>
      </c>
      <c r="B262" s="412"/>
      <c r="C262" s="412"/>
      <c r="D262" s="412"/>
      <c r="E262" s="412"/>
      <c r="F262" s="412"/>
      <c r="G262" s="412"/>
      <c r="H262" s="412"/>
      <c r="I262" s="412"/>
      <c r="J262" s="176"/>
    </row>
    <row r="263" spans="1:32">
      <c r="A263" s="418"/>
      <c r="B263" s="419"/>
      <c r="C263" s="419"/>
      <c r="D263" s="419"/>
      <c r="E263" s="419"/>
      <c r="F263" s="419"/>
      <c r="G263" s="419"/>
      <c r="H263" s="419"/>
      <c r="I263" s="419"/>
      <c r="J263" s="184"/>
    </row>
    <row r="264" spans="1:32">
      <c r="A264" s="411" t="s">
        <v>317</v>
      </c>
      <c r="B264" s="412"/>
      <c r="C264" s="412"/>
      <c r="D264" s="412"/>
      <c r="E264" s="412"/>
      <c r="F264" s="412"/>
      <c r="G264" s="412"/>
      <c r="H264" s="412"/>
      <c r="I264" s="412"/>
      <c r="J264" s="176"/>
    </row>
    <row r="265" spans="1:32" ht="15.75" thickBot="1">
      <c r="A265" s="433"/>
      <c r="B265" s="434"/>
      <c r="C265" s="434"/>
      <c r="D265" s="434"/>
      <c r="E265" s="434"/>
      <c r="F265" s="434"/>
      <c r="G265" s="434"/>
      <c r="H265" s="434"/>
      <c r="I265" s="434"/>
      <c r="J265" s="192"/>
    </row>
    <row r="266" spans="1:32" ht="34.5" customHeight="1" thickBot="1">
      <c r="A266" s="91" t="s">
        <v>3</v>
      </c>
      <c r="B266" s="15"/>
      <c r="C266" s="2" t="s">
        <v>5</v>
      </c>
      <c r="D266" s="111" t="s">
        <v>6</v>
      </c>
      <c r="E266" s="96" t="s">
        <v>504</v>
      </c>
      <c r="F266" s="1" t="s">
        <v>505</v>
      </c>
      <c r="G266" s="95" t="s">
        <v>507</v>
      </c>
      <c r="H266" s="435" t="s">
        <v>7</v>
      </c>
      <c r="I266" s="436"/>
      <c r="J266" s="271"/>
    </row>
    <row r="267" spans="1:32" ht="37.5" customHeight="1" thickBot="1">
      <c r="A267" s="428">
        <v>84</v>
      </c>
      <c r="B267" s="416" t="s">
        <v>318</v>
      </c>
      <c r="C267" s="103" t="s">
        <v>319</v>
      </c>
      <c r="D267" s="430" t="s">
        <v>454</v>
      </c>
      <c r="E267" s="243">
        <f>'Cost details'!C6</f>
        <v>12250</v>
      </c>
      <c r="F267" s="243">
        <f>'Cost details'!D6</f>
        <v>24500</v>
      </c>
      <c r="G267" s="243">
        <f>'Cost details'!E6</f>
        <v>18375</v>
      </c>
      <c r="H267" s="351" t="s">
        <v>13</v>
      </c>
      <c r="I267" s="351" t="s">
        <v>556</v>
      </c>
      <c r="J267" s="262"/>
      <c r="K267" s="93" t="s">
        <v>538</v>
      </c>
    </row>
    <row r="268" spans="1:32" ht="50.25" customHeight="1" thickBot="1">
      <c r="A268" s="429"/>
      <c r="B268" s="417"/>
      <c r="C268" s="118" t="s">
        <v>320</v>
      </c>
      <c r="D268" s="431"/>
      <c r="E268" s="5"/>
      <c r="F268" s="5"/>
      <c r="G268" s="196"/>
      <c r="H268" s="352"/>
      <c r="I268" s="352"/>
      <c r="J268" s="262"/>
    </row>
    <row r="269" spans="1:32" ht="50.25" customHeight="1" thickBot="1">
      <c r="A269" s="429"/>
      <c r="B269" s="417"/>
      <c r="C269" s="105" t="s">
        <v>321</v>
      </c>
      <c r="D269" s="432"/>
      <c r="E269" s="5"/>
      <c r="F269" s="5"/>
      <c r="G269" s="196"/>
      <c r="H269" s="353"/>
      <c r="I269" s="353"/>
      <c r="J269" s="262"/>
    </row>
    <row r="270" spans="1:32" ht="139.5" customHeight="1" thickBot="1">
      <c r="A270" s="145">
        <v>85</v>
      </c>
      <c r="B270" s="7" t="s">
        <v>501</v>
      </c>
      <c r="C270" s="106" t="s">
        <v>322</v>
      </c>
      <c r="D270" s="244" t="s">
        <v>453</v>
      </c>
      <c r="E270" s="241">
        <v>0</v>
      </c>
      <c r="F270" s="233">
        <v>0</v>
      </c>
      <c r="G270" s="242">
        <v>0</v>
      </c>
      <c r="H270" s="293" t="s">
        <v>323</v>
      </c>
      <c r="I270" s="295" t="s">
        <v>559</v>
      </c>
      <c r="J270" s="66"/>
    </row>
    <row r="271" spans="1:32" ht="23.25" thickBot="1">
      <c r="A271" s="135"/>
      <c r="B271" s="123" t="s">
        <v>410</v>
      </c>
      <c r="C271" s="73"/>
      <c r="D271" s="74"/>
      <c r="E271" s="241">
        <f>SUM(E267:E270)</f>
        <v>12250</v>
      </c>
      <c r="F271" s="233">
        <f>SUM(F267:F270)</f>
        <v>24500</v>
      </c>
      <c r="G271" s="242">
        <f>SUM(G267:G270)</f>
        <v>18375</v>
      </c>
      <c r="H271" s="322"/>
      <c r="I271" s="318"/>
      <c r="J271" s="67"/>
    </row>
    <row r="272" spans="1:32">
      <c r="A272" s="92"/>
      <c r="B272" s="66"/>
      <c r="C272" s="67"/>
      <c r="D272" s="67"/>
      <c r="E272" s="67"/>
      <c r="F272" s="67"/>
      <c r="G272" s="67"/>
      <c r="H272" s="262"/>
      <c r="I272" s="262"/>
      <c r="J272" s="67"/>
      <c r="K272" s="24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</row>
    <row r="273" spans="1:32" ht="34.5" customHeight="1" thickBot="1">
      <c r="A273" s="85"/>
      <c r="B273" s="441" t="s">
        <v>411</v>
      </c>
      <c r="C273" s="441"/>
      <c r="D273" s="441"/>
      <c r="E273" s="441"/>
      <c r="F273" s="441"/>
      <c r="G273" s="441"/>
      <c r="H273" s="441"/>
      <c r="I273" s="441"/>
      <c r="J273" s="183"/>
      <c r="K273" s="24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/>
      <c r="AC273" s="69"/>
      <c r="AD273" s="69"/>
      <c r="AE273" s="69"/>
      <c r="AF273" s="69"/>
    </row>
    <row r="274" spans="1:32" ht="39" customHeight="1" thickBot="1">
      <c r="A274" s="145">
        <v>86</v>
      </c>
      <c r="B274" s="7" t="s">
        <v>577</v>
      </c>
      <c r="C274" s="393" t="s">
        <v>324</v>
      </c>
      <c r="D274" s="416"/>
      <c r="E274" s="64">
        <f>500*'Cost details'!C1</f>
        <v>245000</v>
      </c>
      <c r="F274" s="64">
        <f>1000*'Cost details'!C1</f>
        <v>490000</v>
      </c>
      <c r="G274" s="211">
        <f>(E274+F274)/2</f>
        <v>367500</v>
      </c>
      <c r="H274" s="393" t="s">
        <v>100</v>
      </c>
      <c r="I274" s="416"/>
      <c r="J274" s="66"/>
      <c r="K274" s="93" t="s">
        <v>538</v>
      </c>
    </row>
    <row r="275" spans="1:32" ht="31.5" hidden="1" customHeight="1" thickBot="1">
      <c r="A275" s="147">
        <v>91</v>
      </c>
      <c r="B275" s="148"/>
      <c r="C275" s="437" t="s">
        <v>456</v>
      </c>
      <c r="D275" s="438"/>
      <c r="E275" s="149">
        <v>0</v>
      </c>
      <c r="F275" s="149">
        <v>0</v>
      </c>
      <c r="G275" s="210"/>
      <c r="H275" s="439" t="s">
        <v>523</v>
      </c>
      <c r="I275" s="440"/>
      <c r="J275" s="66"/>
    </row>
    <row r="276" spans="1:32" ht="15.75" thickBot="1">
      <c r="A276" s="341"/>
      <c r="B276" s="342" t="s">
        <v>455</v>
      </c>
      <c r="C276" s="342"/>
      <c r="D276" s="342"/>
      <c r="E276" s="150">
        <f>SUM(E274:E275)</f>
        <v>245000</v>
      </c>
      <c r="F276" s="151">
        <f>SUM(F274:F275)</f>
        <v>490000</v>
      </c>
      <c r="G276" s="151">
        <f>SUM(G274:G275)</f>
        <v>367500</v>
      </c>
      <c r="H276" s="343"/>
      <c r="I276" s="344"/>
    </row>
    <row r="278" spans="1:32" ht="60">
      <c r="B278" s="365" t="s">
        <v>554</v>
      </c>
      <c r="C278" s="366"/>
      <c r="D278" s="365"/>
      <c r="E278" s="246" t="s">
        <v>457</v>
      </c>
      <c r="F278" s="246" t="s">
        <v>458</v>
      </c>
      <c r="G278" s="246" t="s">
        <v>582</v>
      </c>
    </row>
    <row r="279" spans="1:32">
      <c r="B279" s="247" t="str">
        <f>B41</f>
        <v>Ընդամենը Կյանքի իրավունքի գծով</v>
      </c>
      <c r="C279" s="38"/>
      <c r="D279" s="248"/>
      <c r="E279" s="43">
        <f>E41</f>
        <v>181240.38200000001</v>
      </c>
      <c r="F279" s="43">
        <f>F41</f>
        <v>203290.38200000001</v>
      </c>
      <c r="G279" s="43">
        <f>G41</f>
        <v>192265.38200000001</v>
      </c>
    </row>
    <row r="280" spans="1:32">
      <c r="B280" s="44" t="str">
        <f>B80</f>
        <v>Ընդամենը Խոշտանգումների արգելքի գծով</v>
      </c>
      <c r="C280" s="38"/>
      <c r="D280" s="248"/>
      <c r="E280" s="43">
        <f>E80</f>
        <v>2713558.5183999999</v>
      </c>
      <c r="F280" s="43">
        <f>F80</f>
        <v>2731788.5183999999</v>
      </c>
      <c r="G280" s="43">
        <f>G80</f>
        <v>2716548.5183999999</v>
      </c>
    </row>
    <row r="281" spans="1:32">
      <c r="B281" s="44" t="str">
        <f>B109</f>
        <v>Ընդամենը Գործի արդար քննության իրավունքի գծով</v>
      </c>
      <c r="C281" s="38"/>
      <c r="D281" s="248"/>
      <c r="E281" s="43">
        <f>E109</f>
        <v>313678.12399999995</v>
      </c>
      <c r="F281" s="43">
        <f>F109</f>
        <v>333278.12399999995</v>
      </c>
      <c r="G281" s="43">
        <f>G109</f>
        <v>323478.12399999995</v>
      </c>
    </row>
    <row r="282" spans="1:32">
      <c r="B282" s="44" t="str">
        <f>B140</f>
        <v>Ընդամենը Իրավահավասարության, խտրականության արգելքիգծով</v>
      </c>
      <c r="C282" s="38"/>
      <c r="D282" s="248"/>
      <c r="E282" s="43">
        <f>E140</f>
        <v>173340.81599999999</v>
      </c>
      <c r="F282" s="43">
        <f>F140</f>
        <v>212540.81599999999</v>
      </c>
      <c r="G282" s="43">
        <f>G140</f>
        <v>189459.696</v>
      </c>
    </row>
    <row r="283" spans="1:32">
      <c r="B283" s="44" t="str">
        <f>B162</f>
        <v>Ընդամենը Առողջության պահպանման իրավունքի գծով</v>
      </c>
      <c r="C283" s="38"/>
      <c r="D283" s="248"/>
      <c r="E283" s="43">
        <f>E162</f>
        <v>49500</v>
      </c>
      <c r="F283" s="43">
        <f>F162</f>
        <v>94000</v>
      </c>
      <c r="G283" s="43">
        <f>G162</f>
        <v>62950</v>
      </c>
    </row>
    <row r="284" spans="1:32">
      <c r="B284" s="44" t="str">
        <f>B173</f>
        <v>Ընդամենը Հավաքների ազատության գծով</v>
      </c>
      <c r="C284" s="45"/>
      <c r="D284" s="248"/>
      <c r="E284" s="43">
        <f>E173</f>
        <v>96345.535999999993</v>
      </c>
      <c r="F284" s="43">
        <f>F173</f>
        <v>101245.53599999999</v>
      </c>
      <c r="G284" s="43">
        <f>G173</f>
        <v>98795.535999999993</v>
      </c>
    </row>
    <row r="285" spans="1:32">
      <c r="B285" s="44" t="str">
        <f>B188</f>
        <v>Ընդամենը Կրթության իրավունքի գծով</v>
      </c>
      <c r="C285" s="38"/>
      <c r="D285" s="248"/>
      <c r="E285" s="43">
        <f>E188</f>
        <v>0</v>
      </c>
      <c r="F285" s="43">
        <f>F188</f>
        <v>0</v>
      </c>
      <c r="G285" s="43">
        <f>G188</f>
        <v>0</v>
      </c>
    </row>
    <row r="286" spans="1:32">
      <c r="B286" s="44" t="str">
        <f>B199</f>
        <v>Ընդամենը Կարծիքի արտահայտման ազատության գծով</v>
      </c>
      <c r="C286" s="38"/>
      <c r="D286" s="248"/>
      <c r="E286" s="43">
        <f>E199</f>
        <v>29529.599999999999</v>
      </c>
      <c r="F286" s="43">
        <f>F199</f>
        <v>29529.599999999999</v>
      </c>
      <c r="G286" s="43">
        <f>G199</f>
        <v>29529.599999999999</v>
      </c>
    </row>
    <row r="287" spans="1:32">
      <c r="B287" s="44" t="str">
        <f>B206</f>
        <v>Ընդամենը Սեփականության իրավունքի գծով</v>
      </c>
      <c r="C287" s="38"/>
      <c r="D287" s="248"/>
      <c r="E287" s="43">
        <f>E206</f>
        <v>9800</v>
      </c>
      <c r="F287" s="43">
        <f>F206</f>
        <v>14700</v>
      </c>
      <c r="G287" s="43">
        <f>G206</f>
        <v>12250</v>
      </c>
    </row>
    <row r="288" spans="1:32">
      <c r="B288" s="44" t="str">
        <f>B220</f>
        <v>Ընդամենը Աշխատանքի իրավունքի գծով</v>
      </c>
      <c r="C288" s="38"/>
      <c r="D288" s="248"/>
      <c r="E288" s="43">
        <f>E220</f>
        <v>15925</v>
      </c>
      <c r="F288" s="43">
        <f>F220</f>
        <v>26950</v>
      </c>
      <c r="G288" s="43">
        <f>G220</f>
        <v>21437.5</v>
      </c>
    </row>
    <row r="289" spans="2:7">
      <c r="B289" s="44" t="str">
        <f>B231</f>
        <v>Ընդամենը Սոցիալական ապահովության, նվազագույն կենսապայմանների իրավունքի գծով</v>
      </c>
      <c r="C289" s="38"/>
      <c r="D289" s="248"/>
      <c r="E289" s="43">
        <f>E231</f>
        <v>10000</v>
      </c>
      <c r="F289" s="43">
        <f>F231</f>
        <v>10000</v>
      </c>
      <c r="G289" s="43">
        <f>G231</f>
        <v>10000</v>
      </c>
    </row>
    <row r="290" spans="2:7">
      <c r="B290" s="44" t="str">
        <f>B259</f>
        <v>Ընդամենը Երեխայի իրավունքների գծով</v>
      </c>
      <c r="C290" s="45"/>
      <c r="D290" s="248"/>
      <c r="E290" s="43">
        <f>E259</f>
        <v>61250</v>
      </c>
      <c r="F290" s="43">
        <f>F259</f>
        <v>98000</v>
      </c>
      <c r="G290" s="43">
        <f>G259</f>
        <v>91875</v>
      </c>
    </row>
    <row r="291" spans="2:7">
      <c r="B291" s="44" t="str">
        <f>+B271</f>
        <v>Ընդամենը Տնտեսական գործունեության ազատության գծով</v>
      </c>
      <c r="C291" s="45"/>
      <c r="D291" s="248"/>
      <c r="E291" s="43">
        <f>E271</f>
        <v>12250</v>
      </c>
      <c r="F291" s="43">
        <f>F271</f>
        <v>24500</v>
      </c>
      <c r="G291" s="43">
        <f>G271</f>
        <v>18375</v>
      </c>
    </row>
    <row r="292" spans="2:7">
      <c r="B292" s="44" t="str">
        <f>+B276</f>
        <v>Ընդսմենը ՄԻՊ ռազմավարության ԳԾ աջակցող միջոցառումների գծով</v>
      </c>
      <c r="C292" s="45"/>
      <c r="D292" s="248"/>
      <c r="E292" s="43">
        <f>E276</f>
        <v>245000</v>
      </c>
      <c r="F292" s="43">
        <f>F276</f>
        <v>490000</v>
      </c>
      <c r="G292" s="43">
        <f>G276</f>
        <v>367500</v>
      </c>
    </row>
    <row r="293" spans="2:7">
      <c r="B293" s="251" t="s">
        <v>412</v>
      </c>
      <c r="C293" s="51"/>
      <c r="D293" s="252"/>
      <c r="E293" s="253">
        <f>SUM(E279:E292)</f>
        <v>3911417.9764</v>
      </c>
      <c r="F293" s="253">
        <f>SUM(F279:F292)</f>
        <v>4369822.9764</v>
      </c>
      <c r="G293" s="253">
        <f>SUM(G279:G292)</f>
        <v>4134464.3563999999</v>
      </c>
    </row>
    <row r="294" spans="2:7">
      <c r="C294" s="38"/>
    </row>
    <row r="295" spans="2:7">
      <c r="C295" s="69"/>
    </row>
    <row r="299" spans="2:7" ht="15.75" thickBot="1"/>
    <row r="300" spans="2:7" ht="63" customHeight="1">
      <c r="B300" s="367" t="s">
        <v>555</v>
      </c>
      <c r="C300" s="368"/>
      <c r="D300" s="369"/>
      <c r="E300" s="281" t="s">
        <v>457</v>
      </c>
      <c r="F300" s="281" t="s">
        <v>458</v>
      </c>
      <c r="G300" s="246" t="s">
        <v>582</v>
      </c>
    </row>
    <row r="301" spans="2:7">
      <c r="B301" s="273" t="s">
        <v>532</v>
      </c>
      <c r="C301" s="45"/>
      <c r="D301" s="45"/>
      <c r="E301" s="255">
        <f>E196+E171+E161+E122+E121+E120+E119+E118+E117+E116+E115++E102+E101+E100+E99+E98+E79+E78+E77+E76+E75+E74+E73+E72+E71+E70+E36+E35+E34+E33+E32+E31+E30+E29+E14+E12+E11+E10+E9+E8+E7</f>
        <v>589654.07640000002</v>
      </c>
      <c r="F301" s="255">
        <f>F196+F171+F161+F122+F121+F120+F119+F118+F117+F116+F115++F102+F101+F100+F99+F98+F79+F78+F77+F76+F75+F74+F73+F72+F71+F70+F36+F35+F34+F33+F32+F31+F30+F29+F14+F12+F11+F10+F9+F8+F7</f>
        <v>589654.07640000002</v>
      </c>
      <c r="G301" s="274">
        <f>G196+G171+G161+G122+G121+G120+G119+G118+G117+G116+G115++G102+G101+G100+G99+G98+G79+G78+G77+G76+G75+G74+G73+G72+G71+G70+G36+G35+G34+G33+G32+G31+G30+G29+G14+G12+G11+G10+G9+G8+G7</f>
        <v>586172.95640000002</v>
      </c>
    </row>
    <row r="302" spans="2:7">
      <c r="B302" s="273" t="s">
        <v>543</v>
      </c>
      <c r="C302" s="45"/>
      <c r="D302" s="45"/>
      <c r="E302" s="255" t="e">
        <f>+E274+E267+E247+E212+E157+E152+#REF!+E149+E129+E123+E65+E15+E139</f>
        <v>#REF!</v>
      </c>
      <c r="F302" s="255" t="e">
        <f>+F274+F267+F247+F212+F157+F152+#REF!+F149+F129+F123+F65+F15+F139</f>
        <v>#REF!</v>
      </c>
      <c r="G302" s="274">
        <f>+G274+G267+G247+G212+G157+G152+G149+G129+G123+G65+G15+G139</f>
        <v>531012.5</v>
      </c>
    </row>
    <row r="303" spans="2:7">
      <c r="B303" s="273" t="s">
        <v>533</v>
      </c>
      <c r="C303" s="45"/>
      <c r="D303" s="45"/>
      <c r="E303" s="255" t="e">
        <f>+E256+E255+E252+E241+E214+E204+E169+E137+E135+#REF!+E126+E105+E103+E96+E52+E27+E22+E107+E239</f>
        <v>#REF!</v>
      </c>
      <c r="F303" s="255" t="e">
        <f>+F256+F255+F252+F241+F214+F204+F169+F137+F135+#REF!+F126+F105+F103+F96+F52+F27+F22+F107+F239</f>
        <v>#REF!</v>
      </c>
      <c r="G303" s="274">
        <f>+G256+G255+G252+G241+G214+G204+G169+G137+G135+G126+G105+G103+G96+G52+G27+G22+G107+G239+G244</f>
        <v>232750</v>
      </c>
    </row>
    <row r="304" spans="2:7">
      <c r="B304" s="273" t="s">
        <v>534</v>
      </c>
      <c r="C304" s="45"/>
      <c r="D304" s="45"/>
      <c r="E304" s="255">
        <f>+E88+E50+E49+E48+E47</f>
        <v>1927108.9</v>
      </c>
      <c r="F304" s="255">
        <f>+F88+F50+F49+F48+F47</f>
        <v>1927108.9</v>
      </c>
      <c r="G304" s="274">
        <f>+G88+G50+G49+G48+G47</f>
        <v>1927108.9</v>
      </c>
    </row>
    <row r="305" spans="2:13">
      <c r="B305" s="273" t="s">
        <v>541</v>
      </c>
      <c r="C305" s="45"/>
      <c r="D305" s="45"/>
      <c r="E305" s="255" t="e">
        <f>+E62+E54+#REF!</f>
        <v>#REF!</v>
      </c>
      <c r="F305" s="255" t="e">
        <f>+F62+F54+#REF!</f>
        <v>#REF!</v>
      </c>
      <c r="G305" s="274">
        <f>+G62+G54</f>
        <v>810000</v>
      </c>
    </row>
    <row r="306" spans="2:13">
      <c r="B306" s="273" t="s">
        <v>544</v>
      </c>
      <c r="C306" s="45"/>
      <c r="D306" s="45"/>
      <c r="E306" s="255">
        <f>E64+E150+E151+E230</f>
        <v>46880</v>
      </c>
      <c r="F306" s="255">
        <f>F64+F150+F151+F230</f>
        <v>67960</v>
      </c>
      <c r="G306" s="274">
        <f>G64+G150+G151+G230</f>
        <v>47420</v>
      </c>
    </row>
    <row r="307" spans="2:13">
      <c r="B307" s="275" t="s">
        <v>434</v>
      </c>
      <c r="C307" s="254"/>
      <c r="D307" s="254"/>
      <c r="E307" s="256" t="e">
        <f>SUM(E301:E306)</f>
        <v>#REF!</v>
      </c>
      <c r="F307" s="256" t="e">
        <f>SUM(F301:F306)</f>
        <v>#REF!</v>
      </c>
      <c r="G307" s="276">
        <f>SUM(G301:G306)</f>
        <v>4134464.3563999999</v>
      </c>
    </row>
    <row r="308" spans="2:13">
      <c r="B308" s="116"/>
      <c r="C308" s="69"/>
      <c r="D308" s="69"/>
      <c r="E308" s="69"/>
      <c r="F308" s="69"/>
      <c r="G308" s="277"/>
    </row>
    <row r="309" spans="2:13">
      <c r="B309" s="273" t="s">
        <v>546</v>
      </c>
      <c r="C309" s="45"/>
      <c r="D309" s="45"/>
      <c r="E309" s="205"/>
      <c r="F309" s="205"/>
      <c r="G309" s="278"/>
    </row>
    <row r="310" spans="2:13">
      <c r="B310" s="273" t="s">
        <v>547</v>
      </c>
      <c r="C310" s="45"/>
      <c r="D310" s="45"/>
      <c r="E310" s="255" t="e">
        <f>E307</f>
        <v>#REF!</v>
      </c>
      <c r="F310" s="255" t="e">
        <f>F307</f>
        <v>#REF!</v>
      </c>
      <c r="G310" s="274">
        <f>G307</f>
        <v>4134464.3563999999</v>
      </c>
    </row>
    <row r="311" spans="2:13">
      <c r="B311" s="275" t="s">
        <v>552</v>
      </c>
      <c r="C311" s="254"/>
      <c r="D311" s="254"/>
      <c r="E311" s="256" t="e">
        <f>E312+E313+E314</f>
        <v>#REF!</v>
      </c>
      <c r="F311" s="256" t="e">
        <f>F312+F313+F314</f>
        <v>#REF!</v>
      </c>
      <c r="G311" s="276">
        <f>G312+G313+G314</f>
        <v>2732935.4564</v>
      </c>
    </row>
    <row r="312" spans="2:13">
      <c r="B312" s="279" t="s">
        <v>549</v>
      </c>
      <c r="C312" s="45"/>
      <c r="D312" s="45"/>
      <c r="E312" s="272">
        <f>1500*'Cost details'!C2</f>
        <v>795000</v>
      </c>
      <c r="F312" s="272">
        <f>E312</f>
        <v>795000</v>
      </c>
      <c r="G312" s="280">
        <f>F312</f>
        <v>795000</v>
      </c>
    </row>
    <row r="313" spans="2:13">
      <c r="B313" s="279" t="s">
        <v>551</v>
      </c>
      <c r="C313" s="45"/>
      <c r="D313" s="45"/>
      <c r="E313" s="272">
        <f>1200*'Cost details'!C1</f>
        <v>588000</v>
      </c>
      <c r="F313" s="272">
        <f>E313</f>
        <v>588000</v>
      </c>
      <c r="G313" s="280">
        <f>F313</f>
        <v>588000</v>
      </c>
    </row>
    <row r="314" spans="2:13">
      <c r="B314" s="279" t="s">
        <v>550</v>
      </c>
      <c r="C314" s="45"/>
      <c r="D314" s="45"/>
      <c r="E314" s="272" t="e">
        <f>E301+E302+E303</f>
        <v>#REF!</v>
      </c>
      <c r="F314" s="272" t="e">
        <f>F301+F302+F303</f>
        <v>#REF!</v>
      </c>
      <c r="G314" s="280">
        <f>G301+G302+G303</f>
        <v>1349935.4564</v>
      </c>
    </row>
    <row r="315" spans="2:13" ht="15.75" thickBot="1">
      <c r="B315" s="282" t="s">
        <v>553</v>
      </c>
      <c r="C315" s="283"/>
      <c r="D315" s="283"/>
      <c r="E315" s="284" t="e">
        <f>E311-E310</f>
        <v>#REF!</v>
      </c>
      <c r="F315" s="284" t="e">
        <f>F311-F310</f>
        <v>#REF!</v>
      </c>
      <c r="G315" s="285">
        <f>G311-G310</f>
        <v>-1401528.9</v>
      </c>
    </row>
    <row r="316" spans="2:13" ht="15.75" thickBot="1"/>
    <row r="317" spans="2:13">
      <c r="B317" s="484"/>
      <c r="C317" s="485"/>
      <c r="D317" s="245" t="s">
        <v>459</v>
      </c>
      <c r="E317" s="245"/>
      <c r="F317" s="245"/>
      <c r="G317" s="245" t="s">
        <v>461</v>
      </c>
      <c r="H317" s="323" t="s">
        <v>460</v>
      </c>
      <c r="I317" s="249"/>
      <c r="K317"/>
      <c r="M317" s="93"/>
    </row>
    <row r="318" spans="2:13" ht="54" customHeight="1">
      <c r="B318" s="426" t="s">
        <v>462</v>
      </c>
      <c r="C318" s="427"/>
      <c r="D318" s="345">
        <v>27000000</v>
      </c>
      <c r="E318" s="345"/>
      <c r="F318" s="345"/>
      <c r="G318" s="345">
        <f>28000000+D318</f>
        <v>55000000</v>
      </c>
      <c r="H318" s="324">
        <f>31000000+G318</f>
        <v>86000000</v>
      </c>
      <c r="I318" s="325"/>
      <c r="K318"/>
      <c r="M318" s="93"/>
    </row>
    <row r="319" spans="2:13" ht="42" customHeight="1" thickBot="1">
      <c r="B319" s="482" t="s">
        <v>503</v>
      </c>
      <c r="C319" s="483"/>
      <c r="D319" s="346">
        <f>D318</f>
        <v>27000000</v>
      </c>
      <c r="E319" s="346"/>
      <c r="F319" s="346"/>
      <c r="G319" s="347">
        <v>0</v>
      </c>
      <c r="H319" s="326">
        <v>0</v>
      </c>
      <c r="I319" s="249"/>
      <c r="K319"/>
      <c r="M319" s="93"/>
    </row>
  </sheetData>
  <autoFilter ref="K1:K276" xr:uid="{0A326AA1-56E0-4DED-A3A9-8D7024EF6906}"/>
  <mergeCells count="298">
    <mergeCell ref="B319:C319"/>
    <mergeCell ref="B317:C317"/>
    <mergeCell ref="I153:I155"/>
    <mergeCell ref="H15:H21"/>
    <mergeCell ref="E15:E21"/>
    <mergeCell ref="F15:F21"/>
    <mergeCell ref="I15:I21"/>
    <mergeCell ref="D37:D38"/>
    <mergeCell ref="H37:H38"/>
    <mergeCell ref="I37:I38"/>
    <mergeCell ref="A86:I86"/>
    <mergeCell ref="A81:I81"/>
    <mergeCell ref="A82:I82"/>
    <mergeCell ref="A83:I83"/>
    <mergeCell ref="A84:I84"/>
    <mergeCell ref="A15:A21"/>
    <mergeCell ref="B15:B21"/>
    <mergeCell ref="D15:D21"/>
    <mergeCell ref="H22:H23"/>
    <mergeCell ref="I22:I23"/>
    <mergeCell ref="A22:A23"/>
    <mergeCell ref="B22:B23"/>
    <mergeCell ref="D22:D23"/>
    <mergeCell ref="G15:G21"/>
    <mergeCell ref="A1:I1"/>
    <mergeCell ref="A2:I2"/>
    <mergeCell ref="A3:I3"/>
    <mergeCell ref="A4:I4"/>
    <mergeCell ref="A5:I5"/>
    <mergeCell ref="D8:D9"/>
    <mergeCell ref="G12:G13"/>
    <mergeCell ref="A7:A14"/>
    <mergeCell ref="B7:B14"/>
    <mergeCell ref="E12:E13"/>
    <mergeCell ref="F12:F13"/>
    <mergeCell ref="A42:I42"/>
    <mergeCell ref="A43:I43"/>
    <mergeCell ref="A44:I44"/>
    <mergeCell ref="A45:I45"/>
    <mergeCell ref="H25:H26"/>
    <mergeCell ref="I25:I26"/>
    <mergeCell ref="A27:A28"/>
    <mergeCell ref="B27:B28"/>
    <mergeCell ref="D27:D28"/>
    <mergeCell ref="H27:H28"/>
    <mergeCell ref="I27:I28"/>
    <mergeCell ref="A25:A26"/>
    <mergeCell ref="B25:B26"/>
    <mergeCell ref="C25:C26"/>
    <mergeCell ref="A29:A36"/>
    <mergeCell ref="B29:B36"/>
    <mergeCell ref="A37:A38"/>
    <mergeCell ref="I56:I59"/>
    <mergeCell ref="H56:H59"/>
    <mergeCell ref="I60:I61"/>
    <mergeCell ref="A52:A53"/>
    <mergeCell ref="B52:B53"/>
    <mergeCell ref="D52:D53"/>
    <mergeCell ref="H52:H53"/>
    <mergeCell ref="I52:I53"/>
    <mergeCell ref="A47:A49"/>
    <mergeCell ref="D47:D48"/>
    <mergeCell ref="B47:B49"/>
    <mergeCell ref="I47:I49"/>
    <mergeCell ref="A70:A79"/>
    <mergeCell ref="B70:B79"/>
    <mergeCell ref="E60:E61"/>
    <mergeCell ref="F60:F61"/>
    <mergeCell ref="G60:G61"/>
    <mergeCell ref="A88:A89"/>
    <mergeCell ref="B88:B89"/>
    <mergeCell ref="A56:A59"/>
    <mergeCell ref="B56:B59"/>
    <mergeCell ref="A65:A68"/>
    <mergeCell ref="B65:B68"/>
    <mergeCell ref="D65:D68"/>
    <mergeCell ref="E65:E68"/>
    <mergeCell ref="F65:F68"/>
    <mergeCell ref="I65:I68"/>
    <mergeCell ref="H60:H61"/>
    <mergeCell ref="A60:A61"/>
    <mergeCell ref="B60:B61"/>
    <mergeCell ref="C60:C61"/>
    <mergeCell ref="G65:G68"/>
    <mergeCell ref="D107:D108"/>
    <mergeCell ref="H107:H108"/>
    <mergeCell ref="I107:I108"/>
    <mergeCell ref="A105:A106"/>
    <mergeCell ref="B105:B106"/>
    <mergeCell ref="D105:D106"/>
    <mergeCell ref="H105:H106"/>
    <mergeCell ref="A112:I112"/>
    <mergeCell ref="I88:I89"/>
    <mergeCell ref="A103:A104"/>
    <mergeCell ref="B103:B104"/>
    <mergeCell ref="D103:D104"/>
    <mergeCell ref="H103:H104"/>
    <mergeCell ref="I103:I104"/>
    <mergeCell ref="H98:H102"/>
    <mergeCell ref="A98:A102"/>
    <mergeCell ref="B98:B102"/>
    <mergeCell ref="A96:A97"/>
    <mergeCell ref="B96:B97"/>
    <mergeCell ref="D96:D97"/>
    <mergeCell ref="H96:H97"/>
    <mergeCell ref="I96:I97"/>
    <mergeCell ref="I98:I102"/>
    <mergeCell ref="E123:E125"/>
    <mergeCell ref="F123:F125"/>
    <mergeCell ref="I135:I136"/>
    <mergeCell ref="I137:I139"/>
    <mergeCell ref="H132:H133"/>
    <mergeCell ref="I132:I133"/>
    <mergeCell ref="A132:A133"/>
    <mergeCell ref="B132:B133"/>
    <mergeCell ref="D132:D133"/>
    <mergeCell ref="A129:A131"/>
    <mergeCell ref="B129:B131"/>
    <mergeCell ref="D129:D131"/>
    <mergeCell ref="H129:H131"/>
    <mergeCell ref="I129:I131"/>
    <mergeCell ref="A135:A136"/>
    <mergeCell ref="I123:I125"/>
    <mergeCell ref="I126:I127"/>
    <mergeCell ref="A126:A127"/>
    <mergeCell ref="B126:B127"/>
    <mergeCell ref="D126:D127"/>
    <mergeCell ref="H126:H127"/>
    <mergeCell ref="A123:A125"/>
    <mergeCell ref="B123:B125"/>
    <mergeCell ref="A137:A139"/>
    <mergeCell ref="B137:B139"/>
    <mergeCell ref="D137:D139"/>
    <mergeCell ref="H137:H139"/>
    <mergeCell ref="A169:A170"/>
    <mergeCell ref="B169:B170"/>
    <mergeCell ref="D169:D170"/>
    <mergeCell ref="H169:H170"/>
    <mergeCell ref="A157:A159"/>
    <mergeCell ref="A150:A151"/>
    <mergeCell ref="B150:B151"/>
    <mergeCell ref="D150:D151"/>
    <mergeCell ref="A142:I142"/>
    <mergeCell ref="A141:I141"/>
    <mergeCell ref="I150:I151"/>
    <mergeCell ref="A153:A155"/>
    <mergeCell ref="I169:I170"/>
    <mergeCell ref="A202:I202"/>
    <mergeCell ref="A189:I189"/>
    <mergeCell ref="A190:I190"/>
    <mergeCell ref="A191:I191"/>
    <mergeCell ref="A192:I192"/>
    <mergeCell ref="A185:A187"/>
    <mergeCell ref="B185:B187"/>
    <mergeCell ref="D185:D187"/>
    <mergeCell ref="A180:A182"/>
    <mergeCell ref="B180:B182"/>
    <mergeCell ref="D180:D182"/>
    <mergeCell ref="H180:H182"/>
    <mergeCell ref="B318:C318"/>
    <mergeCell ref="A252:A254"/>
    <mergeCell ref="B252:B254"/>
    <mergeCell ref="D252:D254"/>
    <mergeCell ref="H252:H254"/>
    <mergeCell ref="H274:I274"/>
    <mergeCell ref="C274:D274"/>
    <mergeCell ref="A267:A269"/>
    <mergeCell ref="B267:B269"/>
    <mergeCell ref="D267:D269"/>
    <mergeCell ref="A265:I265"/>
    <mergeCell ref="H266:I266"/>
    <mergeCell ref="A260:I260"/>
    <mergeCell ref="A261:I261"/>
    <mergeCell ref="A262:I262"/>
    <mergeCell ref="A263:I263"/>
    <mergeCell ref="A264:I264"/>
    <mergeCell ref="C275:D275"/>
    <mergeCell ref="H275:I275"/>
    <mergeCell ref="B273:I273"/>
    <mergeCell ref="B153:B155"/>
    <mergeCell ref="A178:I178"/>
    <mergeCell ref="A177:I177"/>
    <mergeCell ref="A176:I176"/>
    <mergeCell ref="A175:I175"/>
    <mergeCell ref="A174:I174"/>
    <mergeCell ref="A167:I167"/>
    <mergeCell ref="A166:I166"/>
    <mergeCell ref="A165:I165"/>
    <mergeCell ref="A164:I164"/>
    <mergeCell ref="A163:I163"/>
    <mergeCell ref="A115:A122"/>
    <mergeCell ref="G123:G125"/>
    <mergeCell ref="A147:I147"/>
    <mergeCell ref="A146:I146"/>
    <mergeCell ref="A145:I145"/>
    <mergeCell ref="A256:A258"/>
    <mergeCell ref="B256:B258"/>
    <mergeCell ref="A144:I144"/>
    <mergeCell ref="B239:B240"/>
    <mergeCell ref="D239:D240"/>
    <mergeCell ref="A241:A243"/>
    <mergeCell ref="B241:B243"/>
    <mergeCell ref="D241:D243"/>
    <mergeCell ref="H241:H243"/>
    <mergeCell ref="E247:E250"/>
    <mergeCell ref="F247:F250"/>
    <mergeCell ref="A239:A240"/>
    <mergeCell ref="I180:I182"/>
    <mergeCell ref="H256:H258"/>
    <mergeCell ref="I256:I258"/>
    <mergeCell ref="D256:D258"/>
    <mergeCell ref="I252:I254"/>
    <mergeCell ref="A247:A250"/>
    <mergeCell ref="B247:B250"/>
    <mergeCell ref="A210:I210"/>
    <mergeCell ref="A204:A205"/>
    <mergeCell ref="B204:B205"/>
    <mergeCell ref="D204:D205"/>
    <mergeCell ref="H204:H205"/>
    <mergeCell ref="I204:I205"/>
    <mergeCell ref="A200:I200"/>
    <mergeCell ref="A111:I111"/>
    <mergeCell ref="H239:H240"/>
    <mergeCell ref="I239:I240"/>
    <mergeCell ref="A233:I233"/>
    <mergeCell ref="A234:I234"/>
    <mergeCell ref="A235:I235"/>
    <mergeCell ref="A236:I236"/>
    <mergeCell ref="A237:I237"/>
    <mergeCell ref="A232:I232"/>
    <mergeCell ref="A221:I221"/>
    <mergeCell ref="A222:I222"/>
    <mergeCell ref="A223:I223"/>
    <mergeCell ref="A224:I224"/>
    <mergeCell ref="A225:I225"/>
    <mergeCell ref="A212:A213"/>
    <mergeCell ref="A201:I201"/>
    <mergeCell ref="D117:D119"/>
    <mergeCell ref="B90:B91"/>
    <mergeCell ref="D90:D91"/>
    <mergeCell ref="I90:I91"/>
    <mergeCell ref="I105:I106"/>
    <mergeCell ref="A107:A108"/>
    <mergeCell ref="B107:B108"/>
    <mergeCell ref="D135:D136"/>
    <mergeCell ref="I247:I250"/>
    <mergeCell ref="D157:D160"/>
    <mergeCell ref="H157:H160"/>
    <mergeCell ref="A143:I143"/>
    <mergeCell ref="D153:D155"/>
    <mergeCell ref="B214:B215"/>
    <mergeCell ref="A214:A215"/>
    <mergeCell ref="D214:D215"/>
    <mergeCell ref="H214:H215"/>
    <mergeCell ref="I214:I215"/>
    <mergeCell ref="B212:B213"/>
    <mergeCell ref="D212:D213"/>
    <mergeCell ref="H212:H213"/>
    <mergeCell ref="I212:I213"/>
    <mergeCell ref="A207:I207"/>
    <mergeCell ref="A208:I208"/>
    <mergeCell ref="A209:I209"/>
    <mergeCell ref="B278:D278"/>
    <mergeCell ref="B300:D300"/>
    <mergeCell ref="I7:I14"/>
    <mergeCell ref="H7:H14"/>
    <mergeCell ref="H29:H35"/>
    <mergeCell ref="I29:I36"/>
    <mergeCell ref="H70:H79"/>
    <mergeCell ref="I70:I79"/>
    <mergeCell ref="B115:B122"/>
    <mergeCell ref="H115:H122"/>
    <mergeCell ref="I115:I122"/>
    <mergeCell ref="I185:I187"/>
    <mergeCell ref="E212:E213"/>
    <mergeCell ref="F212:F213"/>
    <mergeCell ref="G212:G213"/>
    <mergeCell ref="B157:B160"/>
    <mergeCell ref="I157:I160"/>
    <mergeCell ref="E157:E160"/>
    <mergeCell ref="F157:F160"/>
    <mergeCell ref="G157:G160"/>
    <mergeCell ref="A110:I110"/>
    <mergeCell ref="D123:D125"/>
    <mergeCell ref="H123:H125"/>
    <mergeCell ref="A90:A91"/>
    <mergeCell ref="B231:C231"/>
    <mergeCell ref="B244:B246"/>
    <mergeCell ref="D244:D246"/>
    <mergeCell ref="H244:H246"/>
    <mergeCell ref="I244:I246"/>
    <mergeCell ref="A244:A246"/>
    <mergeCell ref="G247:G250"/>
    <mergeCell ref="H267:H269"/>
    <mergeCell ref="I267:I269"/>
    <mergeCell ref="I241:I243"/>
    <mergeCell ref="D247:D250"/>
    <mergeCell ref="H247:H250"/>
  </mergeCells>
  <pageMargins left="0.7" right="0.7" top="0.75" bottom="0.75" header="0.3" footer="0.3"/>
  <pageSetup scale="55" orientation="portrait" horizontalDpi="300" verticalDpi="30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06359-0AFC-44B0-BB43-A02FE6E2A030}">
  <dimension ref="A1:G176"/>
  <sheetViews>
    <sheetView workbookViewId="0">
      <selection activeCell="C3" sqref="C3"/>
    </sheetView>
  </sheetViews>
  <sheetFormatPr defaultRowHeight="15"/>
  <cols>
    <col min="1" max="1" width="4.7109375" customWidth="1"/>
    <col min="2" max="2" width="33.28515625" customWidth="1"/>
    <col min="3" max="3" width="12.42578125" customWidth="1"/>
    <col min="4" max="4" width="10.7109375" customWidth="1"/>
    <col min="6" max="6" width="18.5703125" bestFit="1" customWidth="1"/>
    <col min="7" max="7" width="12.7109375" bestFit="1" customWidth="1"/>
  </cols>
  <sheetData>
    <row r="1" spans="1:7">
      <c r="A1" t="s">
        <v>383</v>
      </c>
      <c r="C1">
        <v>490</v>
      </c>
    </row>
    <row r="2" spans="1:7">
      <c r="A2" t="s">
        <v>548</v>
      </c>
      <c r="C2">
        <v>530</v>
      </c>
    </row>
    <row r="4" spans="1:7">
      <c r="C4" t="s">
        <v>385</v>
      </c>
      <c r="D4" t="s">
        <v>386</v>
      </c>
      <c r="E4" t="s">
        <v>508</v>
      </c>
    </row>
    <row r="5" spans="1:7">
      <c r="B5" t="s">
        <v>384</v>
      </c>
      <c r="C5">
        <v>25000</v>
      </c>
      <c r="D5">
        <v>50000</v>
      </c>
    </row>
    <row r="6" spans="1:7">
      <c r="B6" t="s">
        <v>387</v>
      </c>
      <c r="C6" s="36">
        <f>C5*$C$1/1000</f>
        <v>12250</v>
      </c>
      <c r="D6" s="36">
        <f>D5*$C$1/1000</f>
        <v>24500</v>
      </c>
      <c r="E6" s="36">
        <f>(D6+C6)/2</f>
        <v>18375</v>
      </c>
    </row>
    <row r="7" spans="1:7">
      <c r="C7" s="61"/>
      <c r="D7" s="61"/>
    </row>
    <row r="8" spans="1:7">
      <c r="C8" s="61"/>
      <c r="D8" s="61"/>
    </row>
    <row r="9" spans="1:7">
      <c r="C9" t="s">
        <v>385</v>
      </c>
      <c r="D9" t="s">
        <v>386</v>
      </c>
      <c r="E9" t="s">
        <v>508</v>
      </c>
    </row>
    <row r="10" spans="1:7">
      <c r="B10" t="s">
        <v>388</v>
      </c>
      <c r="C10">
        <v>20000</v>
      </c>
      <c r="D10">
        <v>30000</v>
      </c>
    </row>
    <row r="11" spans="1:7">
      <c r="B11" t="s">
        <v>389</v>
      </c>
      <c r="C11" s="36">
        <f>C10*$C$1/1000</f>
        <v>9800</v>
      </c>
      <c r="D11" s="36">
        <f>D10*$C$1/1000</f>
        <v>14700</v>
      </c>
      <c r="E11" s="36">
        <f>(D11+C11)/2</f>
        <v>12250</v>
      </c>
    </row>
    <row r="13" spans="1:7">
      <c r="B13" t="s">
        <v>325</v>
      </c>
    </row>
    <row r="14" spans="1:7" ht="45">
      <c r="B14" s="28" t="s">
        <v>326</v>
      </c>
      <c r="C14" s="29" t="s">
        <v>327</v>
      </c>
      <c r="D14" s="29" t="s">
        <v>328</v>
      </c>
      <c r="E14" s="29" t="s">
        <v>329</v>
      </c>
      <c r="F14" s="29" t="s">
        <v>330</v>
      </c>
      <c r="G14" s="30" t="s">
        <v>331</v>
      </c>
    </row>
    <row r="15" spans="1:7">
      <c r="B15" s="31" t="s">
        <v>332</v>
      </c>
      <c r="C15" t="s">
        <v>333</v>
      </c>
      <c r="D15">
        <v>5</v>
      </c>
      <c r="E15">
        <v>1</v>
      </c>
      <c r="F15" s="32">
        <v>700000</v>
      </c>
      <c r="G15" s="33">
        <f>+F15*E15*D15</f>
        <v>3500000</v>
      </c>
    </row>
    <row r="16" spans="1:7">
      <c r="B16" s="31" t="s">
        <v>334</v>
      </c>
      <c r="C16" t="s">
        <v>333</v>
      </c>
      <c r="D16">
        <v>5</v>
      </c>
      <c r="E16">
        <v>2</v>
      </c>
      <c r="F16" s="32">
        <v>425000</v>
      </c>
      <c r="G16" s="33">
        <f>+F16*E16*D16</f>
        <v>4250000</v>
      </c>
    </row>
    <row r="17" spans="2:7">
      <c r="B17" s="31" t="s">
        <v>335</v>
      </c>
      <c r="C17" t="s">
        <v>333</v>
      </c>
      <c r="D17">
        <v>4</v>
      </c>
      <c r="E17">
        <v>1</v>
      </c>
      <c r="F17" s="32">
        <v>560000</v>
      </c>
      <c r="G17" s="33">
        <f>+F17*E17*D17</f>
        <v>2240000</v>
      </c>
    </row>
    <row r="18" spans="2:7">
      <c r="B18" s="31" t="s">
        <v>336</v>
      </c>
      <c r="C18" t="s">
        <v>337</v>
      </c>
      <c r="D18">
        <v>200</v>
      </c>
      <c r="F18" s="32">
        <v>20000</v>
      </c>
      <c r="G18" s="33">
        <f>+F18*D18</f>
        <v>4000000</v>
      </c>
    </row>
    <row r="19" spans="2:7">
      <c r="B19" s="31" t="s">
        <v>338</v>
      </c>
      <c r="F19" s="32"/>
      <c r="G19" s="33">
        <f>SUM(G15:G18)</f>
        <v>13990000</v>
      </c>
    </row>
    <row r="20" spans="2:7">
      <c r="B20" s="31" t="s">
        <v>339</v>
      </c>
      <c r="F20" s="32"/>
      <c r="G20" s="33">
        <f>G19*0.2</f>
        <v>2798000</v>
      </c>
    </row>
    <row r="21" spans="2:7" ht="15.75" thickBot="1">
      <c r="B21" s="34" t="s">
        <v>340</v>
      </c>
      <c r="C21" s="35"/>
      <c r="D21" s="35"/>
      <c r="E21" s="35"/>
      <c r="F21" s="61"/>
      <c r="G21" s="219">
        <f>G20+G19</f>
        <v>16788000</v>
      </c>
    </row>
    <row r="22" spans="2:7" ht="15.75" thickBot="1">
      <c r="F22" s="220" t="s">
        <v>525</v>
      </c>
      <c r="G22" s="221">
        <v>15000</v>
      </c>
    </row>
    <row r="23" spans="2:7">
      <c r="F23" s="37"/>
      <c r="G23" s="37"/>
    </row>
    <row r="24" spans="2:7">
      <c r="B24" s="28" t="s">
        <v>341</v>
      </c>
      <c r="C24" s="38"/>
      <c r="D24" s="38"/>
      <c r="E24" s="38"/>
      <c r="F24" s="39"/>
      <c r="G24" s="40"/>
    </row>
    <row r="25" spans="2:7">
      <c r="B25" s="31" t="s">
        <v>342</v>
      </c>
      <c r="D25">
        <v>4</v>
      </c>
      <c r="E25">
        <v>1</v>
      </c>
      <c r="F25" s="37">
        <v>454500</v>
      </c>
      <c r="G25" s="41">
        <f>+F25*E25*D25</f>
        <v>1818000</v>
      </c>
    </row>
    <row r="26" spans="2:7">
      <c r="B26" s="31" t="s">
        <v>343</v>
      </c>
      <c r="D26">
        <v>4</v>
      </c>
      <c r="E26">
        <v>1</v>
      </c>
      <c r="F26" s="37">
        <v>725000</v>
      </c>
      <c r="G26" s="41">
        <f>+F26*E26*D26</f>
        <v>2900000</v>
      </c>
    </row>
    <row r="27" spans="2:7">
      <c r="B27" s="31" t="s">
        <v>344</v>
      </c>
      <c r="D27">
        <v>4</v>
      </c>
      <c r="E27">
        <v>1</v>
      </c>
      <c r="F27" s="37">
        <v>487500</v>
      </c>
      <c r="G27" s="41">
        <f>+F27*E27*D27</f>
        <v>1950000</v>
      </c>
    </row>
    <row r="28" spans="2:7">
      <c r="B28" s="31" t="s">
        <v>345</v>
      </c>
      <c r="D28">
        <v>4</v>
      </c>
      <c r="E28">
        <v>1</v>
      </c>
      <c r="F28" s="37">
        <v>487500</v>
      </c>
      <c r="G28" s="41">
        <f>+F28*E28*D28</f>
        <v>1950000</v>
      </c>
    </row>
    <row r="29" spans="2:7">
      <c r="B29" s="31" t="s">
        <v>346</v>
      </c>
      <c r="D29">
        <v>4</v>
      </c>
      <c r="E29">
        <v>1</v>
      </c>
      <c r="F29" s="37">
        <v>500000</v>
      </c>
      <c r="G29" s="41">
        <f>+F29*E29*D29</f>
        <v>2000000</v>
      </c>
    </row>
    <row r="30" spans="2:7">
      <c r="B30" s="31" t="s">
        <v>338</v>
      </c>
      <c r="F30" s="37"/>
      <c r="G30" s="41">
        <f>SUM(G25:G29)</f>
        <v>10618000</v>
      </c>
    </row>
    <row r="31" spans="2:7">
      <c r="B31" s="31" t="s">
        <v>339</v>
      </c>
      <c r="F31" s="37"/>
      <c r="G31" s="41">
        <f>G30*0.2</f>
        <v>2123600</v>
      </c>
    </row>
    <row r="32" spans="2:7">
      <c r="B32" s="34" t="s">
        <v>340</v>
      </c>
      <c r="C32" s="35"/>
      <c r="D32" s="35"/>
      <c r="E32" s="35"/>
      <c r="F32" s="42"/>
      <c r="G32" s="43">
        <f>G31+G30</f>
        <v>12741600</v>
      </c>
    </row>
    <row r="33" spans="2:7">
      <c r="F33" s="37"/>
      <c r="G33" s="37"/>
    </row>
    <row r="34" spans="2:7">
      <c r="B34" s="44" t="s">
        <v>347</v>
      </c>
      <c r="C34" s="45"/>
      <c r="D34" s="45"/>
      <c r="E34" s="45"/>
      <c r="F34" s="46"/>
      <c r="G34" s="47">
        <f>G32+G21</f>
        <v>29529600</v>
      </c>
    </row>
    <row r="37" spans="2:7">
      <c r="B37" t="s">
        <v>348</v>
      </c>
    </row>
    <row r="38" spans="2:7">
      <c r="B38" s="28"/>
      <c r="C38" s="38" t="s">
        <v>349</v>
      </c>
      <c r="D38" s="38" t="s">
        <v>350</v>
      </c>
      <c r="E38" s="38"/>
      <c r="F38" s="48" t="s">
        <v>351</v>
      </c>
    </row>
    <row r="39" spans="2:7">
      <c r="B39" s="31" t="s">
        <v>352</v>
      </c>
      <c r="C39">
        <v>229</v>
      </c>
      <c r="D39">
        <v>80</v>
      </c>
      <c r="F39" s="41">
        <v>131046</v>
      </c>
      <c r="G39" s="37"/>
    </row>
    <row r="40" spans="2:7">
      <c r="B40" s="31" t="s">
        <v>353</v>
      </c>
      <c r="C40">
        <v>327</v>
      </c>
      <c r="D40">
        <v>80</v>
      </c>
      <c r="F40" s="41">
        <v>158109</v>
      </c>
      <c r="G40" s="37"/>
    </row>
    <row r="41" spans="2:7">
      <c r="B41" s="31" t="s">
        <v>354</v>
      </c>
      <c r="C41">
        <v>650</v>
      </c>
      <c r="D41">
        <v>30</v>
      </c>
      <c r="F41" s="41">
        <v>23416</v>
      </c>
      <c r="G41" s="37"/>
    </row>
    <row r="42" spans="2:7">
      <c r="B42" s="31" t="s">
        <v>355</v>
      </c>
      <c r="C42">
        <v>32</v>
      </c>
      <c r="D42">
        <v>30</v>
      </c>
      <c r="F42" s="41">
        <v>62590</v>
      </c>
      <c r="G42" s="37"/>
    </row>
    <row r="43" spans="2:7">
      <c r="B43" s="31" t="s">
        <v>356</v>
      </c>
      <c r="D43">
        <v>30</v>
      </c>
      <c r="F43" s="41">
        <v>107777</v>
      </c>
      <c r="G43" s="37"/>
    </row>
    <row r="44" spans="2:7">
      <c r="B44" s="34" t="s">
        <v>357</v>
      </c>
      <c r="C44" s="35"/>
      <c r="D44" s="35">
        <v>30</v>
      </c>
      <c r="E44" s="35"/>
      <c r="F44" s="49">
        <v>57828</v>
      </c>
      <c r="G44" s="37"/>
    </row>
    <row r="45" spans="2:7">
      <c r="B45" s="69"/>
      <c r="C45" s="69"/>
      <c r="D45" s="69"/>
      <c r="E45" s="69"/>
      <c r="F45" s="75"/>
      <c r="G45" s="37"/>
    </row>
    <row r="46" spans="2:7">
      <c r="B46" s="130" t="s">
        <v>442</v>
      </c>
      <c r="C46" s="69"/>
      <c r="D46" s="130">
        <v>15400</v>
      </c>
      <c r="E46" s="69"/>
      <c r="F46" s="75"/>
      <c r="G46" s="37"/>
    </row>
    <row r="47" spans="2:7">
      <c r="B47" s="130" t="s">
        <v>443</v>
      </c>
      <c r="C47" s="69"/>
      <c r="D47" s="130">
        <v>1300</v>
      </c>
      <c r="E47" s="69"/>
      <c r="F47" s="75"/>
      <c r="G47" s="37"/>
    </row>
    <row r="48" spans="2:7">
      <c r="B48" s="130" t="s">
        <v>444</v>
      </c>
      <c r="C48" s="69"/>
      <c r="D48" s="69"/>
      <c r="E48" s="69"/>
      <c r="F48" s="75"/>
      <c r="G48" s="37"/>
    </row>
    <row r="49" spans="2:7">
      <c r="B49" s="130" t="s">
        <v>445</v>
      </c>
      <c r="C49" s="69"/>
      <c r="D49" s="130">
        <v>239</v>
      </c>
      <c r="E49" s="69"/>
      <c r="F49" s="75"/>
      <c r="G49" s="37"/>
    </row>
    <row r="50" spans="2:7">
      <c r="B50" s="130" t="s">
        <v>446</v>
      </c>
      <c r="C50" s="69"/>
      <c r="D50" s="69"/>
      <c r="E50" s="69"/>
      <c r="F50" s="75"/>
      <c r="G50" s="37"/>
    </row>
    <row r="51" spans="2:7">
      <c r="B51" s="69"/>
      <c r="C51" s="69"/>
      <c r="D51" s="69"/>
      <c r="E51" s="69"/>
      <c r="F51" s="75"/>
      <c r="G51" s="37"/>
    </row>
    <row r="52" spans="2:7">
      <c r="B52" s="69"/>
      <c r="C52" s="69"/>
      <c r="D52" s="69"/>
      <c r="E52" s="69"/>
      <c r="F52" s="75"/>
      <c r="G52" s="37"/>
    </row>
    <row r="53" spans="2:7">
      <c r="B53" s="69"/>
      <c r="C53" s="69"/>
      <c r="D53" s="69"/>
      <c r="E53" s="69"/>
      <c r="F53" s="75"/>
      <c r="G53" s="37"/>
    </row>
    <row r="54" spans="2:7">
      <c r="B54" s="69"/>
      <c r="C54" s="69"/>
      <c r="D54" s="69"/>
      <c r="E54" s="69"/>
      <c r="F54" s="75"/>
      <c r="G54" s="37"/>
    </row>
    <row r="55" spans="2:7">
      <c r="B55" s="69"/>
      <c r="C55" s="69"/>
      <c r="D55" s="69"/>
      <c r="E55" s="69"/>
      <c r="F55" s="75"/>
      <c r="G55" s="37"/>
    </row>
    <row r="56" spans="2:7">
      <c r="B56" s="69"/>
      <c r="C56" s="69"/>
      <c r="D56" s="69"/>
      <c r="E56" s="69"/>
      <c r="F56" s="75"/>
      <c r="G56" s="37"/>
    </row>
    <row r="57" spans="2:7">
      <c r="B57" s="69"/>
      <c r="C57" s="69"/>
      <c r="D57" s="69"/>
      <c r="E57" s="69"/>
      <c r="F57" s="75"/>
      <c r="G57" s="37"/>
    </row>
    <row r="58" spans="2:7">
      <c r="B58" s="69"/>
      <c r="C58" s="69"/>
      <c r="D58" s="69"/>
      <c r="E58" s="69"/>
      <c r="F58" s="75"/>
      <c r="G58" s="37"/>
    </row>
    <row r="59" spans="2:7">
      <c r="B59" s="69"/>
      <c r="C59" s="69"/>
      <c r="D59" s="69"/>
      <c r="E59" s="69"/>
      <c r="F59" s="75"/>
      <c r="G59" s="37"/>
    </row>
    <row r="60" spans="2:7">
      <c r="B60" s="69"/>
      <c r="C60" s="69"/>
      <c r="D60" s="69"/>
      <c r="E60" s="69"/>
      <c r="F60" s="75"/>
      <c r="G60" s="37"/>
    </row>
    <row r="61" spans="2:7">
      <c r="F61" s="37"/>
      <c r="G61" s="37"/>
    </row>
    <row r="62" spans="2:7">
      <c r="F62" s="37"/>
      <c r="G62" s="37"/>
    </row>
    <row r="63" spans="2:7">
      <c r="B63" t="s">
        <v>526</v>
      </c>
      <c r="C63">
        <v>2</v>
      </c>
      <c r="D63" t="s">
        <v>358</v>
      </c>
      <c r="F63" s="37"/>
      <c r="G63" s="37"/>
    </row>
    <row r="64" spans="2:7">
      <c r="B64" s="50" t="s">
        <v>359</v>
      </c>
      <c r="C64" s="51"/>
      <c r="D64" s="51"/>
      <c r="E64" s="51"/>
      <c r="F64" s="52">
        <f>F65+F66</f>
        <v>220000</v>
      </c>
      <c r="G64" s="37"/>
    </row>
    <row r="65" spans="1:7">
      <c r="B65" s="53" t="s">
        <v>360</v>
      </c>
      <c r="C65" t="s">
        <v>361</v>
      </c>
      <c r="D65">
        <v>2</v>
      </c>
      <c r="E65">
        <v>65000</v>
      </c>
      <c r="F65" s="41">
        <f>E65*D65</f>
        <v>130000</v>
      </c>
      <c r="G65" s="37"/>
    </row>
    <row r="66" spans="1:7">
      <c r="B66" s="53" t="s">
        <v>362</v>
      </c>
      <c r="C66" t="s">
        <v>363</v>
      </c>
      <c r="D66">
        <v>18</v>
      </c>
      <c r="E66">
        <v>5000</v>
      </c>
      <c r="F66" s="41">
        <f>E66*D66</f>
        <v>90000</v>
      </c>
      <c r="G66" s="37"/>
    </row>
    <row r="67" spans="1:7">
      <c r="B67" s="54" t="s">
        <v>364</v>
      </c>
      <c r="C67" s="55"/>
      <c r="D67" s="55"/>
      <c r="E67" s="55"/>
      <c r="F67" s="56">
        <f>SUM(F68:F70)</f>
        <v>59500</v>
      </c>
      <c r="G67" s="37"/>
    </row>
    <row r="68" spans="1:7">
      <c r="B68" s="53" t="s">
        <v>365</v>
      </c>
      <c r="C68" t="s">
        <v>366</v>
      </c>
      <c r="D68">
        <v>1</v>
      </c>
      <c r="E68">
        <v>25000</v>
      </c>
      <c r="F68" s="41">
        <f>E68*D68</f>
        <v>25000</v>
      </c>
      <c r="G68" s="37"/>
    </row>
    <row r="69" spans="1:7">
      <c r="B69" s="53" t="s">
        <v>367</v>
      </c>
      <c r="C69" t="s">
        <v>368</v>
      </c>
      <c r="D69">
        <v>3</v>
      </c>
      <c r="E69">
        <v>5000</v>
      </c>
      <c r="F69" s="41">
        <f>E69*D69*C63</f>
        <v>30000</v>
      </c>
      <c r="G69" s="37"/>
    </row>
    <row r="70" spans="1:7">
      <c r="B70" s="53" t="s">
        <v>369</v>
      </c>
      <c r="C70" t="s">
        <v>370</v>
      </c>
      <c r="D70">
        <v>3</v>
      </c>
      <c r="E70">
        <v>1500</v>
      </c>
      <c r="F70" s="41">
        <f>E70*D70*D68</f>
        <v>4500</v>
      </c>
      <c r="G70" s="37"/>
    </row>
    <row r="71" spans="1:7">
      <c r="B71" s="53"/>
      <c r="F71" s="41"/>
      <c r="G71" s="37"/>
    </row>
    <row r="72" spans="1:7">
      <c r="B72" s="53" t="s">
        <v>371</v>
      </c>
      <c r="F72" s="41">
        <v>20</v>
      </c>
      <c r="G72" s="37"/>
    </row>
    <row r="73" spans="1:7">
      <c r="B73" s="53" t="s">
        <v>372</v>
      </c>
      <c r="F73" s="41">
        <f>+F72*F67</f>
        <v>1190000</v>
      </c>
      <c r="G73" s="37"/>
    </row>
    <row r="74" spans="1:7">
      <c r="B74" s="53" t="s">
        <v>373</v>
      </c>
      <c r="F74" s="41">
        <f>F73+F64</f>
        <v>1410000</v>
      </c>
      <c r="G74" s="37"/>
    </row>
    <row r="75" spans="1:7">
      <c r="B75" s="53" t="s">
        <v>374</v>
      </c>
      <c r="F75" s="41">
        <f>F74*0.2</f>
        <v>282000</v>
      </c>
      <c r="G75" s="37"/>
    </row>
    <row r="76" spans="1:7">
      <c r="B76" s="57" t="s">
        <v>375</v>
      </c>
      <c r="C76" s="35"/>
      <c r="D76" s="35"/>
      <c r="E76" s="35"/>
      <c r="F76" s="43">
        <f>F75+F74</f>
        <v>1692000</v>
      </c>
      <c r="G76" s="37"/>
    </row>
    <row r="77" spans="1:7">
      <c r="F77" s="37"/>
      <c r="G77" s="37"/>
    </row>
    <row r="79" spans="1:7">
      <c r="A79" t="s">
        <v>380</v>
      </c>
      <c r="B79" t="s">
        <v>376</v>
      </c>
    </row>
    <row r="81" spans="1:3">
      <c r="B81" t="s">
        <v>377</v>
      </c>
      <c r="C81">
        <v>560</v>
      </c>
    </row>
    <row r="82" spans="1:3">
      <c r="B82" t="s">
        <v>378</v>
      </c>
      <c r="C82">
        <f>C81/20</f>
        <v>28</v>
      </c>
    </row>
    <row r="83" spans="1:3">
      <c r="B83" t="s">
        <v>379</v>
      </c>
      <c r="C83" s="43">
        <f>F76*C82</f>
        <v>47376000</v>
      </c>
    </row>
    <row r="85" spans="1:3">
      <c r="A85" t="s">
        <v>382</v>
      </c>
      <c r="B85" t="s">
        <v>377</v>
      </c>
      <c r="C85">
        <f>C41*0.08</f>
        <v>52</v>
      </c>
    </row>
    <row r="86" spans="1:3">
      <c r="B86" t="s">
        <v>378</v>
      </c>
      <c r="C86">
        <v>2</v>
      </c>
    </row>
    <row r="87" spans="1:3">
      <c r="B87" t="s">
        <v>379</v>
      </c>
      <c r="C87" s="43">
        <f>C85*F41</f>
        <v>1217632</v>
      </c>
    </row>
    <row r="89" spans="1:3">
      <c r="A89" t="s">
        <v>392</v>
      </c>
      <c r="B89" t="s">
        <v>377</v>
      </c>
      <c r="C89" s="60">
        <f>2183*0.25</f>
        <v>545.75</v>
      </c>
    </row>
    <row r="90" spans="1:3">
      <c r="B90" t="s">
        <v>378</v>
      </c>
      <c r="C90" s="60">
        <f>C89/20</f>
        <v>27.287500000000001</v>
      </c>
    </row>
    <row r="91" spans="1:3">
      <c r="B91" t="s">
        <v>379</v>
      </c>
      <c r="C91" s="43">
        <f>C89*F41</f>
        <v>12779282</v>
      </c>
    </row>
    <row r="92" spans="1:3">
      <c r="C92" s="75"/>
    </row>
    <row r="93" spans="1:3">
      <c r="A93" t="s">
        <v>431</v>
      </c>
      <c r="B93" t="s">
        <v>432</v>
      </c>
      <c r="C93" s="75">
        <f>40*3</f>
        <v>120</v>
      </c>
    </row>
    <row r="94" spans="1:3">
      <c r="B94" t="s">
        <v>433</v>
      </c>
      <c r="C94" s="75">
        <v>10000</v>
      </c>
    </row>
    <row r="95" spans="1:3">
      <c r="B95" t="s">
        <v>434</v>
      </c>
      <c r="C95" s="75">
        <f>C93*C94</f>
        <v>1200000</v>
      </c>
    </row>
    <row r="96" spans="1:3">
      <c r="C96" s="75"/>
    </row>
    <row r="98" spans="1:3">
      <c r="A98">
        <v>7.1</v>
      </c>
      <c r="B98" t="s">
        <v>377</v>
      </c>
      <c r="C98" s="60">
        <f>15400*0.1</f>
        <v>1540</v>
      </c>
    </row>
    <row r="99" spans="1:3">
      <c r="B99" t="s">
        <v>378</v>
      </c>
      <c r="C99" s="60">
        <f>C98/30</f>
        <v>51.333333333333336</v>
      </c>
    </row>
    <row r="100" spans="1:3">
      <c r="B100" t="s">
        <v>379</v>
      </c>
      <c r="C100" s="43">
        <f>C98*F41</f>
        <v>36060640</v>
      </c>
    </row>
    <row r="104" spans="1:3">
      <c r="A104">
        <v>7.2</v>
      </c>
      <c r="B104" t="s">
        <v>377</v>
      </c>
      <c r="C104" s="60">
        <f>C41*0.23</f>
        <v>149.5</v>
      </c>
    </row>
    <row r="105" spans="1:3">
      <c r="B105" t="s">
        <v>378</v>
      </c>
      <c r="C105">
        <v>8</v>
      </c>
    </row>
    <row r="106" spans="1:3">
      <c r="B106" t="s">
        <v>379</v>
      </c>
      <c r="C106" s="43">
        <f>F41*C104</f>
        <v>3500692</v>
      </c>
    </row>
    <row r="109" spans="1:3">
      <c r="A109">
        <v>7.5</v>
      </c>
      <c r="B109" t="s">
        <v>377</v>
      </c>
      <c r="C109" s="60">
        <f>60*0.9</f>
        <v>54</v>
      </c>
    </row>
    <row r="110" spans="1:3">
      <c r="B110" t="s">
        <v>378</v>
      </c>
      <c r="C110">
        <v>3</v>
      </c>
    </row>
    <row r="111" spans="1:3">
      <c r="B111" t="s">
        <v>379</v>
      </c>
      <c r="C111" s="43">
        <f>F76*C110</f>
        <v>5076000</v>
      </c>
    </row>
    <row r="112" spans="1:3">
      <c r="C112" s="75"/>
    </row>
    <row r="113" spans="1:3">
      <c r="A113">
        <v>7.7</v>
      </c>
      <c r="B113" t="s">
        <v>377</v>
      </c>
      <c r="C113" s="60">
        <v>10</v>
      </c>
    </row>
    <row r="114" spans="1:3">
      <c r="B114" t="s">
        <v>378</v>
      </c>
      <c r="C114">
        <v>1</v>
      </c>
    </row>
    <row r="115" spans="1:3">
      <c r="B115" t="s">
        <v>379</v>
      </c>
      <c r="C115" s="43">
        <f>C113*F39</f>
        <v>1310460</v>
      </c>
    </row>
    <row r="116" spans="1:3">
      <c r="C116" s="75"/>
    </row>
    <row r="117" spans="1:3">
      <c r="C117" s="75"/>
    </row>
    <row r="118" spans="1:3">
      <c r="C118" s="75"/>
    </row>
    <row r="119" spans="1:3">
      <c r="C119" s="75"/>
    </row>
    <row r="121" spans="1:3">
      <c r="A121">
        <v>15</v>
      </c>
    </row>
    <row r="122" spans="1:3">
      <c r="B122" t="s">
        <v>394</v>
      </c>
      <c r="C122">
        <v>25</v>
      </c>
    </row>
    <row r="123" spans="1:3">
      <c r="B123" t="s">
        <v>513</v>
      </c>
      <c r="C123">
        <f>20</f>
        <v>20</v>
      </c>
    </row>
    <row r="124" spans="1:3">
      <c r="B124" t="s">
        <v>395</v>
      </c>
      <c r="C124" s="37">
        <v>150000</v>
      </c>
    </row>
    <row r="125" spans="1:3">
      <c r="B125" t="s">
        <v>434</v>
      </c>
      <c r="C125" s="43">
        <f>C124*C123*C122</f>
        <v>75000000</v>
      </c>
    </row>
    <row r="126" spans="1:3">
      <c r="C126" s="75"/>
    </row>
    <row r="128" spans="1:3">
      <c r="A128">
        <v>25.1</v>
      </c>
      <c r="B128" t="s">
        <v>377</v>
      </c>
      <c r="C128" s="60">
        <f>15400*0.21</f>
        <v>3234</v>
      </c>
    </row>
    <row r="129" spans="1:3">
      <c r="B129" t="s">
        <v>378</v>
      </c>
      <c r="C129" s="60">
        <f>C128/30</f>
        <v>107.8</v>
      </c>
    </row>
    <row r="130" spans="1:3">
      <c r="B130" t="s">
        <v>447</v>
      </c>
      <c r="C130" s="43">
        <f>C128*F41</f>
        <v>75727344</v>
      </c>
    </row>
    <row r="133" spans="1:3">
      <c r="A133">
        <v>25.2</v>
      </c>
      <c r="B133" t="s">
        <v>377</v>
      </c>
      <c r="C133" s="60">
        <f>1300*0.35</f>
        <v>454.99999999999994</v>
      </c>
    </row>
    <row r="134" spans="1:3">
      <c r="B134" t="s">
        <v>378</v>
      </c>
      <c r="C134" s="60">
        <f>C133/25</f>
        <v>18.2</v>
      </c>
    </row>
    <row r="135" spans="1:3">
      <c r="B135" t="s">
        <v>447</v>
      </c>
      <c r="C135" s="43">
        <f>C133*F41</f>
        <v>10654279.999999998</v>
      </c>
    </row>
    <row r="138" spans="1:3">
      <c r="A138">
        <v>25.3</v>
      </c>
      <c r="B138" t="s">
        <v>377</v>
      </c>
      <c r="C138" s="60">
        <f>C41*0.51</f>
        <v>331.5</v>
      </c>
    </row>
    <row r="139" spans="1:3">
      <c r="B139" t="s">
        <v>378</v>
      </c>
      <c r="C139" s="60">
        <f>C138/20</f>
        <v>16.574999999999999</v>
      </c>
    </row>
    <row r="140" spans="1:3">
      <c r="B140" t="s">
        <v>447</v>
      </c>
      <c r="C140" s="43">
        <f>C138*F41</f>
        <v>7762404</v>
      </c>
    </row>
    <row r="142" spans="1:3">
      <c r="A142">
        <v>25.5</v>
      </c>
      <c r="B142" t="s">
        <v>377</v>
      </c>
      <c r="C142" s="60">
        <f>239*0.2</f>
        <v>47.800000000000004</v>
      </c>
    </row>
    <row r="143" spans="1:3">
      <c r="B143" t="s">
        <v>378</v>
      </c>
      <c r="C143" s="60">
        <f>C142/20</f>
        <v>2.39</v>
      </c>
    </row>
    <row r="144" spans="1:3">
      <c r="B144" t="s">
        <v>447</v>
      </c>
      <c r="C144" s="43">
        <f>C142*F44</f>
        <v>2764178.4000000004</v>
      </c>
    </row>
    <row r="146" spans="1:4">
      <c r="A146">
        <v>25.7</v>
      </c>
      <c r="B146" t="s">
        <v>377</v>
      </c>
      <c r="C146" s="60">
        <f>300*0.5</f>
        <v>150</v>
      </c>
    </row>
    <row r="147" spans="1:4">
      <c r="B147" t="s">
        <v>378</v>
      </c>
      <c r="C147" s="60">
        <f>C146/20</f>
        <v>7.5</v>
      </c>
    </row>
    <row r="148" spans="1:4">
      <c r="B148" t="s">
        <v>447</v>
      </c>
      <c r="C148" s="43">
        <f>F76*C147</f>
        <v>12690000</v>
      </c>
    </row>
    <row r="150" spans="1:4">
      <c r="A150">
        <v>25.8</v>
      </c>
      <c r="B150" t="s">
        <v>377</v>
      </c>
      <c r="C150" s="60">
        <f>2183*0.25</f>
        <v>545.75</v>
      </c>
    </row>
    <row r="151" spans="1:4">
      <c r="B151" t="s">
        <v>378</v>
      </c>
      <c r="C151" s="60">
        <f>C150/20</f>
        <v>27.287500000000001</v>
      </c>
    </row>
    <row r="152" spans="1:4">
      <c r="B152" t="s">
        <v>447</v>
      </c>
      <c r="C152" s="43">
        <f>C150*F41</f>
        <v>12779282</v>
      </c>
      <c r="D152" s="43"/>
    </row>
    <row r="154" spans="1:4">
      <c r="A154">
        <v>26.8</v>
      </c>
      <c r="B154" t="s">
        <v>377</v>
      </c>
      <c r="C154" s="60">
        <f>171*0.25</f>
        <v>42.75</v>
      </c>
    </row>
    <row r="155" spans="1:4">
      <c r="B155" t="s">
        <v>378</v>
      </c>
      <c r="C155" s="60">
        <f>C154/20</f>
        <v>2.1375000000000002</v>
      </c>
    </row>
    <row r="156" spans="1:4">
      <c r="B156" t="s">
        <v>447</v>
      </c>
      <c r="C156" s="43">
        <f>C154*F41</f>
        <v>1001034</v>
      </c>
    </row>
    <row r="158" spans="1:4">
      <c r="A158">
        <v>25.3</v>
      </c>
      <c r="B158" t="s">
        <v>377</v>
      </c>
      <c r="C158" s="60">
        <f>C42*0.11</f>
        <v>3.52</v>
      </c>
    </row>
    <row r="159" spans="1:4">
      <c r="B159" t="s">
        <v>378</v>
      </c>
      <c r="C159" s="60">
        <v>1</v>
      </c>
    </row>
    <row r="160" spans="1:4">
      <c r="B160" t="s">
        <v>447</v>
      </c>
      <c r="C160" s="43">
        <f>C158*F41</f>
        <v>82424.320000000007</v>
      </c>
    </row>
    <row r="162" spans="1:3">
      <c r="A162" t="s">
        <v>463</v>
      </c>
      <c r="B162" t="s">
        <v>377</v>
      </c>
      <c r="C162" s="60">
        <v>90</v>
      </c>
    </row>
    <row r="163" spans="1:3">
      <c r="B163" t="s">
        <v>378</v>
      </c>
      <c r="C163" s="60">
        <f>C162/30</f>
        <v>3</v>
      </c>
    </row>
    <row r="164" spans="1:3">
      <c r="B164" t="s">
        <v>447</v>
      </c>
      <c r="C164" s="43">
        <f>C162*F37</f>
        <v>0</v>
      </c>
    </row>
    <row r="166" spans="1:3">
      <c r="A166">
        <v>40.1</v>
      </c>
      <c r="B166" t="s">
        <v>377</v>
      </c>
      <c r="C166" s="60">
        <f>15400*0.14</f>
        <v>2156</v>
      </c>
    </row>
    <row r="167" spans="1:3">
      <c r="B167" t="s">
        <v>378</v>
      </c>
      <c r="C167" s="60">
        <f>C166/30</f>
        <v>71.86666666666666</v>
      </c>
    </row>
    <row r="168" spans="1:3">
      <c r="B168" t="s">
        <v>447</v>
      </c>
      <c r="C168" s="43">
        <f>C166*F41</f>
        <v>50484896</v>
      </c>
    </row>
    <row r="170" spans="1:3">
      <c r="A170">
        <v>40.200000000000003</v>
      </c>
      <c r="B170" t="s">
        <v>377</v>
      </c>
      <c r="C170" s="60">
        <f>C41*0.8</f>
        <v>520</v>
      </c>
    </row>
    <row r="171" spans="1:3">
      <c r="B171" t="s">
        <v>378</v>
      </c>
      <c r="C171" s="60">
        <f>C170/30</f>
        <v>17.333333333333332</v>
      </c>
    </row>
    <row r="172" spans="1:3">
      <c r="B172" t="s">
        <v>447</v>
      </c>
      <c r="C172" s="43">
        <f>C170*F41</f>
        <v>12176320</v>
      </c>
    </row>
    <row r="174" spans="1:3">
      <c r="A174">
        <v>56</v>
      </c>
      <c r="B174" t="s">
        <v>377</v>
      </c>
      <c r="C174" s="60">
        <f>D46*0.24</f>
        <v>3696</v>
      </c>
    </row>
    <row r="175" spans="1:3">
      <c r="B175" t="s">
        <v>378</v>
      </c>
      <c r="C175" s="60">
        <f>C174/30</f>
        <v>123.2</v>
      </c>
    </row>
    <row r="176" spans="1:3">
      <c r="B176" t="s">
        <v>447</v>
      </c>
      <c r="C176" s="43">
        <f>C174*F41</f>
        <v>86545536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Cost details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belagevorgyan@yahoo.com</cp:lastModifiedBy>
  <dcterms:created xsi:type="dcterms:W3CDTF">2019-11-12T17:56:15Z</dcterms:created>
  <dcterms:modified xsi:type="dcterms:W3CDTF">2019-12-25T07:06:03Z</dcterms:modified>
</cp:coreProperties>
</file>