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Desktop\CAPITAL\2026\GOV DECREES\Mngoneri norogum\"/>
    </mc:Choice>
  </mc:AlternateContent>
  <xr:revisionPtr revIDLastSave="0" documentId="13_ncr:1_{ED6F5B87-2337-4F5F-8B7B-EE6F63D55F34}" xr6:coauthVersionLast="45" xr6:coauthVersionMax="47" xr10:uidLastSave="{00000000-0000-0000-0000-000000000000}"/>
  <bookViews>
    <workbookView xWindow="-108" yWindow="-108" windowWidth="20376" windowHeight="12216" tabRatio="927" activeTab="1" xr2:uid="{00000000-000D-0000-FFFF-FFFF00000000}"/>
  </bookViews>
  <sheets>
    <sheet name="Հավելված N 1 " sheetId="82" r:id="rId1"/>
    <sheet name="Հավելված N 2" sheetId="65" r:id="rId2"/>
    <sheet name="Հավելված N 3" sheetId="32" r:id="rId3"/>
    <sheet name="Հավելված N 4" sheetId="81" r:id="rId4"/>
    <sheet name="Հավելված N 5" sheetId="79" r:id="rId5"/>
    <sheet name="Հավելված N 6" sheetId="85" r:id="rId6"/>
    <sheet name="Հավելված N 7" sheetId="73" r:id="rId7"/>
    <sheet name="Հավելված N 8" sheetId="83" r:id="rId8"/>
    <sheet name="Հավելված N 9" sheetId="80" r:id="rId9"/>
  </sheets>
  <definedNames>
    <definedName name="a" localSheetId="0">#REF!</definedName>
    <definedName name="a" localSheetId="1">#REF!</definedName>
    <definedName name="a" localSheetId="4">#REF!</definedName>
    <definedName name="a" localSheetId="5">#REF!</definedName>
    <definedName name="a" localSheetId="8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0">#REF!</definedName>
    <definedName name="AgencyName" localSheetId="2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>#REF!</definedName>
    <definedName name="BOP">#REF!</definedName>
    <definedName name="BOPfoot">#REF!</definedName>
    <definedName name="davit" localSheetId="0">#REF!</definedName>
    <definedName name="davit" localSheetId="4">#REF!</definedName>
    <definedName name="davit" localSheetId="5">#REF!</definedName>
    <definedName name="davit">#REF!</definedName>
    <definedName name="DebtCG">#REF!</definedName>
    <definedName name="DebtGG">#REF!</definedName>
    <definedName name="Functional1" localSheetId="0">#REF!</definedName>
    <definedName name="Functional1" localSheetId="2">#REF!</definedName>
    <definedName name="Functional1" localSheetId="4">#REF!</definedName>
    <definedName name="Functional1" localSheetId="5">#REF!</definedName>
    <definedName name="Functional1">#REF!</definedName>
    <definedName name="ggg" localSheetId="0">#REF!</definedName>
    <definedName name="ggg" localSheetId="4">#REF!</definedName>
    <definedName name="ggg" localSheetId="5">#REF!</definedName>
    <definedName name="ggg">#REF!</definedName>
    <definedName name="hav">#REF!</definedName>
    <definedName name="mas" localSheetId="4">#REF!</definedName>
    <definedName name="mas">#REF!</definedName>
    <definedName name="mass" localSheetId="4">#REF!</definedName>
    <definedName name="mass">#REF!</definedName>
    <definedName name="MonExo">#REF!</definedName>
    <definedName name="MonGrow">#REF!</definedName>
    <definedName name="PANature" localSheetId="0">#REF!</definedName>
    <definedName name="PANature" localSheetId="2">#REF!</definedName>
    <definedName name="PANature" localSheetId="4">#REF!</definedName>
    <definedName name="PANature" localSheetId="5">#REF!</definedName>
    <definedName name="PANature">#REF!</definedName>
    <definedName name="PAType" localSheetId="0">#REF!</definedName>
    <definedName name="PAType" localSheetId="2">#REF!</definedName>
    <definedName name="PAType" localSheetId="4">#REF!</definedName>
    <definedName name="PAType" localSheetId="5">#REF!</definedName>
    <definedName name="PAType">#REF!</definedName>
    <definedName name="Performance2" localSheetId="0">#REF!</definedName>
    <definedName name="Performance2" localSheetId="2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4">#REF!</definedName>
    <definedName name="PerformanceType" localSheetId="5">#REF!</definedName>
    <definedName name="PerformanceType">#REF!</definedName>
    <definedName name="RealExo">#REF!</definedName>
    <definedName name="RealPercent">#REF!</definedName>
    <definedName name="Table_2._Turkey__Exogenous_assumptions">#REF!</definedName>
    <definedName name="vlom">#REF!</definedName>
    <definedName name="x" localSheetId="4">#REF!</definedName>
    <definedName name="x" localSheetId="8">#REF!</definedName>
    <definedName name="x">#REF!</definedName>
    <definedName name="Z_248BE2BA_E445_11D3_BFE0_00003960F508_.wvu.Cols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>#REF!</definedName>
    <definedName name="Հավելված10" localSheetId="4">#REF!</definedName>
    <definedName name="Հավելված10" localSheetId="5">#REF!</definedName>
    <definedName name="Հավելված10">#REF!</definedName>
    <definedName name="Հավելված11" localSheetId="4">#REF!</definedName>
    <definedName name="Հավելված11" localSheetId="5">#REF!</definedName>
    <definedName name="Հավելված11">#REF!</definedName>
    <definedName name="Հավելված20" localSheetId="4">#REF!</definedName>
    <definedName name="Հավելված20" localSheetId="5">#REF!</definedName>
    <definedName name="Հավելված20">#REF!</definedName>
    <definedName name="Հավելված9" localSheetId="4">#REF!</definedName>
    <definedName name="Հավելված9" localSheetId="5">#REF!</definedName>
    <definedName name="Հավելված9">#REF!</definedName>
    <definedName name="Մաս" localSheetId="0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4">#REF!</definedName>
    <definedName name="շախմատիստ" localSheetId="5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80" i="79" l="1"/>
  <c r="D81" i="79"/>
  <c r="I100" i="32" l="1"/>
  <c r="G100" i="32"/>
  <c r="E19" i="81"/>
  <c r="F24" i="79" l="1"/>
  <c r="E24" i="79"/>
  <c r="F100" i="79"/>
  <c r="G100" i="79"/>
  <c r="E100" i="79"/>
  <c r="I13" i="80"/>
  <c r="I25" i="80"/>
  <c r="I20" i="80"/>
  <c r="I14" i="80"/>
  <c r="K24" i="83"/>
  <c r="L24" i="83"/>
  <c r="J24" i="83"/>
  <c r="K39" i="83"/>
  <c r="L39" i="83"/>
  <c r="J39" i="83"/>
  <c r="K25" i="83"/>
  <c r="L25" i="83"/>
  <c r="J25" i="83"/>
  <c r="K25" i="73"/>
  <c r="J25" i="73"/>
  <c r="K26" i="73"/>
  <c r="L26" i="73"/>
  <c r="J26" i="73"/>
  <c r="H20" i="65"/>
  <c r="G20" i="65"/>
  <c r="H21" i="65"/>
  <c r="I21" i="65"/>
  <c r="G21" i="65"/>
  <c r="G164" i="32" l="1"/>
  <c r="G184" i="32" l="1"/>
  <c r="H184" i="32"/>
  <c r="I184" i="32"/>
  <c r="H188" i="32"/>
  <c r="I188" i="32"/>
  <c r="G188" i="32"/>
  <c r="H192" i="32"/>
  <c r="H191" i="32" s="1"/>
  <c r="H190" i="32" s="1"/>
  <c r="H189" i="32" s="1"/>
  <c r="I192" i="32"/>
  <c r="I191" i="32" s="1"/>
  <c r="I190" i="32" s="1"/>
  <c r="I189" i="32" s="1"/>
  <c r="G192" i="32"/>
  <c r="G191" i="32" s="1"/>
  <c r="G190" i="32" s="1"/>
  <c r="G189" i="32" s="1"/>
  <c r="E107" i="79"/>
  <c r="H186" i="32" l="1"/>
  <c r="I186" i="32"/>
  <c r="G186" i="32"/>
  <c r="F104" i="79" l="1"/>
  <c r="F102" i="79" s="1"/>
  <c r="G104" i="79"/>
  <c r="G102" i="79" s="1"/>
  <c r="E102" i="79"/>
  <c r="G107" i="79"/>
  <c r="F68" i="81"/>
  <c r="I174" i="32"/>
  <c r="I173" i="32" s="1"/>
  <c r="I172" i="32" s="1"/>
  <c r="I171" i="32" s="1"/>
  <c r="I170" i="32" s="1"/>
  <c r="I168" i="32" s="1"/>
  <c r="I166" i="32" s="1"/>
  <c r="G173" i="32"/>
  <c r="G172" i="32" s="1"/>
  <c r="G171" i="32" s="1"/>
  <c r="G170" i="32" s="1"/>
  <c r="G168" i="32" s="1"/>
  <c r="G166" i="32" s="1"/>
  <c r="I28" i="80"/>
  <c r="I27" i="80" s="1"/>
  <c r="I26" i="80" s="1"/>
  <c r="H174" i="32" l="1"/>
  <c r="H173" i="32" s="1"/>
  <c r="H172" i="32" s="1"/>
  <c r="H171" i="32" s="1"/>
  <c r="H170" i="32" s="1"/>
  <c r="H168" i="32" s="1"/>
  <c r="H166" i="32" s="1"/>
  <c r="I41" i="32" l="1"/>
  <c r="I40" i="32" s="1"/>
  <c r="I39" i="32" s="1"/>
  <c r="I38" i="32" s="1"/>
  <c r="I37" i="32" s="1"/>
  <c r="I35" i="32" s="1"/>
  <c r="L46" i="83" s="1"/>
  <c r="L45" i="83" s="1"/>
  <c r="G34" i="32"/>
  <c r="G33" i="32" s="1"/>
  <c r="G32" i="32" s="1"/>
  <c r="G31" i="32" s="1"/>
  <c r="G30" i="32" s="1"/>
  <c r="G28" i="32" s="1"/>
  <c r="J15" i="83" s="1"/>
  <c r="J14" i="83" s="1"/>
  <c r="E13" i="79"/>
  <c r="G15" i="79"/>
  <c r="G13" i="79" s="1"/>
  <c r="E15" i="79"/>
  <c r="H13" i="81"/>
  <c r="H15" i="81"/>
  <c r="D15" i="81" s="1"/>
  <c r="I30" i="80"/>
  <c r="I31" i="80"/>
  <c r="I32" i="80"/>
  <c r="I33" i="80"/>
  <c r="I34" i="80"/>
  <c r="I16" i="80"/>
  <c r="I18" i="80"/>
  <c r="I19" i="80"/>
  <c r="I17" i="80"/>
  <c r="G15" i="81"/>
  <c r="F15" i="81"/>
  <c r="E15" i="81"/>
  <c r="I34" i="32" l="1"/>
  <c r="I33" i="32" s="1"/>
  <c r="I32" i="32" s="1"/>
  <c r="I31" i="32" s="1"/>
  <c r="I30" i="32" s="1"/>
  <c r="I28" i="32" s="1"/>
  <c r="L15" i="83" s="1"/>
  <c r="L14" i="83" s="1"/>
  <c r="H41" i="32"/>
  <c r="H40" i="32" s="1"/>
  <c r="H39" i="32" s="1"/>
  <c r="H38" i="32" s="1"/>
  <c r="H37" i="32" s="1"/>
  <c r="H35" i="32" s="1"/>
  <c r="K46" i="83" s="1"/>
  <c r="K45" i="83" s="1"/>
  <c r="G41" i="32"/>
  <c r="G40" i="32" s="1"/>
  <c r="G39" i="32" s="1"/>
  <c r="G38" i="32" s="1"/>
  <c r="G37" i="32" s="1"/>
  <c r="G35" i="32" s="1"/>
  <c r="F15" i="79"/>
  <c r="I26" i="32"/>
  <c r="I15" i="80"/>
  <c r="I17" i="65" l="1"/>
  <c r="I24" i="32"/>
  <c r="F13" i="79"/>
  <c r="H34" i="32"/>
  <c r="H33" i="32" s="1"/>
  <c r="H32" i="32" s="1"/>
  <c r="H31" i="32" s="1"/>
  <c r="H30" i="32" s="1"/>
  <c r="H28" i="32" s="1"/>
  <c r="J46" i="83"/>
  <c r="J45" i="83" s="1"/>
  <c r="G26" i="32"/>
  <c r="F107" i="79"/>
  <c r="I199" i="32"/>
  <c r="H199" i="32" s="1"/>
  <c r="H198" i="32" s="1"/>
  <c r="H197" i="32" s="1"/>
  <c r="H196" i="32" s="1"/>
  <c r="I38" i="80"/>
  <c r="I37" i="80" s="1"/>
  <c r="I36" i="80" s="1"/>
  <c r="I35" i="80" s="1"/>
  <c r="G17" i="65" l="1"/>
  <c r="G24" i="32"/>
  <c r="G22" i="32" s="1"/>
  <c r="G20" i="32" s="1"/>
  <c r="K15" i="83"/>
  <c r="K14" i="83" s="1"/>
  <c r="H26" i="32"/>
  <c r="L15" i="73"/>
  <c r="L14" i="73" s="1"/>
  <c r="I16" i="65"/>
  <c r="I198" i="32"/>
  <c r="I197" i="32" s="1"/>
  <c r="I196" i="32" s="1"/>
  <c r="G199" i="32"/>
  <c r="G198" i="32" s="1"/>
  <c r="G197" i="32" s="1"/>
  <c r="G196" i="32" s="1"/>
  <c r="L43" i="73"/>
  <c r="J43" i="73"/>
  <c r="L42" i="73"/>
  <c r="J42" i="73"/>
  <c r="H17" i="65" l="1"/>
  <c r="H24" i="32"/>
  <c r="G16" i="65"/>
  <c r="J15" i="73"/>
  <c r="J14" i="73" s="1"/>
  <c r="I74" i="80"/>
  <c r="I73" i="80" s="1"/>
  <c r="K15" i="73" l="1"/>
  <c r="K14" i="73" s="1"/>
  <c r="H16" i="65"/>
  <c r="I104" i="32"/>
  <c r="I72" i="80"/>
  <c r="I71" i="80" s="1"/>
  <c r="I70" i="80" s="1"/>
  <c r="I103" i="32" l="1"/>
  <c r="I102" i="32" s="1"/>
  <c r="I101" i="32" s="1"/>
  <c r="G104" i="32"/>
  <c r="G103" i="32" s="1"/>
  <c r="G102" i="32" s="1"/>
  <c r="G101" i="32" s="1"/>
  <c r="H104" i="32"/>
  <c r="H103" i="32" s="1"/>
  <c r="H102" i="32" s="1"/>
  <c r="H101" i="32" s="1"/>
  <c r="D30" i="79" l="1"/>
  <c r="H39" i="81"/>
  <c r="E39" i="81"/>
  <c r="I24" i="80"/>
  <c r="I23" i="80" l="1"/>
  <c r="G43" i="81" l="1"/>
  <c r="I22" i="80"/>
  <c r="I21" i="80" s="1"/>
  <c r="D43" i="81" l="1"/>
  <c r="G30" i="79" s="1"/>
  <c r="G39" i="81"/>
  <c r="F30" i="79" l="1"/>
  <c r="F29" i="79" s="1"/>
  <c r="E30" i="79"/>
  <c r="E29" i="79" s="1"/>
  <c r="E27" i="79" s="1"/>
  <c r="G76" i="32" s="1"/>
  <c r="G75" i="32" s="1"/>
  <c r="G74" i="32" s="1"/>
  <c r="G73" i="32" s="1"/>
  <c r="G72" i="32" s="1"/>
  <c r="G70" i="32" s="1"/>
  <c r="J34" i="83" s="1"/>
  <c r="G29" i="79"/>
  <c r="F26" i="79" l="1"/>
  <c r="E26" i="79"/>
  <c r="F28" i="85" l="1"/>
  <c r="D28" i="85" s="1"/>
  <c r="G220" i="32" s="1"/>
  <c r="G219" i="32" s="1"/>
  <c r="G218" i="32" s="1"/>
  <c r="G217" i="32" s="1"/>
  <c r="G216" i="32" s="1"/>
  <c r="G214" i="32" s="1"/>
  <c r="J28" i="85"/>
  <c r="I220" i="32" s="1"/>
  <c r="I219" i="32" s="1"/>
  <c r="I218" i="32" s="1"/>
  <c r="I217" i="32" s="1"/>
  <c r="I216" i="32" s="1"/>
  <c r="I214" i="32" s="1"/>
  <c r="I28" i="85"/>
  <c r="G28" i="85" s="1"/>
  <c r="H220" i="32" s="1"/>
  <c r="H219" i="32" s="1"/>
  <c r="H218" i="32" s="1"/>
  <c r="H217" i="32" s="1"/>
  <c r="H216" i="32" s="1"/>
  <c r="H214" i="32" s="1"/>
  <c r="L27" i="85"/>
  <c r="K27" i="85"/>
  <c r="K26" i="85" s="1"/>
  <c r="K25" i="85" s="1"/>
  <c r="K24" i="85" s="1"/>
  <c r="K22" i="85" s="1"/>
  <c r="K20" i="85" s="1"/>
  <c r="K18" i="85" s="1"/>
  <c r="K16" i="85" s="1"/>
  <c r="H27" i="85"/>
  <c r="H26" i="85" s="1"/>
  <c r="H25" i="85" s="1"/>
  <c r="H24" i="85" s="1"/>
  <c r="H22" i="85" s="1"/>
  <c r="H20" i="85" s="1"/>
  <c r="E27" i="85"/>
  <c r="E26" i="85" s="1"/>
  <c r="E25" i="85" s="1"/>
  <c r="E24" i="85" s="1"/>
  <c r="E22" i="85" s="1"/>
  <c r="E20" i="85" s="1"/>
  <c r="E18" i="85" s="1"/>
  <c r="E16" i="85" s="1"/>
  <c r="E15" i="85" s="1"/>
  <c r="E13" i="85" s="1"/>
  <c r="K20" i="83" l="1"/>
  <c r="K19" i="83" s="1"/>
  <c r="H212" i="32"/>
  <c r="G212" i="32"/>
  <c r="J20" i="83"/>
  <c r="J19" i="83" s="1"/>
  <c r="L20" i="83"/>
  <c r="L19" i="83" s="1"/>
  <c r="I212" i="32"/>
  <c r="J27" i="85"/>
  <c r="H18" i="85"/>
  <c r="I27" i="85"/>
  <c r="L26" i="85"/>
  <c r="F27" i="85"/>
  <c r="K15" i="85"/>
  <c r="I210" i="32" l="1"/>
  <c r="I208" i="32" s="1"/>
  <c r="I206" i="32" s="1"/>
  <c r="I204" i="32" s="1"/>
  <c r="I19" i="65"/>
  <c r="G19" i="65"/>
  <c r="G210" i="32"/>
  <c r="G208" i="32" s="1"/>
  <c r="G206" i="32" s="1"/>
  <c r="G204" i="32" s="1"/>
  <c r="H210" i="32"/>
  <c r="H208" i="32" s="1"/>
  <c r="H206" i="32" s="1"/>
  <c r="H204" i="32" s="1"/>
  <c r="H19" i="65"/>
  <c r="H16" i="85"/>
  <c r="D27" i="85"/>
  <c r="F26" i="85"/>
  <c r="L25" i="85"/>
  <c r="J26" i="85"/>
  <c r="G27" i="85"/>
  <c r="I26" i="85"/>
  <c r="K13" i="85"/>
  <c r="H18" i="65" l="1"/>
  <c r="K21" i="73"/>
  <c r="K20" i="73" s="1"/>
  <c r="G18" i="65"/>
  <c r="J21" i="73"/>
  <c r="J20" i="73" s="1"/>
  <c r="I18" i="65"/>
  <c r="L21" i="73"/>
  <c r="L20" i="73" s="1"/>
  <c r="H15" i="85"/>
  <c r="J25" i="85"/>
  <c r="L24" i="85"/>
  <c r="I25" i="85"/>
  <c r="G26" i="85"/>
  <c r="D26" i="85"/>
  <c r="F25" i="85"/>
  <c r="J24" i="85" l="1"/>
  <c r="L22" i="85"/>
  <c r="H13" i="85"/>
  <c r="I24" i="85"/>
  <c r="G25" i="85"/>
  <c r="D25" i="85"/>
  <c r="F24" i="85"/>
  <c r="G18" i="79"/>
  <c r="I60" i="32" s="1"/>
  <c r="I59" i="32" s="1"/>
  <c r="I58" i="32" s="1"/>
  <c r="I57" i="32" s="1"/>
  <c r="I56" i="32" s="1"/>
  <c r="I54" i="32" s="1"/>
  <c r="F18" i="79"/>
  <c r="H60" i="32" s="1"/>
  <c r="H59" i="32" s="1"/>
  <c r="H58" i="32" s="1"/>
  <c r="H57" i="32" s="1"/>
  <c r="H56" i="32" s="1"/>
  <c r="H54" i="32" s="1"/>
  <c r="E18" i="79"/>
  <c r="G60" i="32" s="1"/>
  <c r="G59" i="32" s="1"/>
  <c r="G58" i="32" s="1"/>
  <c r="G57" i="32" s="1"/>
  <c r="G56" i="32" s="1"/>
  <c r="G54" i="32" s="1"/>
  <c r="F97" i="79"/>
  <c r="E97" i="79"/>
  <c r="D65" i="81"/>
  <c r="H63" i="81"/>
  <c r="G63" i="81"/>
  <c r="F63" i="81"/>
  <c r="E63" i="81"/>
  <c r="D63" i="81" l="1"/>
  <c r="G99" i="79" s="1"/>
  <c r="G97" i="79" s="1"/>
  <c r="G95" i="79" s="1"/>
  <c r="F95" i="79"/>
  <c r="H183" i="32"/>
  <c r="H182" i="32" s="1"/>
  <c r="H181" i="32" s="1"/>
  <c r="H180" i="32" s="1"/>
  <c r="H179" i="32" s="1"/>
  <c r="H177" i="32" s="1"/>
  <c r="E95" i="79"/>
  <c r="G183" i="32"/>
  <c r="G182" i="32" s="1"/>
  <c r="G181" i="32" s="1"/>
  <c r="G180" i="32" s="1"/>
  <c r="G179" i="32" s="1"/>
  <c r="G177" i="32" s="1"/>
  <c r="K29" i="83"/>
  <c r="L29" i="83"/>
  <c r="J29" i="83"/>
  <c r="D24" i="85"/>
  <c r="F22" i="85"/>
  <c r="L20" i="85"/>
  <c r="J22" i="85"/>
  <c r="G24" i="85"/>
  <c r="I22" i="85"/>
  <c r="F105" i="79"/>
  <c r="E105" i="79"/>
  <c r="E21" i="79"/>
  <c r="F21" i="79"/>
  <c r="F16" i="81"/>
  <c r="G16" i="81"/>
  <c r="H16" i="81"/>
  <c r="E16" i="81"/>
  <c r="E13" i="81" s="1"/>
  <c r="F66" i="81"/>
  <c r="G66" i="81"/>
  <c r="H66" i="81"/>
  <c r="E66" i="81"/>
  <c r="I183" i="32" l="1"/>
  <c r="I182" i="32" s="1"/>
  <c r="I181" i="32" s="1"/>
  <c r="I180" i="32" s="1"/>
  <c r="I179" i="32" s="1"/>
  <c r="I177" i="32" s="1"/>
  <c r="I175" i="32" s="1"/>
  <c r="J13" i="83"/>
  <c r="G175" i="32"/>
  <c r="J56" i="83"/>
  <c r="H175" i="32"/>
  <c r="K56" i="83"/>
  <c r="G67" i="32"/>
  <c r="G66" i="32" s="1"/>
  <c r="G65" i="32" s="1"/>
  <c r="G64" i="32" s="1"/>
  <c r="G63" i="32" s="1"/>
  <c r="G61" i="32" s="1"/>
  <c r="E16" i="79"/>
  <c r="H67" i="32"/>
  <c r="H66" i="32" s="1"/>
  <c r="H65" i="32" s="1"/>
  <c r="H64" i="32" s="1"/>
  <c r="H63" i="32" s="1"/>
  <c r="H61" i="32" s="1"/>
  <c r="F16" i="79"/>
  <c r="G203" i="32"/>
  <c r="G202" i="32" s="1"/>
  <c r="G201" i="32" s="1"/>
  <c r="G200" i="32" s="1"/>
  <c r="H203" i="32"/>
  <c r="H202" i="32" s="1"/>
  <c r="H201" i="32" s="1"/>
  <c r="H200" i="32" s="1"/>
  <c r="L18" i="85"/>
  <c r="J20" i="85"/>
  <c r="I20" i="85"/>
  <c r="G22" i="85"/>
  <c r="F20" i="85"/>
  <c r="D22" i="85"/>
  <c r="G84" i="79"/>
  <c r="L56" i="83" l="1"/>
  <c r="H195" i="32"/>
  <c r="H193" i="32" s="1"/>
  <c r="G195" i="32"/>
  <c r="G193" i="32" s="1"/>
  <c r="J52" i="83"/>
  <c r="G52" i="32"/>
  <c r="G22" i="65" s="1"/>
  <c r="J30" i="73" s="1"/>
  <c r="H24" i="65"/>
  <c r="K44" i="73" s="1"/>
  <c r="I24" i="65"/>
  <c r="L44" i="73" s="1"/>
  <c r="K52" i="83"/>
  <c r="H52" i="32"/>
  <c r="H22" i="65" s="1"/>
  <c r="K30" i="73" s="1"/>
  <c r="G24" i="65"/>
  <c r="J44" i="73" s="1"/>
  <c r="I18" i="85"/>
  <c r="G20" i="85"/>
  <c r="F18" i="85"/>
  <c r="D20" i="85"/>
  <c r="J18" i="85"/>
  <c r="L16" i="85"/>
  <c r="L41" i="73"/>
  <c r="L39" i="73"/>
  <c r="J39" i="73"/>
  <c r="L170" i="83"/>
  <c r="L160" i="83"/>
  <c r="L150" i="83"/>
  <c r="L140" i="83"/>
  <c r="L130" i="83"/>
  <c r="L120" i="83"/>
  <c r="L110" i="83"/>
  <c r="L99" i="83"/>
  <c r="L89" i="83"/>
  <c r="L79" i="83"/>
  <c r="K60" i="83" l="1"/>
  <c r="J60" i="83"/>
  <c r="J51" i="83" s="1"/>
  <c r="J44" i="83" s="1"/>
  <c r="K51" i="83"/>
  <c r="K44" i="83" s="1"/>
  <c r="L40" i="73"/>
  <c r="F16" i="85"/>
  <c r="D18" i="85"/>
  <c r="L15" i="85"/>
  <c r="J16" i="85"/>
  <c r="I16" i="85"/>
  <c r="G18" i="85"/>
  <c r="G25" i="65" l="1"/>
  <c r="J48" i="73" s="1"/>
  <c r="G162" i="32"/>
  <c r="G160" i="32" s="1"/>
  <c r="G158" i="32" s="1"/>
  <c r="H25" i="65"/>
  <c r="K48" i="73" s="1"/>
  <c r="H164" i="32"/>
  <c r="H162" i="32" s="1"/>
  <c r="H160" i="32" s="1"/>
  <c r="H158" i="32" s="1"/>
  <c r="L13" i="85"/>
  <c r="J13" i="85" s="1"/>
  <c r="F21" i="81" s="1"/>
  <c r="J15" i="85"/>
  <c r="I15" i="85"/>
  <c r="G16" i="85"/>
  <c r="D16" i="85"/>
  <c r="F15" i="85"/>
  <c r="G60" i="79"/>
  <c r="F60" i="79" s="1"/>
  <c r="E84" i="79"/>
  <c r="G49" i="79"/>
  <c r="G47" i="79" s="1"/>
  <c r="I108" i="32" s="1"/>
  <c r="I107" i="32" s="1"/>
  <c r="I106" i="32" s="1"/>
  <c r="I105" i="32" s="1"/>
  <c r="G41" i="79"/>
  <c r="F41" i="79" s="1"/>
  <c r="G135" i="80"/>
  <c r="G132" i="80"/>
  <c r="G112" i="80"/>
  <c r="G108" i="80"/>
  <c r="G144" i="80"/>
  <c r="G142" i="80"/>
  <c r="G114" i="80"/>
  <c r="G110" i="80"/>
  <c r="G102" i="80"/>
  <c r="G101" i="80"/>
  <c r="G100" i="80"/>
  <c r="G98" i="80"/>
  <c r="G97" i="80"/>
  <c r="G96" i="80"/>
  <c r="G89" i="80"/>
  <c r="G88" i="80"/>
  <c r="G87" i="80"/>
  <c r="G83" i="80"/>
  <c r="G82" i="80"/>
  <c r="G81" i="80"/>
  <c r="G67" i="80"/>
  <c r="G65" i="80"/>
  <c r="G62" i="80"/>
  <c r="G60" i="80"/>
  <c r="G51" i="80"/>
  <c r="G45" i="80"/>
  <c r="G125" i="80"/>
  <c r="G121" i="80"/>
  <c r="G160" i="80"/>
  <c r="G159" i="80"/>
  <c r="G158" i="80"/>
  <c r="G157" i="80"/>
  <c r="G156" i="80"/>
  <c r="G154" i="80"/>
  <c r="G153" i="80"/>
  <c r="G152" i="80"/>
  <c r="G151" i="80"/>
  <c r="G150" i="80"/>
  <c r="G136" i="80"/>
  <c r="G133" i="80"/>
  <c r="G126" i="80"/>
  <c r="G124" i="80"/>
  <c r="G122" i="80"/>
  <c r="G120" i="80"/>
  <c r="G113" i="80"/>
  <c r="G109" i="80"/>
  <c r="G90" i="80"/>
  <c r="G86" i="80"/>
  <c r="G84" i="80"/>
  <c r="G80" i="80"/>
  <c r="G68" i="80"/>
  <c r="G66" i="80"/>
  <c r="G63" i="80"/>
  <c r="G61" i="80"/>
  <c r="G52" i="80"/>
  <c r="G50" i="80"/>
  <c r="G46" i="80"/>
  <c r="G44" i="80"/>
  <c r="E55" i="81"/>
  <c r="G55" i="81"/>
  <c r="H55" i="81"/>
  <c r="I98" i="32" l="1"/>
  <c r="L94" i="83" s="1"/>
  <c r="L93" i="83" s="1"/>
  <c r="L92" i="83" s="1"/>
  <c r="I13" i="85"/>
  <c r="G13" i="85" s="1"/>
  <c r="G15" i="85"/>
  <c r="D15" i="85"/>
  <c r="F13" i="85"/>
  <c r="D13" i="85" s="1"/>
  <c r="E60" i="79"/>
  <c r="E41" i="79"/>
  <c r="F49" i="79"/>
  <c r="F47" i="79" s="1"/>
  <c r="H108" i="32" s="1"/>
  <c r="H107" i="32" s="1"/>
  <c r="H106" i="32" s="1"/>
  <c r="H105" i="32" s="1"/>
  <c r="E49" i="79"/>
  <c r="E47" i="79" s="1"/>
  <c r="G108" i="32" s="1"/>
  <c r="G107" i="32" s="1"/>
  <c r="G106" i="32" s="1"/>
  <c r="G105" i="32" s="1"/>
  <c r="F84" i="79"/>
  <c r="D94" i="79"/>
  <c r="D93" i="79"/>
  <c r="D92" i="79"/>
  <c r="D91" i="79"/>
  <c r="D90" i="79"/>
  <c r="E57" i="81"/>
  <c r="G57" i="81"/>
  <c r="H57" i="81"/>
  <c r="I160" i="80"/>
  <c r="I154" i="80"/>
  <c r="I159" i="80"/>
  <c r="I158" i="80"/>
  <c r="I157" i="80"/>
  <c r="I156" i="80"/>
  <c r="I153" i="80"/>
  <c r="I152" i="80"/>
  <c r="I151" i="80"/>
  <c r="I150" i="80"/>
  <c r="G98" i="32" l="1"/>
  <c r="J94" i="83" s="1"/>
  <c r="J93" i="83" s="1"/>
  <c r="J92" i="83" s="1"/>
  <c r="H100" i="32"/>
  <c r="H98" i="32" s="1"/>
  <c r="K94" i="83" s="1"/>
  <c r="K93" i="83" s="1"/>
  <c r="K92" i="83" s="1"/>
  <c r="G83" i="32"/>
  <c r="G82" i="32" s="1"/>
  <c r="G81" i="32" s="1"/>
  <c r="G80" i="32" s="1"/>
  <c r="G79" i="32" s="1"/>
  <c r="G77" i="32" s="1"/>
  <c r="H83" i="32"/>
  <c r="H82" i="32" s="1"/>
  <c r="H81" i="32" s="1"/>
  <c r="H80" i="32" s="1"/>
  <c r="H79" i="32" s="1"/>
  <c r="H77" i="32" s="1"/>
  <c r="F61" i="81"/>
  <c r="D61" i="81" s="1"/>
  <c r="G93" i="79" s="1"/>
  <c r="F60" i="81"/>
  <c r="D60" i="81" s="1"/>
  <c r="G92" i="79" s="1"/>
  <c r="I155" i="80"/>
  <c r="F59" i="81"/>
  <c r="D59" i="81" s="1"/>
  <c r="G91" i="79" s="1"/>
  <c r="I149" i="80"/>
  <c r="F62" i="81"/>
  <c r="D62" i="81" s="1"/>
  <c r="G94" i="79" s="1"/>
  <c r="F58" i="81"/>
  <c r="D86" i="79"/>
  <c r="I144" i="80"/>
  <c r="I143" i="80" s="1"/>
  <c r="I142" i="80"/>
  <c r="K67" i="83" l="1"/>
  <c r="K66" i="83" s="1"/>
  <c r="K65" i="83" s="1"/>
  <c r="J67" i="83"/>
  <c r="J66" i="83" s="1"/>
  <c r="J65" i="83" s="1"/>
  <c r="F57" i="81"/>
  <c r="D57" i="81" s="1"/>
  <c r="F94" i="79"/>
  <c r="E94" i="79"/>
  <c r="E91" i="79"/>
  <c r="F91" i="79"/>
  <c r="F92" i="79"/>
  <c r="E92" i="79"/>
  <c r="F93" i="79"/>
  <c r="E93" i="79"/>
  <c r="I148" i="80"/>
  <c r="I147" i="80" s="1"/>
  <c r="I146" i="80" s="1"/>
  <c r="D58" i="81"/>
  <c r="G90" i="79" s="1"/>
  <c r="F56" i="81"/>
  <c r="F55" i="81" s="1"/>
  <c r="I141" i="80"/>
  <c r="I140" i="80" s="1"/>
  <c r="I139" i="80" s="1"/>
  <c r="I138" i="80" s="1"/>
  <c r="E52" i="81"/>
  <c r="G52" i="81"/>
  <c r="H52" i="81"/>
  <c r="I136" i="80"/>
  <c r="I135" i="80"/>
  <c r="I133" i="80"/>
  <c r="I132" i="80"/>
  <c r="G89" i="79" l="1"/>
  <c r="G87" i="79" s="1"/>
  <c r="I157" i="32" s="1"/>
  <c r="I156" i="32" s="1"/>
  <c r="I155" i="32" s="1"/>
  <c r="I154" i="32" s="1"/>
  <c r="I153" i="32" s="1"/>
  <c r="I151" i="32" s="1"/>
  <c r="L165" i="83" s="1"/>
  <c r="L164" i="83" s="1"/>
  <c r="L163" i="83" s="1"/>
  <c r="F90" i="79"/>
  <c r="F89" i="79" s="1"/>
  <c r="F87" i="79" s="1"/>
  <c r="H157" i="32" s="1"/>
  <c r="H156" i="32" s="1"/>
  <c r="H155" i="32" s="1"/>
  <c r="H154" i="32" s="1"/>
  <c r="H153" i="32" s="1"/>
  <c r="H151" i="32" s="1"/>
  <c r="K165" i="83" s="1"/>
  <c r="K164" i="83" s="1"/>
  <c r="K163" i="83" s="1"/>
  <c r="E90" i="79"/>
  <c r="E89" i="79" s="1"/>
  <c r="E87" i="79" s="1"/>
  <c r="G157" i="32" s="1"/>
  <c r="G156" i="32" s="1"/>
  <c r="G155" i="32" s="1"/>
  <c r="G154" i="32" s="1"/>
  <c r="G153" i="32" s="1"/>
  <c r="G151" i="32" s="1"/>
  <c r="J165" i="83" s="1"/>
  <c r="J164" i="83" s="1"/>
  <c r="J163" i="83" s="1"/>
  <c r="D56" i="81"/>
  <c r="G86" i="79" s="1"/>
  <c r="D55" i="81"/>
  <c r="I131" i="80"/>
  <c r="F54" i="81"/>
  <c r="D54" i="81" s="1"/>
  <c r="G81" i="79" s="1"/>
  <c r="I134" i="80"/>
  <c r="F53" i="81"/>
  <c r="D76" i="79"/>
  <c r="D75" i="79"/>
  <c r="D74" i="79"/>
  <c r="H48" i="81"/>
  <c r="G48" i="81"/>
  <c r="E48" i="81"/>
  <c r="F52" i="81" l="1"/>
  <c r="F86" i="79"/>
  <c r="F85" i="79" s="1"/>
  <c r="F82" i="79" s="1"/>
  <c r="G85" i="79"/>
  <c r="G82" i="79" s="1"/>
  <c r="E86" i="79"/>
  <c r="E85" i="79" s="1"/>
  <c r="E82" i="79" s="1"/>
  <c r="F81" i="79"/>
  <c r="E81" i="79"/>
  <c r="I130" i="80"/>
  <c r="I129" i="80" s="1"/>
  <c r="I128" i="80" s="1"/>
  <c r="D52" i="81"/>
  <c r="D53" i="81"/>
  <c r="G80" i="79" s="1"/>
  <c r="I126" i="80"/>
  <c r="I125" i="80"/>
  <c r="I124" i="80"/>
  <c r="I122" i="80"/>
  <c r="I121" i="80"/>
  <c r="I120" i="80"/>
  <c r="I123" i="80" l="1"/>
  <c r="G150" i="32"/>
  <c r="G149" i="32" s="1"/>
  <c r="G148" i="32" s="1"/>
  <c r="G147" i="32" s="1"/>
  <c r="G146" i="32" s="1"/>
  <c r="G144" i="32" s="1"/>
  <c r="I150" i="32"/>
  <c r="I149" i="32" s="1"/>
  <c r="I148" i="32" s="1"/>
  <c r="I147" i="32" s="1"/>
  <c r="I146" i="32" s="1"/>
  <c r="I144" i="32" s="1"/>
  <c r="L155" i="83" s="1"/>
  <c r="L154" i="83" s="1"/>
  <c r="L153" i="83" s="1"/>
  <c r="H150" i="32"/>
  <c r="H149" i="32" s="1"/>
  <c r="H148" i="32" s="1"/>
  <c r="H147" i="32" s="1"/>
  <c r="H146" i="32" s="1"/>
  <c r="H144" i="32" s="1"/>
  <c r="G79" i="79"/>
  <c r="G77" i="79" s="1"/>
  <c r="I143" i="32" s="1"/>
  <c r="I142" i="32" s="1"/>
  <c r="I141" i="32" s="1"/>
  <c r="I140" i="32" s="1"/>
  <c r="I139" i="32" s="1"/>
  <c r="I137" i="32" s="1"/>
  <c r="L145" i="83" s="1"/>
  <c r="L144" i="83" s="1"/>
  <c r="L143" i="83" s="1"/>
  <c r="E80" i="79"/>
  <c r="E79" i="79" s="1"/>
  <c r="E77" i="79" s="1"/>
  <c r="G143" i="32" s="1"/>
  <c r="G142" i="32" s="1"/>
  <c r="G141" i="32" s="1"/>
  <c r="G140" i="32" s="1"/>
  <c r="G139" i="32" s="1"/>
  <c r="G137" i="32" s="1"/>
  <c r="J145" i="83" s="1"/>
  <c r="J144" i="83" s="1"/>
  <c r="J143" i="83" s="1"/>
  <c r="F80" i="79"/>
  <c r="F79" i="79" s="1"/>
  <c r="F77" i="79" s="1"/>
  <c r="H143" i="32" s="1"/>
  <c r="H142" i="32" s="1"/>
  <c r="H141" i="32" s="1"/>
  <c r="H140" i="32" s="1"/>
  <c r="H139" i="32" s="1"/>
  <c r="H137" i="32" s="1"/>
  <c r="K145" i="83" s="1"/>
  <c r="K144" i="83" s="1"/>
  <c r="K143" i="83" s="1"/>
  <c r="I119" i="80"/>
  <c r="I118" i="80" s="1"/>
  <c r="I117" i="80" s="1"/>
  <c r="I116" i="80" s="1"/>
  <c r="F51" i="81"/>
  <c r="D51" i="81" s="1"/>
  <c r="G76" i="79" s="1"/>
  <c r="F50" i="81"/>
  <c r="D50" i="81" s="1"/>
  <c r="G75" i="79" s="1"/>
  <c r="F49" i="81"/>
  <c r="D70" i="79"/>
  <c r="D69" i="79"/>
  <c r="D68" i="79"/>
  <c r="H44" i="81"/>
  <c r="G44" i="81"/>
  <c r="E44" i="81"/>
  <c r="I114" i="80"/>
  <c r="I113" i="80"/>
  <c r="I112" i="80"/>
  <c r="I110" i="80"/>
  <c r="I109" i="80"/>
  <c r="I108" i="80"/>
  <c r="D64" i="79"/>
  <c r="D63" i="79"/>
  <c r="D62" i="79"/>
  <c r="I111" i="80" l="1"/>
  <c r="I107" i="80"/>
  <c r="F48" i="81"/>
  <c r="K155" i="83"/>
  <c r="K154" i="83" s="1"/>
  <c r="K153" i="83" s="1"/>
  <c r="J155" i="83"/>
  <c r="J154" i="83" s="1"/>
  <c r="J153" i="83" s="1"/>
  <c r="F75" i="79"/>
  <c r="E75" i="79"/>
  <c r="F76" i="79"/>
  <c r="E76" i="79"/>
  <c r="F46" i="81"/>
  <c r="D46" i="81" s="1"/>
  <c r="G69" i="79" s="1"/>
  <c r="F47" i="81"/>
  <c r="D47" i="81" s="1"/>
  <c r="G70" i="79" s="1"/>
  <c r="D49" i="81"/>
  <c r="G74" i="79" s="1"/>
  <c r="F45" i="81"/>
  <c r="I101" i="80"/>
  <c r="I102" i="80"/>
  <c r="I100" i="80"/>
  <c r="I97" i="80"/>
  <c r="I98" i="80"/>
  <c r="I96" i="80"/>
  <c r="F44" i="81" l="1"/>
  <c r="I106" i="80"/>
  <c r="I105" i="80" s="1"/>
  <c r="I104" i="80" s="1"/>
  <c r="F74" i="79"/>
  <c r="F73" i="79" s="1"/>
  <c r="F71" i="79" s="1"/>
  <c r="H136" i="32" s="1"/>
  <c r="H135" i="32" s="1"/>
  <c r="H134" i="32" s="1"/>
  <c r="H133" i="32" s="1"/>
  <c r="H132" i="32" s="1"/>
  <c r="H130" i="32" s="1"/>
  <c r="K135" i="83" s="1"/>
  <c r="K134" i="83" s="1"/>
  <c r="K133" i="83" s="1"/>
  <c r="E74" i="79"/>
  <c r="E73" i="79" s="1"/>
  <c r="E71" i="79" s="1"/>
  <c r="G136" i="32" s="1"/>
  <c r="G135" i="32" s="1"/>
  <c r="G134" i="32" s="1"/>
  <c r="G133" i="32" s="1"/>
  <c r="G132" i="32" s="1"/>
  <c r="G130" i="32" s="1"/>
  <c r="J135" i="83" s="1"/>
  <c r="J134" i="83" s="1"/>
  <c r="J133" i="83" s="1"/>
  <c r="G73" i="79"/>
  <c r="G71" i="79" s="1"/>
  <c r="I136" i="32" s="1"/>
  <c r="I135" i="32" s="1"/>
  <c r="I134" i="32" s="1"/>
  <c r="I133" i="32" s="1"/>
  <c r="I132" i="32" s="1"/>
  <c r="I130" i="32" s="1"/>
  <c r="L135" i="83" s="1"/>
  <c r="L134" i="83" s="1"/>
  <c r="L133" i="83" s="1"/>
  <c r="F69" i="79"/>
  <c r="E69" i="79"/>
  <c r="F70" i="79"/>
  <c r="E70" i="79"/>
  <c r="D48" i="81"/>
  <c r="D44" i="81"/>
  <c r="I99" i="80"/>
  <c r="I95" i="80"/>
  <c r="F41" i="81"/>
  <c r="D45" i="81"/>
  <c r="G68" i="79" s="1"/>
  <c r="F40" i="81"/>
  <c r="F42" i="81"/>
  <c r="D57" i="79"/>
  <c r="D56" i="79"/>
  <c r="D55" i="79"/>
  <c r="D54" i="79"/>
  <c r="D53" i="79"/>
  <c r="E33" i="81"/>
  <c r="G33" i="81"/>
  <c r="H33" i="81"/>
  <c r="I89" i="80"/>
  <c r="I83" i="80"/>
  <c r="I88" i="80"/>
  <c r="I90" i="80"/>
  <c r="I87" i="80"/>
  <c r="I86" i="80"/>
  <c r="I82" i="80"/>
  <c r="I84" i="80"/>
  <c r="I81" i="80"/>
  <c r="I80" i="80"/>
  <c r="D46" i="79"/>
  <c r="D45" i="79"/>
  <c r="D44" i="79"/>
  <c r="D43" i="79"/>
  <c r="E28" i="81"/>
  <c r="G28" i="81"/>
  <c r="H28" i="81"/>
  <c r="F39" i="81" l="1"/>
  <c r="D41" i="81"/>
  <c r="G63" i="79" s="1"/>
  <c r="F63" i="79" s="1"/>
  <c r="F68" i="79"/>
  <c r="F67" i="79" s="1"/>
  <c r="F65" i="79" s="1"/>
  <c r="H129" i="32" s="1"/>
  <c r="H128" i="32" s="1"/>
  <c r="H127" i="32" s="1"/>
  <c r="H126" i="32" s="1"/>
  <c r="H125" i="32" s="1"/>
  <c r="H123" i="32" s="1"/>
  <c r="K125" i="83" s="1"/>
  <c r="K124" i="83" s="1"/>
  <c r="K123" i="83" s="1"/>
  <c r="G67" i="79"/>
  <c r="G65" i="79" s="1"/>
  <c r="I129" i="32" s="1"/>
  <c r="I128" i="32" s="1"/>
  <c r="I127" i="32" s="1"/>
  <c r="I126" i="32" s="1"/>
  <c r="I125" i="32" s="1"/>
  <c r="I123" i="32" s="1"/>
  <c r="L125" i="83" s="1"/>
  <c r="L124" i="83" s="1"/>
  <c r="L123" i="83" s="1"/>
  <c r="E68" i="79"/>
  <c r="E67" i="79" s="1"/>
  <c r="E65" i="79" s="1"/>
  <c r="G129" i="32" s="1"/>
  <c r="G128" i="32" s="1"/>
  <c r="G127" i="32" s="1"/>
  <c r="G126" i="32" s="1"/>
  <c r="G125" i="32" s="1"/>
  <c r="G123" i="32" s="1"/>
  <c r="J125" i="83" s="1"/>
  <c r="J124" i="83" s="1"/>
  <c r="J123" i="83" s="1"/>
  <c r="D42" i="81"/>
  <c r="G64" i="79" s="1"/>
  <c r="F64" i="79" s="1"/>
  <c r="D39" i="81"/>
  <c r="F36" i="81"/>
  <c r="D36" i="81" s="1"/>
  <c r="G55" i="79" s="1"/>
  <c r="F34" i="81"/>
  <c r="F35" i="81"/>
  <c r="D35" i="81" s="1"/>
  <c r="G54" i="79" s="1"/>
  <c r="F38" i="81"/>
  <c r="D38" i="81" s="1"/>
  <c r="G57" i="79" s="1"/>
  <c r="I94" i="80"/>
  <c r="I93" i="80" s="1"/>
  <c r="I92" i="80" s="1"/>
  <c r="F37" i="81"/>
  <c r="D37" i="81" s="1"/>
  <c r="G56" i="79" s="1"/>
  <c r="I79" i="80"/>
  <c r="D40" i="81"/>
  <c r="G62" i="79" s="1"/>
  <c r="F62" i="79" s="1"/>
  <c r="I85" i="80"/>
  <c r="I66" i="80"/>
  <c r="I65" i="80"/>
  <c r="I67" i="80"/>
  <c r="I68" i="80"/>
  <c r="I61" i="80"/>
  <c r="I60" i="80"/>
  <c r="I62" i="80"/>
  <c r="I63" i="80"/>
  <c r="E63" i="79" l="1"/>
  <c r="F57" i="79"/>
  <c r="E57" i="79"/>
  <c r="F33" i="81"/>
  <c r="D33" i="81" s="1"/>
  <c r="E55" i="79"/>
  <c r="F55" i="79"/>
  <c r="E54" i="79"/>
  <c r="F54" i="79"/>
  <c r="E64" i="79"/>
  <c r="E56" i="79"/>
  <c r="F56" i="79"/>
  <c r="G61" i="79"/>
  <c r="G58" i="79" s="1"/>
  <c r="I122" i="32" s="1"/>
  <c r="I121" i="32" s="1"/>
  <c r="I120" i="32" s="1"/>
  <c r="I119" i="32" s="1"/>
  <c r="I118" i="32" s="1"/>
  <c r="I116" i="32" s="1"/>
  <c r="L115" i="83" s="1"/>
  <c r="L114" i="83" s="1"/>
  <c r="L113" i="83" s="1"/>
  <c r="E62" i="79"/>
  <c r="D34" i="81"/>
  <c r="G53" i="79" s="1"/>
  <c r="F32" i="81"/>
  <c r="D32" i="81" s="1"/>
  <c r="G46" i="79" s="1"/>
  <c r="F31" i="81"/>
  <c r="D31" i="81" s="1"/>
  <c r="G45" i="79" s="1"/>
  <c r="F30" i="81"/>
  <c r="D30" i="81" s="1"/>
  <c r="G44" i="79" s="1"/>
  <c r="I64" i="80"/>
  <c r="I78" i="80"/>
  <c r="I77" i="80" s="1"/>
  <c r="I76" i="80" s="1"/>
  <c r="F29" i="81"/>
  <c r="I59" i="80"/>
  <c r="D38" i="79"/>
  <c r="D37" i="79"/>
  <c r="D36" i="79"/>
  <c r="D35" i="79"/>
  <c r="D34" i="79"/>
  <c r="G22" i="81"/>
  <c r="H22" i="81"/>
  <c r="E22" i="81"/>
  <c r="G19" i="81" l="1"/>
  <c r="H19" i="81"/>
  <c r="F28" i="81"/>
  <c r="D28" i="81" s="1"/>
  <c r="E44" i="79"/>
  <c r="F44" i="79"/>
  <c r="F45" i="79"/>
  <c r="E45" i="79"/>
  <c r="E46" i="79"/>
  <c r="F46" i="79"/>
  <c r="G52" i="79"/>
  <c r="G50" i="79" s="1"/>
  <c r="F53" i="79"/>
  <c r="F52" i="79" s="1"/>
  <c r="F50" i="79" s="1"/>
  <c r="E53" i="79"/>
  <c r="E52" i="79" s="1"/>
  <c r="E50" i="79" s="1"/>
  <c r="E61" i="79"/>
  <c r="E58" i="79" s="1"/>
  <c r="G122" i="32" s="1"/>
  <c r="G121" i="32" s="1"/>
  <c r="G120" i="32" s="1"/>
  <c r="G119" i="32" s="1"/>
  <c r="G118" i="32" s="1"/>
  <c r="G116" i="32" s="1"/>
  <c r="J115" i="83" s="1"/>
  <c r="J114" i="83" s="1"/>
  <c r="J113" i="83" s="1"/>
  <c r="F61" i="79"/>
  <c r="F58" i="79" s="1"/>
  <c r="H122" i="32" s="1"/>
  <c r="H121" i="32" s="1"/>
  <c r="H120" i="32" s="1"/>
  <c r="H119" i="32" s="1"/>
  <c r="H118" i="32" s="1"/>
  <c r="H116" i="32" s="1"/>
  <c r="K115" i="83" s="1"/>
  <c r="K114" i="83" s="1"/>
  <c r="K113" i="83" s="1"/>
  <c r="I58" i="80"/>
  <c r="I57" i="80" s="1"/>
  <c r="I56" i="80" s="1"/>
  <c r="D29" i="81"/>
  <c r="G43" i="79" s="1"/>
  <c r="G13" i="81" l="1"/>
  <c r="G11" i="81" s="1"/>
  <c r="I115" i="32"/>
  <c r="I114" i="32" s="1"/>
  <c r="I113" i="32" s="1"/>
  <c r="I112" i="32" s="1"/>
  <c r="I111" i="32" s="1"/>
  <c r="I109" i="32" s="1"/>
  <c r="L105" i="83" s="1"/>
  <c r="L104" i="83" s="1"/>
  <c r="L103" i="83" s="1"/>
  <c r="G115" i="32"/>
  <c r="G114" i="32" s="1"/>
  <c r="G113" i="32" s="1"/>
  <c r="G112" i="32" s="1"/>
  <c r="G111" i="32" s="1"/>
  <c r="G109" i="32" s="1"/>
  <c r="H115" i="32"/>
  <c r="H114" i="32" s="1"/>
  <c r="H113" i="32" s="1"/>
  <c r="H112" i="32" s="1"/>
  <c r="H111" i="32" s="1"/>
  <c r="H109" i="32" s="1"/>
  <c r="G42" i="79"/>
  <c r="G39" i="79" s="1"/>
  <c r="I97" i="32" s="1"/>
  <c r="I96" i="32" s="1"/>
  <c r="I95" i="32" s="1"/>
  <c r="I94" i="32" s="1"/>
  <c r="I93" i="32" s="1"/>
  <c r="I91" i="32" s="1"/>
  <c r="L84" i="83" s="1"/>
  <c r="L83" i="83" s="1"/>
  <c r="L82" i="83" s="1"/>
  <c r="F43" i="79"/>
  <c r="F42" i="79" s="1"/>
  <c r="F39" i="79" s="1"/>
  <c r="H97" i="32" s="1"/>
  <c r="H96" i="32" s="1"/>
  <c r="H95" i="32" s="1"/>
  <c r="H94" i="32" s="1"/>
  <c r="H93" i="32" s="1"/>
  <c r="H91" i="32" s="1"/>
  <c r="K84" i="83" s="1"/>
  <c r="K83" i="83" s="1"/>
  <c r="K82" i="83" s="1"/>
  <c r="E43" i="79"/>
  <c r="E42" i="79" s="1"/>
  <c r="E39" i="79" s="1"/>
  <c r="G97" i="32" s="1"/>
  <c r="G96" i="32" s="1"/>
  <c r="G95" i="32" s="1"/>
  <c r="G94" i="32" s="1"/>
  <c r="G93" i="32" s="1"/>
  <c r="G91" i="32" s="1"/>
  <c r="J84" i="83" s="1"/>
  <c r="J83" i="83" s="1"/>
  <c r="J82" i="83" s="1"/>
  <c r="H11" i="81"/>
  <c r="E11" i="81"/>
  <c r="K105" i="83" l="1"/>
  <c r="K104" i="83" s="1"/>
  <c r="K103" i="83" s="1"/>
  <c r="J105" i="83"/>
  <c r="J104" i="83" s="1"/>
  <c r="J103" i="83" s="1"/>
  <c r="I54" i="80"/>
  <c r="I53" i="80"/>
  <c r="I52" i="80"/>
  <c r="I51" i="80"/>
  <c r="I48" i="80"/>
  <c r="F27" i="81" s="1"/>
  <c r="D27" i="81" s="1"/>
  <c r="G38" i="79" s="1"/>
  <c r="I47" i="80"/>
  <c r="F26" i="81" s="1"/>
  <c r="D26" i="81" s="1"/>
  <c r="G37" i="79" s="1"/>
  <c r="I46" i="80"/>
  <c r="I45" i="80"/>
  <c r="I50" i="80"/>
  <c r="F37" i="79" l="1"/>
  <c r="E37" i="79"/>
  <c r="F38" i="79"/>
  <c r="E38" i="79"/>
  <c r="F25" i="81"/>
  <c r="D25" i="81" s="1"/>
  <c r="G36" i="79" s="1"/>
  <c r="F24" i="81"/>
  <c r="D24" i="81" s="1"/>
  <c r="G35" i="79" s="1"/>
  <c r="I49" i="80"/>
  <c r="F35" i="79" l="1"/>
  <c r="E35" i="79"/>
  <c r="F36" i="79"/>
  <c r="E36" i="79"/>
  <c r="I44" i="80" l="1"/>
  <c r="I43" i="80" s="1"/>
  <c r="I42" i="80" s="1"/>
  <c r="I41" i="80" s="1"/>
  <c r="I40" i="80" s="1"/>
  <c r="F23" i="81" l="1"/>
  <c r="F22" i="81" s="1"/>
  <c r="F19" i="81" l="1"/>
  <c r="F13" i="81" s="1"/>
  <c r="D23" i="81"/>
  <c r="G34" i="79" s="1"/>
  <c r="D21" i="81" l="1"/>
  <c r="D66" i="81"/>
  <c r="D68" i="81"/>
  <c r="G105" i="79" s="1"/>
  <c r="D16" i="81"/>
  <c r="D18" i="81"/>
  <c r="G21" i="79" s="1"/>
  <c r="F34" i="79"/>
  <c r="F33" i="79" s="1"/>
  <c r="F31" i="79" s="1"/>
  <c r="F27" i="79" s="1"/>
  <c r="H76" i="32" s="1"/>
  <c r="H75" i="32" s="1"/>
  <c r="H74" i="32" s="1"/>
  <c r="H73" i="32" s="1"/>
  <c r="H72" i="32" s="1"/>
  <c r="H70" i="32" s="1"/>
  <c r="K34" i="83" s="1"/>
  <c r="E34" i="79"/>
  <c r="E33" i="79" s="1"/>
  <c r="E31" i="79" s="1"/>
  <c r="G33" i="79"/>
  <c r="G31" i="79" s="1"/>
  <c r="D22" i="81"/>
  <c r="K13" i="83" l="1"/>
  <c r="G27" i="79"/>
  <c r="I67" i="32"/>
  <c r="I66" i="32" s="1"/>
  <c r="I65" i="32" s="1"/>
  <c r="I64" i="32" s="1"/>
  <c r="I63" i="32" s="1"/>
  <c r="I61" i="32" s="1"/>
  <c r="G16" i="79"/>
  <c r="I203" i="32"/>
  <c r="I202" i="32" s="1"/>
  <c r="I201" i="32" s="1"/>
  <c r="I200" i="32" s="1"/>
  <c r="H90" i="32"/>
  <c r="H89" i="32" s="1"/>
  <c r="H88" i="32" s="1"/>
  <c r="H87" i="32" s="1"/>
  <c r="H86" i="32" s="1"/>
  <c r="H84" i="32" s="1"/>
  <c r="H68" i="32" s="1"/>
  <c r="F11" i="79"/>
  <c r="I90" i="32"/>
  <c r="I89" i="32" s="1"/>
  <c r="I88" i="32" s="1"/>
  <c r="I87" i="32" s="1"/>
  <c r="I86" i="32" s="1"/>
  <c r="I84" i="32" s="1"/>
  <c r="L74" i="83" s="1"/>
  <c r="L73" i="83" s="1"/>
  <c r="L72" i="83" s="1"/>
  <c r="G90" i="32"/>
  <c r="G89" i="32" s="1"/>
  <c r="G88" i="32" s="1"/>
  <c r="G87" i="32" s="1"/>
  <c r="G86" i="32" s="1"/>
  <c r="G84" i="32" s="1"/>
  <c r="G68" i="32" s="1"/>
  <c r="E11" i="79"/>
  <c r="D19" i="81"/>
  <c r="I195" i="32" l="1"/>
  <c r="I193" i="32" s="1"/>
  <c r="I76" i="32"/>
  <c r="I75" i="32" s="1"/>
  <c r="I74" i="32" s="1"/>
  <c r="I73" i="32" s="1"/>
  <c r="I72" i="32" s="1"/>
  <c r="I70" i="32" s="1"/>
  <c r="L34" i="83" s="1"/>
  <c r="G26" i="79"/>
  <c r="L52" i="83"/>
  <c r="I52" i="32"/>
  <c r="I22" i="65" s="1"/>
  <c r="L30" i="73" s="1"/>
  <c r="K74" i="83"/>
  <c r="K73" i="83" s="1"/>
  <c r="K72" i="83" s="1"/>
  <c r="K11" i="83" s="1"/>
  <c r="H50" i="32"/>
  <c r="J74" i="83"/>
  <c r="J73" i="83" s="1"/>
  <c r="J72" i="83" s="1"/>
  <c r="J11" i="83" s="1"/>
  <c r="G50" i="32"/>
  <c r="F11" i="81"/>
  <c r="D11" i="81" s="1"/>
  <c r="D13" i="81"/>
  <c r="G24" i="79" l="1"/>
  <c r="G11" i="79" s="1"/>
  <c r="L13" i="83"/>
  <c r="L60" i="83"/>
  <c r="I164" i="32"/>
  <c r="I162" i="32" s="1"/>
  <c r="I160" i="32" s="1"/>
  <c r="I158" i="32" s="1"/>
  <c r="L51" i="83"/>
  <c r="L44" i="83" s="1"/>
  <c r="I83" i="32"/>
  <c r="I82" i="32" s="1"/>
  <c r="I81" i="32" s="1"/>
  <c r="I80" i="32" s="1"/>
  <c r="I79" i="32" s="1"/>
  <c r="I77" i="32" s="1"/>
  <c r="H23" i="65"/>
  <c r="G23" i="65"/>
  <c r="J35" i="73" s="1"/>
  <c r="H48" i="32"/>
  <c r="H46" i="32" s="1"/>
  <c r="H44" i="32" s="1"/>
  <c r="H42" i="32" s="1"/>
  <c r="H22" i="32" s="1"/>
  <c r="H20" i="32" s="1"/>
  <c r="H18" i="32" s="1"/>
  <c r="H16" i="32" s="1"/>
  <c r="H15" i="32" s="1"/>
  <c r="G48" i="32"/>
  <c r="G46" i="32" s="1"/>
  <c r="G44" i="32" s="1"/>
  <c r="G42" i="32" s="1"/>
  <c r="G18" i="32" s="1"/>
  <c r="G16" i="32" s="1"/>
  <c r="G15" i="32" s="1"/>
  <c r="I68" i="32" l="1"/>
  <c r="I50" i="32" s="1"/>
  <c r="I48" i="32" s="1"/>
  <c r="I46" i="32" s="1"/>
  <c r="I44" i="32" s="1"/>
  <c r="I42" i="32" s="1"/>
  <c r="I25" i="65"/>
  <c r="L48" i="73" s="1"/>
  <c r="L67" i="83"/>
  <c r="L66" i="83" s="1"/>
  <c r="L65" i="83" s="1"/>
  <c r="L11" i="83" s="1"/>
  <c r="G15" i="65"/>
  <c r="K35" i="73"/>
  <c r="H15" i="65"/>
  <c r="G13" i="32"/>
  <c r="H13" i="32"/>
  <c r="I23" i="65" l="1"/>
  <c r="J13" i="73"/>
  <c r="J11" i="73" s="1"/>
  <c r="I22" i="32"/>
  <c r="I20" i="32" s="1"/>
  <c r="I18" i="32" s="1"/>
  <c r="I16" i="32" s="1"/>
  <c r="I15" i="32" s="1"/>
  <c r="I13" i="32" s="1"/>
  <c r="G13" i="65"/>
  <c r="B18" i="82" s="1"/>
  <c r="B16" i="82" s="1"/>
  <c r="B14" i="82" s="1"/>
  <c r="B12" i="82" s="1"/>
  <c r="B10" i="82" s="1"/>
  <c r="H13" i="65"/>
  <c r="C18" i="82" s="1"/>
  <c r="I20" i="65" l="1"/>
  <c r="I15" i="65" s="1"/>
  <c r="I13" i="65" s="1"/>
  <c r="D18" i="82" s="1"/>
  <c r="D16" i="82" s="1"/>
  <c r="D14" i="82" s="1"/>
  <c r="D12" i="82" s="1"/>
  <c r="D10" i="82" s="1"/>
  <c r="L35" i="73"/>
  <c r="L25" i="73" s="1"/>
  <c r="K13" i="73"/>
  <c r="K11" i="73" s="1"/>
  <c r="L13" i="73"/>
  <c r="L11" i="73" s="1"/>
  <c r="C16" i="82"/>
  <c r="C14" i="82" s="1"/>
  <c r="C12" i="82" s="1"/>
  <c r="C10" i="82" s="1"/>
</calcChain>
</file>

<file path=xl/sharedStrings.xml><?xml version="1.0" encoding="utf-8"?>
<sst xmlns="http://schemas.openxmlformats.org/spreadsheetml/2006/main" count="1252" uniqueCount="373">
  <si>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</si>
  <si>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</si>
  <si>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</si>
  <si>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</si>
  <si>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</si>
  <si>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</si>
  <si>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</si>
  <si>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</si>
  <si>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</si>
  <si>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</si>
  <si>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</si>
  <si>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</si>
  <si>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</si>
  <si>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</si>
  <si>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</si>
  <si>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</si>
  <si>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</si>
  <si>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</si>
  <si>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</si>
  <si>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</si>
  <si>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</si>
  <si>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</si>
  <si>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</si>
  <si>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</si>
  <si>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Առաջին կիսամյակ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</si>
  <si>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</si>
  <si>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</si>
  <si>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</si>
  <si>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</si>
  <si>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</si>
  <si>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</si>
  <si>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</si>
  <si>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</si>
  <si>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</si>
  <si>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</si>
  <si>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</si>
  <si>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</si>
  <si>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</si>
  <si>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</si>
  <si>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</si>
  <si>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</si>
  <si>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</si>
  <si>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</si>
  <si>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</si>
  <si>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</si>
  <si>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</si>
  <si>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</si>
  <si>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</si>
  <si>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</si>
  <si>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</si>
  <si>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</si>
  <si>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</si>
  <si>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</si>
  <si>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ՀՀ կառավարության  2026 թվականի </t>
  </si>
  <si>
    <t>ՀՀ կառավարության  2026 թվականի</t>
  </si>
  <si>
    <t>հազար դրամներոով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</si>
  <si>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</si>
  <si>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</si>
  <si>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</si>
  <si>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 xml:space="preserve"> այդ թվում՝ ըստ ուղղությունների</t>
  </si>
  <si>
    <t>Հավելված N 5</t>
  </si>
  <si>
    <t xml:space="preserve"> ՈՉ ՖԻՆԱՆՍԱԿԱՆ ԱԿՏԻՎՆԵՐԻ ԳԾՈՎ ԾԱԽՍԵՐ</t>
  </si>
  <si>
    <t xml:space="preserve"> ՀԻՄՆԱԿԱՆ ՄԻՋՈՑՆԵՐ</t>
  </si>
  <si>
    <t xml:space="preserve"> այդ թվում` բյուջետային ծախսերի տնտեսագիտական դասակարգման հոդվածներ</t>
  </si>
  <si>
    <t xml:space="preserve"> ՇԵՆՔԵՐ ԵՎ ՇԻՆՈՒԹՅՈՒՆՆԵՐ</t>
  </si>
  <si>
    <t>Այլ պետական կազմակերպությունների կողմից օգտագործվող ոչ ֆինանսական ակտիվների հետ գործառնություններ</t>
  </si>
  <si>
    <t xml:space="preserve"> Այլ պետական կազմակերպությունների կողմից օգտագործվող ոչ ֆինանսական ակտիվների հետ գործառնություններ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</si>
  <si>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</si>
  <si>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</si>
  <si>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</si>
  <si>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</si>
  <si>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</si>
  <si>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</si>
  <si>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</si>
  <si>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Խումբ N 01</t>
  </si>
  <si>
    <t>Դաս N 01</t>
  </si>
  <si>
    <t xml:space="preserve"> ՄԱՍ III. ԾԱՌԱՅՈՒԹՅՈՒՆՆԵՐ</t>
  </si>
  <si>
    <t>դրամ</t>
  </si>
  <si>
    <t>Բաժին N 09</t>
  </si>
  <si>
    <t>Նախադպրոցական կրթություն</t>
  </si>
  <si>
    <t>ՀԲՄ</t>
  </si>
  <si>
    <t>ՄԱ</t>
  </si>
  <si>
    <t>1236-32002</t>
  </si>
  <si>
    <t xml:space="preserve"> Մանկապարտեզների շենքերի վերակառուցում, հիմնանորոգում</t>
  </si>
  <si>
    <t>ՀՀ Արագածոտնի մարզպետի աշխատակազմ</t>
  </si>
  <si>
    <t>45461100-501</t>
  </si>
  <si>
    <t xml:space="preserve"> շենքերի, շինությունների ընթացիկ նորոգման աշխատանքներ</t>
  </si>
  <si>
    <t>Աշտարակի 5</t>
  </si>
  <si>
    <t>45461100-502</t>
  </si>
  <si>
    <t>45461100-506</t>
  </si>
  <si>
    <t>45461100-507</t>
  </si>
  <si>
    <t>45461100-508</t>
  </si>
  <si>
    <t>Աշտարակի 1</t>
  </si>
  <si>
    <t>Ապարանի 1</t>
  </si>
  <si>
    <t>Քուչակ</t>
  </si>
  <si>
    <t>Հարթավան</t>
  </si>
  <si>
    <t xml:space="preserve"> շինարարության ընթացքի վերահսկման ծառայություններ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</si>
  <si>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</si>
  <si>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</si>
  <si>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Հանրակրթական և նախադպրոցական հաստատությունների հիմնում, կառուցում, բարելավում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</si>
  <si>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</si>
  <si>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</si>
  <si>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</si>
  <si>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</si>
  <si>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</si>
  <si>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</si>
  <si>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</si>
  <si>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</si>
  <si>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Արագածոտնի մարզ</t>
  </si>
  <si>
    <t xml:space="preserve"> Աշտարակ բնակավայրի թիվ 1 «Մանուշակ մանկապարտեզ» ՀՈԱԿ</t>
  </si>
  <si>
    <t xml:space="preserve"> «Աշտարակի թիվ 5 Արաքս Մուրադյանի անվան մանկապարտեզ» ՀՈԱԿ</t>
  </si>
  <si>
    <t xml:space="preserve"> Ապարանի թիվ 1 մանկապարտեզ ՀՈԱԿ</t>
  </si>
  <si>
    <t xml:space="preserve"> «Հարթավանի մանկապարտեզ» ՀՈԱԿ</t>
  </si>
  <si>
    <t xml:space="preserve"> «Քուչակի մանկապարտեզ» ՀՈԱԿ</t>
  </si>
  <si>
    <t>ՀՀ կառավարություն</t>
  </si>
  <si>
    <t>ՀՀ Արարատի մարզպետի աշխատակազմ</t>
  </si>
  <si>
    <t>Դալար</t>
  </si>
  <si>
    <t>45211228-504</t>
  </si>
  <si>
    <t xml:space="preserve"> շինարարական աշխատանքներ մանկապարտեզների համար </t>
  </si>
  <si>
    <t>45211228-505</t>
  </si>
  <si>
    <t>45211228-503</t>
  </si>
  <si>
    <t>Մասիսի 5</t>
  </si>
  <si>
    <t>45211228-501</t>
  </si>
  <si>
    <t>Վեդու 2</t>
  </si>
  <si>
    <t>45211228-502</t>
  </si>
  <si>
    <t>Զարթոնք</t>
  </si>
  <si>
    <t>ՀՀ Արարատի մարզ</t>
  </si>
  <si>
    <t xml:space="preserve"> Փոքր Վեդու «Զարթոնք» նախադպրոցական ուսումնական հաստատություն ՀՈԱԿ</t>
  </si>
  <si>
    <t xml:space="preserve"> «Մասիս համայնքի Մասիս քաղաքի թիվ 5 մսուր-մանկապարտեզ» ՀՈԱԿ</t>
  </si>
  <si>
    <t>ՀՀ Արմավիրի մարզպետի աշխատակազմ</t>
  </si>
  <si>
    <t>ՀՀ Գեղարքունիքի մարզպետի աշխատակազմ</t>
  </si>
  <si>
    <t>Ձորագյուղ</t>
  </si>
  <si>
    <t>Կարմիգհուղ</t>
  </si>
  <si>
    <t>Կարմիրգյուղ</t>
  </si>
  <si>
    <t>Մարտունու 4</t>
  </si>
  <si>
    <t>Սևանի 3</t>
  </si>
  <si>
    <t>Ծովագյուղ</t>
  </si>
  <si>
    <t>ՀՀ Գեղարքունիքի մարզ</t>
  </si>
  <si>
    <t xml:space="preserve"> «Կարմիրգյուղի մանկապարտեզ» ՀՈԱԿ</t>
  </si>
  <si>
    <t>ՀՀ Լոռու մարզպետի աշխատակազմ</t>
  </si>
  <si>
    <t>Շիրակամուտ</t>
  </si>
  <si>
    <t>Արևներ 1մ․</t>
  </si>
  <si>
    <t>Վանաձորի 32</t>
  </si>
  <si>
    <t xml:space="preserve"> «Շիրակամուտի Արևիկ մանկապարտեզ» ՀՈԱԿ</t>
  </si>
  <si>
    <t>ՀՀ Լոռու մարզ</t>
  </si>
  <si>
    <t xml:space="preserve"> Ալավերդի համայնքի «Արևներ» մսուր-մանկապարտեզ (շենք 1)</t>
  </si>
  <si>
    <t>ՀՀ Կոտայքի մարզպետի աշխատակազմ</t>
  </si>
  <si>
    <t>Գառնի</t>
  </si>
  <si>
    <t>Մրգաշեն</t>
  </si>
  <si>
    <t>Հրազդանի 13</t>
  </si>
  <si>
    <t>ՀՀ Կոտայքի մարզ</t>
  </si>
  <si>
    <t xml:space="preserve"> «Գառնիի մանկապարտեզ»› ՀՈԱԿ</t>
  </si>
  <si>
    <t xml:space="preserve"> «Մրգաշենի մանկապարտեզ» ՀՈԱԿ</t>
  </si>
  <si>
    <t xml:space="preserve"> «Հրազդանի թիվ 13 ՆՈՒՀ» ՀՈԱԿ</t>
  </si>
  <si>
    <t>ՀՀ Շիրակի մարզպետի աշխատակազմ</t>
  </si>
  <si>
    <t>Լապտերիկ</t>
  </si>
  <si>
    <t>Արևիկ</t>
  </si>
  <si>
    <t>Սառնաղբյուր</t>
  </si>
  <si>
    <t>ԳՀ</t>
  </si>
  <si>
    <t>ՀՀ Շիրակի մարզ</t>
  </si>
  <si>
    <t xml:space="preserve"> «Լապտերիկ – մսուր մանկապարտեզ» ՀՈԱԿ</t>
  </si>
  <si>
    <t xml:space="preserve"> «Արևիկ մանկապարտեզ» ՀՈԱԿ</t>
  </si>
  <si>
    <t xml:space="preserve"> «Սառնաղբյուրի մանկապարտեզ» ՀՈԱԿ</t>
  </si>
  <si>
    <t>ՀՀ Սյունիքի մարզպետի աշխատակազմ</t>
  </si>
  <si>
    <t>45461100-503</t>
  </si>
  <si>
    <t>Լեռնաձոր</t>
  </si>
  <si>
    <t>Սիսիանի 4</t>
  </si>
  <si>
    <t>ՀՀ Սյունիքի մարզ</t>
  </si>
  <si>
    <t xml:space="preserve"> «Սիսիանի թիվ 4 ՆՈՒՀ» ՀՈԱԿ</t>
  </si>
  <si>
    <t>ՀՀ Վայոց Ձորի մարզպետի աշխատակազմ</t>
  </si>
  <si>
    <t>45611300-501</t>
  </si>
  <si>
    <t xml:space="preserve"> այլ շենքերի, շինությունների հիմնանորոգում</t>
  </si>
  <si>
    <t>Աղավնաձոր</t>
  </si>
  <si>
    <t>ՀՀ Վայոց Ձորի մարզ</t>
  </si>
  <si>
    <t xml:space="preserve"> «Աղավնաձորի մանկապարտեզ» ՀՈԱԿ</t>
  </si>
  <si>
    <t>ՀՀ Տավուշի մարզպետի աշխատակազմ</t>
  </si>
  <si>
    <t>45211228-506</t>
  </si>
  <si>
    <t>45211228-507</t>
  </si>
  <si>
    <t>Դիլիջանի 1</t>
  </si>
  <si>
    <t>Հաղարծին</t>
  </si>
  <si>
    <t>Կոթի</t>
  </si>
  <si>
    <t>Սարիգյուղ</t>
  </si>
  <si>
    <t>Բերդավան</t>
  </si>
  <si>
    <t>ՀՀ Տավուշի մարզ</t>
  </si>
  <si>
    <t xml:space="preserve">Ցուցանիշների փոփոխությունը (ավելացումները նշված են դրական նշանով, իսկնվազեցումները՝ փակագծերում)  </t>
  </si>
  <si>
    <t xml:space="preserve"> - Շենքերի և շինությունների կապիտալ վերանորոգում</t>
  </si>
  <si>
    <t>1236 - 32002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</si>
  <si>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</si>
  <si>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</si>
  <si>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</si>
  <si>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Մանկապարտեզների շենքերի վերակառուցում, հիմնանորոգում</t>
  </si>
  <si>
    <t>Նախադպրոցական կրթության հասանելիության ապահովման նպատակով՛ մանկապարտեզների շենքերի (մասնաշենքերի), վերակառուցում, հիմնանորոգում և նախագծում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</si>
  <si>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</si>
  <si>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</si>
  <si>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(ավելացումները նշված են դրական նշանով) 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</si>
  <si>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</si>
  <si>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</si>
  <si>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</si>
  <si>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</si>
  <si>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</si>
  <si>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ՀՀ կառավարության 2026 թվականի</t>
  </si>
  <si>
    <t xml:space="preserve"> Հանրակրթական և նախադպրոցական հաստատությունների հիմնում, կառուցում, բարելավում </t>
  </si>
  <si>
    <t xml:space="preserve"> Նախադպրոցական կրթության հասանելիության ապահովման նպատակով՛ մանկապարտեզների շենքերի (մասնաշենքերի), վերակառուցում, հիմնանորոգում և նախագծում </t>
  </si>
  <si>
    <t xml:space="preserve"> Ակտիվն օգտագործող կազմակերպության անվանումը` Նախադպրոցական կրթություն իրականացնող ուսումնական հաստատություններ </t>
  </si>
  <si>
    <t/>
  </si>
  <si>
    <t>Հաստատությունների քանակ, որոնց շինարարական աշխատանքների ավարտվածության աստիճանը 100% է, հատ</t>
  </si>
  <si>
    <t xml:space="preserve">Հիմնանորոգվող / վերանորոգվող մանկապարտեզների քանակ, հատ </t>
  </si>
  <si>
    <t>Հիմնանորոգված / վերանորոգված մանկապարտեզների հզորությունը</t>
  </si>
  <si>
    <t>Հավելված N 6</t>
  </si>
  <si>
    <t>Հավելված N 7</t>
  </si>
  <si>
    <t>ՀՀ ԱՐԱԳԱԾՈՏՆԻ ՄԱՐԶՊԵՏԻ ԱՇԽԱՏԱԿԱԶՄ</t>
  </si>
  <si>
    <t>ՀՀ ԱՐԱՐԱՏԻ ՄԱՐԶՊԵՏԻ ԱՇԽԱՏԱԿԱԶՄ</t>
  </si>
  <si>
    <t>ՀՀ ԱՐՄԱՎԻՐԻ ՄԱՐԶՊԵՏԻ ԱՇԽԱՏԱԿԱԶՄ</t>
  </si>
  <si>
    <t>ՀՀ ԳԵՂԱՐՔՈՒՆԻՔԻ ՄԱՐԶՊԵՏԻ ԱՇԽԱՏԱԿԱԶՄ</t>
  </si>
  <si>
    <t>ՀՀ ԼՈՌՈՒ ՄԱՐԶՊԵՏԻ ԱՇԽԱՏԱԿԱԶՄ</t>
  </si>
  <si>
    <t>ՀՀ ԿՈՏԱՅՔԻ ՄԱՐԶՊԵՏԻ ԱՇԽԱՏԱԿԱԶՄ</t>
  </si>
  <si>
    <t>ՀՀ ՇԻՐԱԿԻ ՄԱՐԶՊԵՏԻ ԱՇԽԱՏԱԿԱԶՄ</t>
  </si>
  <si>
    <t>ՀՀ ՍՅՈՒՆԻՔԻ ՄԱՐԶՊԵՏԻ ԱՇԽԱՏԱԿԱԶՄ</t>
  </si>
  <si>
    <t>ՀՀ ՎԱՅՈՑ ՁՈՐԻ ՄԱՐԶՊԵՏԻ ԱՇԽԱՏԱԿԱԶՄ</t>
  </si>
  <si>
    <t>ՀՀ ՏԱՎՈՒՇԻ ՄԱՐԶՊԵՏԻ ԱՇԽԱՏԱԿԱԶՄ</t>
  </si>
  <si>
    <t xml:space="preserve"> «Վեդու թիվ 2» նախադպրոցական ուսումնական հաստատություն ՀՈԱԿ</t>
  </si>
  <si>
    <t xml:space="preserve"> «Արտաշատ համայնքի Դալար գյուղի մանկապարտեզ» ՀՈԱԿ</t>
  </si>
  <si>
    <t xml:space="preserve"> «Վանաձորի թիվ 32 մանկապարտեզ» ՀՈԱԿ</t>
  </si>
  <si>
    <t xml:space="preserve"> «Լեռնաձորի մանկապարտեզ» ՀՈԱԿ</t>
  </si>
  <si>
    <t xml:space="preserve"> «Դիլիջանի թիվ 1 մանկապարտեզ» ՀՈԱԿ</t>
  </si>
  <si>
    <t xml:space="preserve"> «Հաղարծինի մանկապարտեզ» ՀՈԱԿ</t>
  </si>
  <si>
    <t xml:space="preserve"> «Կոթիի մսուր-մանկապարտեզ» ՀՈԱԿ</t>
  </si>
  <si>
    <t xml:space="preserve"> «Սարիգյուղի մանկապարտեզ» ՀՈԱԿ</t>
  </si>
  <si>
    <t xml:space="preserve"> «Բերդավանի մսուր-մանկապարտեզ» ՀՈԱԿ</t>
  </si>
  <si>
    <t xml:space="preserve"> «Ծովագյուղի մանկապարտեզ» ՀՈԱԿ</t>
  </si>
  <si>
    <t xml:space="preserve"> «Սևան համայնքի «Հեքիաթ» մանկապարտեզ» ՀՈԱԿ</t>
  </si>
  <si>
    <t>«Մարտունի քաղաքի թիվ 4 մանկապարտեզ» ՀՈԱԿ</t>
  </si>
  <si>
    <t xml:space="preserve"> «Ձորագյուղի մանկապարտեզ» ՀՈԱԿ</t>
  </si>
  <si>
    <t>Մանկապարտեզների նոր շենքերի կառուցում</t>
  </si>
  <si>
    <t>Հանրակրթական դպրոցների շենքերի վերակառուցում, հիմնանորոգում</t>
  </si>
  <si>
    <t>ՀՀ ՔԱՂԱՔԱՇԻՆՈՒԹՅԱՆ ԿՈՄԻՏԵ</t>
  </si>
  <si>
    <t xml:space="preserve"> Մանկապարտեզների նոր շենքերի կառուցում</t>
  </si>
  <si>
    <t>ՀՀ քաղաքաշինության կոմիտե</t>
  </si>
  <si>
    <t>Հանրակրթական դպրոցների նոր շենքերի կառուցում</t>
  </si>
  <si>
    <t>ՀՀ կրթության, գիտության, մշակությի և սպորտի նախարարություն</t>
  </si>
  <si>
    <t>«ՀԱՅԱUՏԱՆԻ ՀԱՆՐԱՊԵՏՈՒԹՅԱՆ 2026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</si>
  <si>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</si>
  <si>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>«ՀԱՅԱՍՏԱՆԻ ՀԱՆՐԱՊԵՏՈՒԹՅԱՆ 2026ԹՎԱԿԱՆԻ ՊԵՏԱԿԱՆ ԲՅՈՒՋԵԻ ՄԱՍԻՆ» ՕՐԵՆՔԻ N 1 ՀԱՎԵԼՎԱԾԻ N 4 ԱՂՅՈՒՍԱԿՈՒՄ ԵՎ ՀԱՅԱՍՏԱՆԻ ՀԱՆՐԱՊԵՏՈՒԹՅԱՆ ԿԱՌԱՎԱՐՈՒԹՅԱՆ 2025 ԹՎԱԿԱՆԻ ԴԵԿՏԵՄԲԵՐԻ 25-Ի N 1910-Ն ՈՐՈՇՄԱՆ N 5 ՀԱՎԵԼՎԱԾԻ N 3 ԱՂՅՈՒՍԱԿՈՒՄ ԿԱՏԱՐՎՈՂ ԼՐԱՑՈՒՄԸ</t>
  </si>
  <si>
    <t>Ինն ամիս</t>
  </si>
  <si>
    <t>Տարի</t>
  </si>
  <si>
    <t xml:space="preserve"> Ընդամենը  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</si>
  <si>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</si>
  <si>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</si>
  <si>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</si>
  <si>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Ցուցանիշների փոփոխությունը (ավելացումները նշված են դրական նշանով)  </t>
  </si>
  <si>
    <t xml:space="preserve"> ՀՀ  կրթության, գիտության, մշակույթի և սպորտի նախարարություն</t>
  </si>
  <si>
    <t xml:space="preserve"> 1192</t>
  </si>
  <si>
    <t xml:space="preserve"> Կրթության որակի ապահովում</t>
  </si>
  <si>
    <t xml:space="preserve"> 11023</t>
  </si>
  <si>
    <t xml:space="preserve"> Համաշխարհային բանկի աջակցությամբ իրականացվող «Կրթության բարելավման ծրագրի լրացուցիչ ֆինանսավորում» վարկային ծրագիր</t>
  </si>
  <si>
    <t xml:space="preserve"> ՀՀ  կրթության , գիտության, մշակույթի և սպորտի նախարարություն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</si>
  <si>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</si>
  <si>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</si>
  <si>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</si>
  <si>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Հավելված N 9 </t>
  </si>
  <si>
    <t>Հավելված N 8</t>
  </si>
  <si>
    <t>06</t>
  </si>
  <si>
    <t xml:space="preserve"> Կրթությանը տրամադրվող օժանդակ ծառայություններ</t>
  </si>
  <si>
    <t>02</t>
  </si>
  <si>
    <t xml:space="preserve"> - Շենքերի և շինությունների շինարարություն</t>
  </si>
  <si>
    <t xml:space="preserve"> Միջնակարգ ընդհանուր կրթություն</t>
  </si>
  <si>
    <t xml:space="preserve"> Հիմնական ընդհանուր կրթություն</t>
  </si>
  <si>
    <t xml:space="preserve"> 32003</t>
  </si>
  <si>
    <t xml:space="preserve"> Հանրակրթական դպրոցների նոր շենքերի կառուցում</t>
  </si>
  <si>
    <t xml:space="preserve"> Հանրակրթական դպրոցների շենքերի վերակառուցում, հիմնանորոգում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</si>
  <si>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</si>
  <si>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</si>
  <si>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</si>
  <si>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</si>
  <si>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</si>
  <si>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</si>
  <si>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>1192</t>
  </si>
  <si>
    <t>Կրթության որակի ապահովում</t>
  </si>
  <si>
    <t>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</si>
  <si>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>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</si>
  <si>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>1192 - 11023</t>
  </si>
  <si>
    <t>Համաշխարհային բանկի աջակցությամբ իրականացվող «Կրթության բարելավման ծրագրի լրացուցիչ ֆինանսավորում» վարկային ծրագիր</t>
  </si>
  <si>
    <t>Հանրակրթության որակի բարելավում, աջակցություն Նորարարությունների մրցակցային հիմնադրամի զարգացմանը, ծրագրի համակարգում և կառավարում</t>
  </si>
  <si>
    <t>Ծառայությունների մատուցում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</si>
  <si>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</si>
  <si>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 xml:space="preserve"> 1236 - 32001 </t>
  </si>
  <si>
    <t xml:space="preserve"> 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 </t>
  </si>
  <si>
    <t>Կառուցվող մանկապարտեզների քանակ, հատ</t>
  </si>
  <si>
    <t xml:space="preserve"> 1236 - 32003</t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</si>
  <si>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</si>
  <si>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Ակտիվն օգտագործող կազմակերպության անվանումը` Հանրակրթական դպրոցներ 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</si>
  <si>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</si>
  <si>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1236 - 32004</t>
  </si>
  <si>
    <t xml:space="preserve"> 1192 </t>
  </si>
  <si>
    <t xml:space="preserve"> Կրթության որակի ապահովում </t>
  </si>
  <si>
    <t xml:space="preserve"> 1192 - 11023 </t>
  </si>
  <si>
    <t xml:space="preserve"> Հանրակրթության որակի բարելավում, աջակցություն Նորարարությունների մրցակցային հիմնադրամի զարգացմանը, ծրագրի համակարգում և կառավարում </t>
  </si>
  <si>
    <t xml:space="preserve"> Ծառայությունների մատուցում </t>
  </si>
  <si>
    <t xml:space="preserve"> Ծառայությունը մատուցողի անվանումը`  Մասնագիտացված միավոր 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</si>
  <si>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</si>
  <si>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 xml:space="preserve"> 1236 - 32002</t>
  </si>
  <si>
    <t xml:space="preserve"> ԲՍԿ </t>
  </si>
  <si>
    <t>ՀՀ ԿԱՌԱՎԱՐՈՒԹՅՈՒՆ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</si>
  <si>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</si>
  <si>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 xml:space="preserve"> ՄԱՍ II. ԱՇԽԱՏԱՆՔՆԵՐ</t>
  </si>
  <si>
    <t>Վանաձորի 11</t>
  </si>
  <si>
    <t xml:space="preserve"> նախագծերի պատրաստում, ծախսերի գնահատում</t>
  </si>
  <si>
    <t>ՀՄԱ</t>
  </si>
  <si>
    <t xml:space="preserve"> փորձաքննության ծառայություններ</t>
  </si>
  <si>
    <t>Վանաձորի թիվ 11 մանկապարտեզ</t>
  </si>
  <si>
    <t>71621100-502</t>
  </si>
  <si>
    <t xml:space="preserve"> տեխնիկական վերլուծության և խրհրդատվության ծառայություններ</t>
  </si>
  <si>
    <t xml:space="preserve"> դրամ</t>
  </si>
  <si>
    <t xml:space="preserve"> ԱՅԼ ՀԻՄՆԱԿԱՆ ՄԻՋՈՑՆԵՐ</t>
  </si>
  <si>
    <t xml:space="preserve"> - Նախագծահետազոտական ծախսեր</t>
  </si>
  <si>
    <t xml:space="preserve"> ԾԱՌԱՅՈՒԹՅՈՒՆՆԵՐԻ  ԵՎ   ԱՊՐԱՆՔՆԵՐԻ  ՁԵՌՔԲԵՐՈՒՄ</t>
  </si>
  <si>
    <t xml:space="preserve"> ԱՅԼ ՄԱՍՆԱԳԻՏԱԿԱՆ ԾԱՌԱՅՈՒԹՅՈՒՆՆԵՐԻ ՁԵՌՔ ԲԵՐՈՒՄ</t>
  </si>
  <si>
    <t xml:space="preserve"> - Մասնագիտական ծառայություններ</t>
  </si>
  <si>
    <t>Նախագծանախահաշվային փաստաթղթերի քանակ, հատ</t>
  </si>
  <si>
    <t xml:space="preserve">Մանկապարտեզների վերանորոգման/հիմնանորոգման համար անհրաժեշտ տեխնիկական վիճակի զննության, չափագրության և նախահաշվային փաստաթղթերի քանակ, հատ </t>
  </si>
  <si>
    <t>1236-32004</t>
  </si>
  <si>
    <t>Խումբ N 02</t>
  </si>
  <si>
    <t>Ներքին Բազմաբերդ</t>
  </si>
  <si>
    <t>Հայաստանում Ֆրանկոֆոնիայի խաղերի անցկացման համար անհրաժեշտ ենթակառուցվածքների ապահովում</t>
  </si>
  <si>
    <t>Բաժին N 08</t>
  </si>
  <si>
    <t>Հանգստի և սպորտի ծառայություններ</t>
  </si>
  <si>
    <t>1041-21001</t>
  </si>
  <si>
    <t xml:space="preserve"> Հայաստանում Ֆրանկոֆոնիայի խաղերի անցկացման համար անհրաժեշտ ենթակառուցվածքների ապահովում</t>
  </si>
  <si>
    <t xml:space="preserve"> ՄԱՍ I. ԱՊՐԱՆՔՆԵՐ</t>
  </si>
  <si>
    <t>39121410-1</t>
  </si>
  <si>
    <t>30232130-1</t>
  </si>
  <si>
    <t>30239110-2</t>
  </si>
  <si>
    <t>սեղան` համակարգչի</t>
  </si>
  <si>
    <t>գունավոր տպիչներ</t>
  </si>
  <si>
    <t>տպիչ սարք, բազմաֆունկցիոնալ, A4, 18 էջ/րոպե արագության</t>
  </si>
  <si>
    <t>ԷԱՃ</t>
  </si>
  <si>
    <t>71631140-502</t>
  </si>
  <si>
    <t xml:space="preserve"> շենքերի տեխնիկական ստուգման ծառայություններ</t>
  </si>
  <si>
    <t>Հրազդան մարզադաշտ</t>
  </si>
  <si>
    <t>08</t>
  </si>
  <si>
    <t xml:space="preserve"> ՀԱՆԳԻՍՏ, ՄՇԱԿՈՒՅԹ ԵՎ ԿՐՈՆ</t>
  </si>
  <si>
    <t xml:space="preserve"> Հանգստի և սպորտի ծառայություններ</t>
  </si>
  <si>
    <t xml:space="preserve"> Մեծ նվաճումների սպորտ</t>
  </si>
  <si>
    <t xml:space="preserve"> ՄԵՔԵՆԱՆԵՐ  ԵՎ  ՍԱՐՔԱՎՈՐՈՒՄՆԵՐ</t>
  </si>
  <si>
    <t xml:space="preserve"> - Այլ մեքենաներ և սարքավորումներ</t>
  </si>
  <si>
    <t>1041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</si>
  <si>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</si>
  <si>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</si>
  <si>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</si>
  <si>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>1041 - 21001</t>
  </si>
  <si>
    <t>Հայաստանում 2027 թվականին Ֆրանկոֆոնիայի խաղերի անցկացման նպատակով համապատասխան ենթակառուցվածքների ստեղծում, բարելավում</t>
  </si>
  <si>
    <t>Հանրության կողմից անմիջականորեն օգտագործվող ակտիվների հետ կապված միջոցառումներ</t>
  </si>
  <si>
    <t xml:space="preserve"> Մեծ նվաճումների սպորտ </t>
  </si>
  <si>
    <t xml:space="preserve"> 1041 - 21001 </t>
  </si>
  <si>
    <t xml:space="preserve"> Հայաստանում 2027 թվականին Ֆրանկոֆոնիայի խաղերի անցկացման նպատակով համապատասխան ենթակառուցվածքների ստեղծում, բարելավում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</si>
  <si>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</si>
  <si>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մատուցողի անվանումը`  Մասնագիտացված կազմակերպություն</t>
  </si>
  <si>
    <t>Շենքերի և շինությունների տեխնիկական վիճակի հետազննություն և արձանագրավորում, հատ</t>
  </si>
  <si>
    <t>1236-11001</t>
  </si>
  <si>
    <t xml:space="preserve"> Հանրակրթական և նախադպրոցական հաստատությունների կառուցման, վերակառուցման, հիմնանորոգման ծրագրերի համակարգման և մոնիտորինգի ծառայություններ</t>
  </si>
  <si>
    <t xml:space="preserve"> </t>
  </si>
  <si>
    <t xml:space="preserve"> տեխնիկական վերլուծության և խորհրդատվության ծառայություններ</t>
  </si>
  <si>
    <t xml:space="preserve"> 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</si>
  <si>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 xml:space="preserve">այդ թվում՝ բյուջետային ծախսերի տնտեսագիտական դասակարգման հոդվածներ
</t>
  </si>
  <si>
    <t>1236 - 11001</t>
  </si>
  <si>
    <t>Հանրակրթական և նախադպրոցական հաստատությունների  կառուցման, վերակառուցման, հիմնանորոգման ծրագրերի  համակարգման և մոնիտորինգի ծառայություններ</t>
  </si>
  <si>
    <t>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</t>
  </si>
  <si>
    <t xml:space="preserve"> 1236 - 11001 </t>
  </si>
  <si>
    <t xml:space="preserve"> Հանրակրթական և նախադպրոցական հաստատություններիկառուցման, վերակառուցման, հիմնանորոգման ծրագրերիհամակարգման և մոնիտորինգի ծառայությունների ապահովում </t>
  </si>
  <si>
    <t xml:space="preserve">ՀԱՅԱՍՏԱՆԻ ՀԱՆՐԱՊԵՏՈՒԹՅԱՆ ԿԱՌԱՎԱՐՈՒԹՅԱՆ 2025 ԹՎԱԿԱՆԻ ԴԵԿՏԵՄԲԵՐԻ 25-Ի N 1910-Ն N 10 ՀԱՎԵԼՎԱԾՈՒՄ ԿԱՏԱՐՎՈՂ ՓՈՓՈԽՈՒԹՅՈՒՆՆԵՐԸ ԵՎ ԼՐԱՑՈՒՄՆԵՐԸ
</t>
  </si>
  <si>
    <t>Ցուցանիշների փոփոխությունը (ավելացումները նշված են դրական նշանով, իսկ նվազեցումները՝ փակագծերում)</t>
  </si>
  <si>
    <t>«ՀԱՅԱՍՏԱՆԻ ՀԱՆՐԱՊԵՏՈՒԹՅԱՆ 2025 ԹՎԱԿԱՆԻ ՊԵՏԱԿԱՆ ԲՅՈՒՋԵԻ ՄԱՍԻՆ» ՕՐԵՆՔԻ 3-ՐԴ ՀՈԴՎԱԾԻ, N 3 ՀԱՎԵԼՎԱԾԻ N 1 ԱՂՅՈՒՍԱԿՈՒՄ ԵՎ ՀԱՅԱՍՏԱՆԻ ՀԱՆՐԱՊԵՏՈՒԹՅԱՆ ԿԱՌԱՎԱՐՈՒԹՅԱՆ 2025 ԹՎԱԿԱՆԻ ԴԵԿՏԵՄԲԵՐԻ 25-Ի N 1910-Ն ՈՐՈՇՄԱՆ N 1 ՀԱՎԵԼՎԱԾԻ N 1 ԱՂՅՈՒՍԱԿՈՒՄ ԿԱՏԱՐՎՈՂ ՓՈՓՈԽՈՒԹՅՈՒՆԸ</t>
  </si>
  <si>
    <t xml:space="preserve"> - Ընթացիկ դրամաշնորհներ պետական և համայնքային ոչ առևտրային կազմակերպություններին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</si>
</sst>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0_);\(0\)"/>
    <numFmt numFmtId="173" formatCode="#,##0.0"/>
    <numFmt numFmtId="174" formatCode="_-* #,##0.0\ _р_._-;\-* #,##0.0\ _р_._-;_-* &quot;-&quot;?\ _р_._-;_-@_-"/>
    <numFmt numFmtId="175" formatCode="0.000%"/>
    <numFmt numFmtId="176" formatCode="_(* #,##0.000_);_(* \(#,##0.000\);_(* &quot;-&quot;??_);_(@_)"/>
    <numFmt numFmtId="177" formatCode="##,##0;\(##,##0\);\-"/>
  </numFmts>
  <fonts count="11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b/>
      <sz val="9"/>
      <name val="GHEA Grapalat"/>
      <family val="2"/>
    </font>
    <font>
      <sz val="8"/>
      <name val="Calibri"/>
      <family val="2"/>
      <charset val="1"/>
      <scheme val="minor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i/>
      <sz val="12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rgb="FFFF0000"/>
      <name val="Calibri"/>
      <family val="2"/>
      <charset val="1"/>
      <scheme val="minor"/>
    </font>
    <font>
      <sz val="12"/>
      <color theme="9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theme="9"/>
      <name val="Calibri"/>
      <family val="2"/>
      <charset val="1"/>
      <scheme val="minor"/>
    </font>
    <font>
      <b/>
      <sz val="11"/>
      <name val="GHEA Grapalat"/>
      <family val="2"/>
    </font>
    <font>
      <sz val="11"/>
      <name val="GHEA Grapalat"/>
      <family val="2"/>
    </font>
    <font>
      <b/>
      <sz val="12"/>
      <name val="GHEA Grapalat"/>
      <family val="2"/>
    </font>
    <font>
      <sz val="12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18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3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4">
      <protection locked="0"/>
    </xf>
    <xf numFmtId="170" fontId="83" fillId="56" borderId="24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3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51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3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16" fillId="55" borderId="23" applyNumberFormat="0" applyFont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3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165" fontId="95" fillId="0" borderId="0" applyFill="0" applyBorder="0" applyProtection="0">
      <alignment horizontal="right" vertical="top"/>
    </xf>
    <xf numFmtId="0" fontId="16" fillId="0" borderId="0"/>
  </cellStyleXfs>
  <cellXfs count="423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vertical="center"/>
    </xf>
    <xf numFmtId="168" fontId="17" fillId="2" borderId="25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5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8" fontId="73" fillId="2" borderId="21" xfId="7" applyNumberFormat="1" applyFont="1" applyFill="1" applyBorder="1" applyAlignment="1">
      <alignment horizontal="right" vertical="center" wrapText="1"/>
    </xf>
    <xf numFmtId="166" fontId="74" fillId="2" borderId="0" xfId="253" applyNumberFormat="1" applyFont="1" applyFill="1" applyAlignment="1">
      <alignment wrapText="1"/>
    </xf>
    <xf numFmtId="0" fontId="85" fillId="2" borderId="29" xfId="165" applyFont="1" applyFill="1" applyBorder="1">
      <alignment horizontal="left" vertical="top" wrapText="1"/>
    </xf>
    <xf numFmtId="168" fontId="17" fillId="2" borderId="29" xfId="96" applyNumberFormat="1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9" xfId="0" applyFont="1" applyFill="1" applyBorder="1" applyAlignment="1">
      <alignment vertical="center" wrapText="1"/>
    </xf>
    <xf numFmtId="0" fontId="17" fillId="2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8" fontId="17" fillId="57" borderId="25" xfId="96" applyNumberFormat="1" applyFont="1" applyFill="1" applyBorder="1" applyAlignment="1">
      <alignment horizontal="center" vertical="center" wrapText="1"/>
    </xf>
    <xf numFmtId="168" fontId="17" fillId="58" borderId="25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29" xfId="0" applyFont="1" applyFill="1" applyBorder="1" applyAlignment="1">
      <alignment horizontal="center"/>
    </xf>
    <xf numFmtId="0" fontId="17" fillId="2" borderId="29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center" wrapText="1"/>
    </xf>
    <xf numFmtId="0" fontId="73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center" wrapText="1"/>
    </xf>
    <xf numFmtId="49" fontId="73" fillId="2" borderId="29" xfId="0" applyNumberFormat="1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top" wrapText="1"/>
    </xf>
    <xf numFmtId="0" fontId="17" fillId="2" borderId="26" xfId="0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center"/>
    </xf>
    <xf numFmtId="49" fontId="17" fillId="2" borderId="29" xfId="96" applyNumberFormat="1" applyFont="1" applyFill="1" applyBorder="1" applyAlignment="1">
      <alignment horizontal="center" vertical="center" textRotation="90" wrapText="1"/>
    </xf>
    <xf numFmtId="166" fontId="14" fillId="2" borderId="29" xfId="165" applyNumberFormat="1" applyFont="1" applyFill="1" applyBorder="1" applyAlignment="1">
      <alignment horizontal="center" vertical="center" wrapText="1"/>
    </xf>
    <xf numFmtId="0" fontId="92" fillId="2" borderId="29" xfId="253" applyFont="1" applyFill="1" applyBorder="1" applyAlignment="1">
      <alignment horizontal="center" vertical="center" wrapText="1"/>
    </xf>
    <xf numFmtId="0" fontId="85" fillId="2" borderId="29" xfId="253" applyFont="1" applyFill="1" applyBorder="1" applyAlignment="1">
      <alignment horizontal="center" vertical="center" wrapText="1"/>
    </xf>
    <xf numFmtId="166" fontId="93" fillId="0" borderId="29" xfId="96" applyNumberFormat="1" applyFont="1" applyBorder="1" applyAlignment="1">
      <alignment horizontal="center" vertical="center" wrapText="1"/>
    </xf>
    <xf numFmtId="0" fontId="17" fillId="2" borderId="29" xfId="96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29" xfId="299" applyFont="1" applyFill="1" applyBorder="1" applyAlignment="1">
      <alignment horizontal="center"/>
    </xf>
    <xf numFmtId="166" fontId="73" fillId="2" borderId="29" xfId="96" applyNumberFormat="1" applyFont="1" applyFill="1" applyBorder="1" applyAlignment="1">
      <alignment vertical="center" wrapText="1"/>
    </xf>
    <xf numFmtId="0" fontId="87" fillId="2" borderId="29" xfId="0" applyFont="1" applyFill="1" applyBorder="1"/>
    <xf numFmtId="0" fontId="94" fillId="2" borderId="26" xfId="96" applyFont="1" applyFill="1" applyBorder="1" applyAlignment="1">
      <alignment horizontal="center" vertical="center" wrapText="1"/>
    </xf>
    <xf numFmtId="166" fontId="94" fillId="2" borderId="29" xfId="6" applyNumberFormat="1" applyFont="1" applyFill="1" applyBorder="1" applyAlignment="1">
      <alignment horizontal="center" vertical="center"/>
    </xf>
    <xf numFmtId="0" fontId="73" fillId="2" borderId="29" xfId="0" applyFont="1" applyFill="1" applyBorder="1" applyAlignment="1">
      <alignment horizontal="center"/>
    </xf>
    <xf numFmtId="166" fontId="73" fillId="2" borderId="29" xfId="253" applyNumberFormat="1" applyFont="1" applyFill="1" applyBorder="1"/>
    <xf numFmtId="0" fontId="94" fillId="2" borderId="26" xfId="96" applyFont="1" applyFill="1" applyBorder="1" applyAlignment="1">
      <alignment horizontal="left" vertical="center" wrapText="1"/>
    </xf>
    <xf numFmtId="166" fontId="17" fillId="2" borderId="29" xfId="253" applyNumberFormat="1" applyFont="1" applyFill="1" applyBorder="1" applyAlignment="1">
      <alignment vertical="center"/>
    </xf>
    <xf numFmtId="0" fontId="85" fillId="2" borderId="29" xfId="0" applyFont="1" applyFill="1" applyBorder="1" applyAlignment="1">
      <alignment vertical="center" wrapText="1"/>
    </xf>
    <xf numFmtId="166" fontId="73" fillId="2" borderId="29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43" fontId="73" fillId="2" borderId="0" xfId="7" applyFont="1" applyFill="1" applyAlignment="1">
      <alignment vertical="top"/>
    </xf>
    <xf numFmtId="43" fontId="97" fillId="2" borderId="0" xfId="7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0" fontId="73" fillId="2" borderId="0" xfId="299" applyFont="1" applyFill="1"/>
    <xf numFmtId="43" fontId="73" fillId="2" borderId="0" xfId="7" applyFont="1" applyFill="1"/>
    <xf numFmtId="43" fontId="97" fillId="2" borderId="0" xfId="7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1" fontId="73" fillId="2" borderId="0" xfId="2027" applyFont="1" applyFill="1"/>
    <xf numFmtId="173" fontId="17" fillId="2" borderId="29" xfId="96" applyNumberFormat="1" applyFont="1" applyFill="1" applyBorder="1" applyAlignment="1">
      <alignment horizontal="center" vertical="center" wrapText="1"/>
    </xf>
    <xf numFmtId="174" fontId="73" fillId="2" borderId="0" xfId="299" applyNumberFormat="1" applyFont="1" applyFill="1"/>
    <xf numFmtId="49" fontId="73" fillId="2" borderId="29" xfId="96" applyNumberFormat="1" applyFont="1" applyFill="1" applyBorder="1" applyAlignment="1">
      <alignment horizontal="center" vertical="center" textRotation="90" wrapText="1"/>
    </xf>
    <xf numFmtId="168" fontId="98" fillId="2" borderId="29" xfId="96" applyNumberFormat="1" applyFont="1" applyFill="1" applyBorder="1" applyAlignment="1">
      <alignment horizontal="center" vertical="center" wrapText="1"/>
    </xf>
    <xf numFmtId="43" fontId="98" fillId="2" borderId="0" xfId="299" applyNumberFormat="1" applyFont="1" applyFill="1"/>
    <xf numFmtId="43" fontId="98" fillId="2" borderId="0" xfId="7" applyFont="1" applyFill="1"/>
    <xf numFmtId="0" fontId="73" fillId="2" borderId="29" xfId="96" applyFont="1" applyFill="1" applyBorder="1" applyAlignment="1">
      <alignment horizontal="center" vertical="center" wrapText="1"/>
    </xf>
    <xf numFmtId="0" fontId="92" fillId="2" borderId="29" xfId="96" applyFont="1" applyFill="1" applyBorder="1" applyAlignment="1">
      <alignment horizontal="center" vertical="center" wrapText="1"/>
    </xf>
    <xf numFmtId="173" fontId="73" fillId="2" borderId="29" xfId="96" applyNumberFormat="1" applyFont="1" applyFill="1" applyBorder="1" applyAlignment="1">
      <alignment horizontal="center" vertical="center" wrapText="1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/>
    </xf>
    <xf numFmtId="0" fontId="73" fillId="2" borderId="29" xfId="0" applyFont="1" applyFill="1" applyBorder="1"/>
    <xf numFmtId="175" fontId="73" fillId="2" borderId="29" xfId="2029" applyNumberFormat="1" applyFont="1" applyFill="1" applyBorder="1"/>
    <xf numFmtId="0" fontId="73" fillId="2" borderId="22" xfId="0" applyFont="1" applyFill="1" applyBorder="1"/>
    <xf numFmtId="0" fontId="94" fillId="2" borderId="29" xfId="0" applyFont="1" applyFill="1" applyBorder="1" applyAlignment="1">
      <alignment vertical="center" wrapText="1"/>
    </xf>
    <xf numFmtId="166" fontId="94" fillId="2" borderId="29" xfId="223" applyNumberFormat="1" applyFont="1" applyFill="1" applyBorder="1"/>
    <xf numFmtId="43" fontId="99" fillId="2" borderId="0" xfId="7" applyFont="1" applyFill="1"/>
    <xf numFmtId="43" fontId="100" fillId="2" borderId="0" xfId="7" applyFont="1" applyFill="1"/>
    <xf numFmtId="0" fontId="99" fillId="2" borderId="0" xfId="0" applyFont="1" applyFill="1"/>
    <xf numFmtId="0" fontId="85" fillId="0" borderId="29" xfId="0" applyFont="1" applyBorder="1" applyAlignment="1">
      <alignment vertical="center" wrapText="1"/>
    </xf>
    <xf numFmtId="166" fontId="85" fillId="2" borderId="29" xfId="223" applyNumberFormat="1" applyFont="1" applyFill="1" applyBorder="1" applyAlignment="1">
      <alignment vertical="center"/>
    </xf>
    <xf numFmtId="43" fontId="101" fillId="2" borderId="0" xfId="7" applyFont="1" applyFill="1"/>
    <xf numFmtId="43" fontId="102" fillId="2" borderId="0" xfId="7" applyFont="1" applyFill="1"/>
    <xf numFmtId="0" fontId="101" fillId="2" borderId="0" xfId="0" applyFont="1" applyFill="1"/>
    <xf numFmtId="0" fontId="98" fillId="2" borderId="0" xfId="299" applyFont="1" applyFill="1"/>
    <xf numFmtId="0" fontId="73" fillId="2" borderId="22" xfId="0" applyFont="1" applyFill="1" applyBorder="1" applyAlignment="1">
      <alignment vertical="center"/>
    </xf>
    <xf numFmtId="166" fontId="94" fillId="2" borderId="29" xfId="223" applyNumberFormat="1" applyFont="1" applyFill="1" applyBorder="1" applyAlignment="1">
      <alignment vertical="center"/>
    </xf>
    <xf numFmtId="43" fontId="99" fillId="2" borderId="0" xfId="7" applyFont="1" applyFill="1" applyAlignment="1">
      <alignment vertical="center"/>
    </xf>
    <xf numFmtId="43" fontId="100" fillId="2" borderId="0" xfId="7" applyFont="1" applyFill="1" applyAlignment="1">
      <alignment vertical="center"/>
    </xf>
    <xf numFmtId="0" fontId="99" fillId="2" borderId="0" xfId="0" applyFont="1" applyFill="1" applyAlignment="1">
      <alignment vertical="center"/>
    </xf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10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1736" applyFont="1" applyFill="1" applyBorder="1" applyAlignment="1">
      <alignment horizontal="center" vertical="center"/>
    </xf>
    <xf numFmtId="0" fontId="73" fillId="2" borderId="29" xfId="1735" applyFont="1" applyFill="1" applyBorder="1" applyAlignment="1">
      <alignment horizontal="center"/>
    </xf>
    <xf numFmtId="168" fontId="17" fillId="59" borderId="29" xfId="7" applyNumberFormat="1" applyFont="1" applyFill="1" applyBorder="1" applyAlignment="1">
      <alignment horizontal="center" vertical="center" wrapText="1"/>
    </xf>
    <xf numFmtId="0" fontId="73" fillId="57" borderId="29" xfId="0" applyFont="1" applyFill="1" applyBorder="1" applyAlignment="1">
      <alignment wrapText="1"/>
    </xf>
    <xf numFmtId="168" fontId="73" fillId="57" borderId="26" xfId="0" applyNumberFormat="1" applyFont="1" applyFill="1" applyBorder="1" applyAlignment="1">
      <alignment horizontal="right" vertical="center" wrapText="1"/>
    </xf>
    <xf numFmtId="0" fontId="103" fillId="2" borderId="0" xfId="299" applyFont="1" applyFill="1" applyAlignment="1">
      <alignment vertical="center"/>
    </xf>
    <xf numFmtId="0" fontId="73" fillId="2" borderId="0" xfId="299" applyFont="1" applyFill="1" applyAlignment="1">
      <alignment vertical="center"/>
    </xf>
    <xf numFmtId="0" fontId="73" fillId="2" borderId="29" xfId="299" applyFont="1" applyFill="1" applyBorder="1" applyAlignment="1">
      <alignment vertical="top"/>
    </xf>
    <xf numFmtId="168" fontId="73" fillId="2" borderId="29" xfId="7" applyNumberFormat="1" applyFont="1" applyFill="1" applyBorder="1" applyAlignment="1">
      <alignment horizontal="right" vertical="top" wrapText="1"/>
    </xf>
    <xf numFmtId="0" fontId="73" fillId="2" borderId="28" xfId="1737" applyFont="1" applyFill="1" applyBorder="1" applyAlignment="1">
      <alignment vertical="center"/>
    </xf>
    <xf numFmtId="0" fontId="73" fillId="2" borderId="33" xfId="1737" applyFont="1" applyFill="1" applyBorder="1" applyAlignment="1">
      <alignment vertical="center"/>
    </xf>
    <xf numFmtId="0" fontId="73" fillId="2" borderId="33" xfId="1737" applyFont="1" applyFill="1" applyBorder="1" applyAlignment="1">
      <alignment horizontal="center" vertical="center"/>
    </xf>
    <xf numFmtId="168" fontId="73" fillId="2" borderId="26" xfId="1737" applyNumberFormat="1" applyFont="1" applyFill="1" applyBorder="1" applyAlignment="1">
      <alignment vertical="center"/>
    </xf>
    <xf numFmtId="0" fontId="73" fillId="2" borderId="29" xfId="299" applyFont="1" applyFill="1" applyBorder="1" applyAlignment="1">
      <alignment horizontal="left" vertical="center" wrapText="1"/>
    </xf>
    <xf numFmtId="0" fontId="73" fillId="2" borderId="29" xfId="299" applyFont="1" applyFill="1" applyBorder="1" applyAlignment="1">
      <alignment horizontal="center" vertical="center" wrapText="1"/>
    </xf>
    <xf numFmtId="165" fontId="73" fillId="2" borderId="29" xfId="6" applyFont="1" applyFill="1" applyBorder="1" applyAlignment="1">
      <alignment horizontal="center" vertical="center"/>
    </xf>
    <xf numFmtId="172" fontId="73" fillId="0" borderId="29" xfId="0" applyNumberFormat="1" applyFont="1" applyBorder="1" applyAlignment="1">
      <alignment horizontal="center" vertical="center"/>
    </xf>
    <xf numFmtId="168" fontId="73" fillId="0" borderId="29" xfId="0" applyNumberFormat="1" applyFont="1" applyBorder="1" applyAlignment="1">
      <alignment horizontal="right" vertical="center" wrapText="1"/>
    </xf>
    <xf numFmtId="0" fontId="103" fillId="2" borderId="0" xfId="299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104" fillId="0" borderId="0" xfId="0" applyFont="1"/>
    <xf numFmtId="0" fontId="105" fillId="0" borderId="0" xfId="0" applyFont="1"/>
    <xf numFmtId="168" fontId="103" fillId="2" borderId="0" xfId="299" applyNumberFormat="1" applyFont="1" applyFill="1"/>
    <xf numFmtId="166" fontId="17" fillId="0" borderId="29" xfId="253" applyNumberFormat="1" applyFont="1" applyBorder="1" applyAlignment="1">
      <alignment vertical="center"/>
    </xf>
    <xf numFmtId="43" fontId="73" fillId="2" borderId="0" xfId="253" applyNumberFormat="1" applyFont="1" applyFill="1"/>
    <xf numFmtId="0" fontId="14" fillId="2" borderId="26" xfId="0" applyFont="1" applyFill="1" applyBorder="1" applyAlignment="1">
      <alignment horizontal="center" vertical="center" wrapText="1"/>
    </xf>
    <xf numFmtId="166" fontId="17" fillId="2" borderId="29" xfId="7" applyNumberFormat="1" applyFont="1" applyFill="1" applyBorder="1" applyAlignment="1">
      <alignment vertical="center"/>
    </xf>
    <xf numFmtId="166" fontId="73" fillId="0" borderId="29" xfId="253" applyNumberFormat="1" applyFont="1" applyBorder="1"/>
    <xf numFmtId="0" fontId="17" fillId="2" borderId="1" xfId="0" applyFont="1" applyFill="1" applyBorder="1"/>
    <xf numFmtId="0" fontId="17" fillId="2" borderId="2" xfId="0" applyFont="1" applyFill="1" applyBorder="1"/>
    <xf numFmtId="0" fontId="17" fillId="2" borderId="29" xfId="0" applyFont="1" applyFill="1" applyBorder="1"/>
    <xf numFmtId="0" fontId="73" fillId="2" borderId="31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vertical="center" wrapText="1"/>
    </xf>
    <xf numFmtId="0" fontId="74" fillId="2" borderId="0" xfId="0" applyFont="1" applyFill="1"/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166" fontId="73" fillId="2" borderId="0" xfId="3117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43" fontId="17" fillId="2" borderId="29" xfId="2022" applyFont="1" applyFill="1" applyBorder="1" applyAlignment="1">
      <alignment wrapText="1"/>
    </xf>
    <xf numFmtId="168" fontId="17" fillId="2" borderId="29" xfId="7" applyNumberFormat="1" applyFont="1" applyFill="1" applyBorder="1" applyAlignment="1">
      <alignment horizontal="center" vertical="top" wrapText="1"/>
    </xf>
    <xf numFmtId="0" fontId="14" fillId="2" borderId="0" xfId="0" applyFont="1" applyFill="1"/>
    <xf numFmtId="166" fontId="14" fillId="2" borderId="0" xfId="0" applyNumberFormat="1" applyFont="1" applyFill="1"/>
    <xf numFmtId="43" fontId="73" fillId="2" borderId="29" xfId="2022" applyFont="1" applyFill="1" applyBorder="1" applyAlignment="1">
      <alignment vertical="center" wrapText="1"/>
    </xf>
    <xf numFmtId="166" fontId="73" fillId="2" borderId="29" xfId="2022" applyNumberFormat="1" applyFont="1" applyFill="1" applyBorder="1" applyAlignment="1">
      <alignment horizontal="center" vertical="center"/>
    </xf>
    <xf numFmtId="43" fontId="17" fillId="2" borderId="29" xfId="2022" applyFont="1" applyFill="1" applyBorder="1" applyAlignment="1">
      <alignment vertical="center" wrapText="1"/>
    </xf>
    <xf numFmtId="166" fontId="17" fillId="2" borderId="29" xfId="2022" applyNumberFormat="1" applyFont="1" applyFill="1" applyBorder="1" applyAlignment="1">
      <alignment horizontal="left" vertical="center"/>
    </xf>
    <xf numFmtId="43" fontId="17" fillId="2" borderId="0" xfId="2022" applyFont="1" applyFill="1"/>
    <xf numFmtId="166" fontId="73" fillId="2" borderId="29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5" fillId="2" borderId="29" xfId="2022" applyFont="1" applyFill="1" applyBorder="1" applyAlignment="1">
      <alignment vertical="center" wrapText="1"/>
    </xf>
    <xf numFmtId="166" fontId="85" fillId="2" borderId="29" xfId="2022" applyNumberFormat="1" applyFont="1" applyFill="1" applyBorder="1" applyAlignment="1">
      <alignment horizontal="left" vertical="center"/>
    </xf>
    <xf numFmtId="43" fontId="85" fillId="2" borderId="0" xfId="2022" applyFont="1" applyFill="1"/>
    <xf numFmtId="0" fontId="74" fillId="2" borderId="0" xfId="2025" applyFont="1" applyFill="1"/>
    <xf numFmtId="0" fontId="74" fillId="2" borderId="29" xfId="0" applyFont="1" applyFill="1" applyBorder="1" applyAlignment="1">
      <alignment vertical="center" wrapText="1"/>
    </xf>
    <xf numFmtId="0" fontId="74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73" fillId="2" borderId="0" xfId="0" applyFont="1" applyFill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vertical="center"/>
    </xf>
    <xf numFmtId="0" fontId="17" fillId="0" borderId="29" xfId="96" applyFont="1" applyBorder="1" applyAlignment="1">
      <alignment horizontal="center" vertical="center" wrapText="1"/>
    </xf>
    <xf numFmtId="0" fontId="17" fillId="0" borderId="29" xfId="96" applyFont="1" applyBorder="1" applyAlignment="1">
      <alignment horizontal="left" vertical="center" wrapText="1"/>
    </xf>
    <xf numFmtId="0" fontId="73" fillId="2" borderId="29" xfId="0" applyFont="1" applyFill="1" applyBorder="1" applyAlignment="1">
      <alignment vertical="top" wrapText="1"/>
    </xf>
    <xf numFmtId="168" fontId="73" fillId="2" borderId="0" xfId="0" applyNumberFormat="1" applyFont="1" applyFill="1" applyAlignment="1">
      <alignment horizontal="left" vertical="top" wrapText="1"/>
    </xf>
    <xf numFmtId="166" fontId="17" fillId="2" borderId="29" xfId="7" applyNumberFormat="1" applyFont="1" applyFill="1" applyBorder="1" applyAlignment="1">
      <alignment horizontal="center" vertical="top"/>
    </xf>
    <xf numFmtId="166" fontId="17" fillId="2" borderId="29" xfId="7" applyNumberFormat="1" applyFont="1" applyFill="1" applyBorder="1" applyAlignment="1">
      <alignment horizontal="right" vertical="top"/>
    </xf>
    <xf numFmtId="43" fontId="17" fillId="2" borderId="29" xfId="7" applyFont="1" applyFill="1" applyBorder="1" applyAlignment="1">
      <alignment horizontal="left" vertical="top" wrapText="1"/>
    </xf>
    <xf numFmtId="43" fontId="17" fillId="2" borderId="0" xfId="7" applyFont="1" applyFill="1" applyAlignment="1">
      <alignment horizontal="left" vertical="top" wrapText="1"/>
    </xf>
    <xf numFmtId="166" fontId="73" fillId="2" borderId="29" xfId="0" applyNumberFormat="1" applyFont="1" applyFill="1" applyBorder="1" applyAlignment="1">
      <alignment horizontal="left" vertical="top" wrapText="1"/>
    </xf>
    <xf numFmtId="43" fontId="73" fillId="2" borderId="29" xfId="7" applyFont="1" applyFill="1" applyBorder="1" applyAlignment="1">
      <alignment horizontal="center" vertical="top" wrapText="1"/>
    </xf>
    <xf numFmtId="1" fontId="73" fillId="2" borderId="29" xfId="7" applyNumberFormat="1" applyFont="1" applyFill="1" applyBorder="1" applyAlignment="1">
      <alignment horizontal="center" vertical="top" wrapText="1"/>
    </xf>
    <xf numFmtId="43" fontId="73" fillId="2" borderId="29" xfId="7" applyFont="1" applyFill="1" applyBorder="1" applyAlignment="1">
      <alignment horizontal="left" vertical="top" wrapText="1"/>
    </xf>
    <xf numFmtId="166" fontId="73" fillId="2" borderId="29" xfId="7" applyNumberFormat="1" applyFont="1" applyFill="1" applyBorder="1" applyAlignment="1">
      <alignment horizontal="center" vertical="top"/>
    </xf>
    <xf numFmtId="43" fontId="73" fillId="2" borderId="0" xfId="7" applyFont="1" applyFill="1" applyAlignment="1">
      <alignment horizontal="center" vertical="top" wrapText="1"/>
    </xf>
    <xf numFmtId="43" fontId="85" fillId="2" borderId="29" xfId="7" applyFont="1" applyFill="1" applyBorder="1" applyAlignment="1">
      <alignment horizontal="left" vertical="top" wrapText="1"/>
    </xf>
    <xf numFmtId="166" fontId="85" fillId="2" borderId="29" xfId="7" applyNumberFormat="1" applyFont="1" applyFill="1" applyBorder="1" applyAlignment="1">
      <alignment horizontal="right" vertical="top"/>
    </xf>
    <xf numFmtId="43" fontId="73" fillId="2" borderId="0" xfId="7" applyFont="1" applyFill="1" applyAlignment="1">
      <alignment horizontal="left" vertical="top" wrapText="1"/>
    </xf>
    <xf numFmtId="166" fontId="73" fillId="2" borderId="29" xfId="6" applyNumberFormat="1" applyFont="1" applyFill="1" applyBorder="1">
      <alignment horizontal="right" vertical="top"/>
    </xf>
    <xf numFmtId="0" fontId="73" fillId="0" borderId="26" xfId="0" applyFont="1" applyBorder="1" applyAlignment="1">
      <alignment horizontal="left" vertical="top" wrapText="1"/>
    </xf>
    <xf numFmtId="43" fontId="17" fillId="2" borderId="29" xfId="7" applyFont="1" applyFill="1" applyBorder="1" applyAlignment="1">
      <alignment horizontal="center" vertical="top" wrapText="1"/>
    </xf>
    <xf numFmtId="166" fontId="73" fillId="2" borderId="29" xfId="7" applyNumberFormat="1" applyFont="1" applyFill="1" applyBorder="1" applyAlignment="1">
      <alignment horizontal="left" vertical="top" wrapText="1"/>
    </xf>
    <xf numFmtId="166" fontId="98" fillId="2" borderId="29" xfId="96" applyNumberFormat="1" applyFont="1" applyFill="1" applyBorder="1" applyAlignment="1">
      <alignment vertical="center" wrapText="1"/>
    </xf>
    <xf numFmtId="168" fontId="17" fillId="2" borderId="29" xfId="7" applyNumberFormat="1" applyFont="1" applyFill="1" applyBorder="1" applyAlignment="1">
      <alignment vertical="center" wrapText="1"/>
    </xf>
    <xf numFmtId="168" fontId="73" fillId="2" borderId="29" xfId="7" applyNumberFormat="1" applyFont="1" applyFill="1" applyBorder="1" applyAlignment="1">
      <alignment vertical="center" wrapText="1"/>
    </xf>
    <xf numFmtId="0" fontId="17" fillId="0" borderId="29" xfId="0" applyFont="1" applyBorder="1" applyAlignment="1">
      <alignment horizontal="left" vertical="top" wrapText="1"/>
    </xf>
    <xf numFmtId="165" fontId="17" fillId="0" borderId="29" xfId="3116" applyFont="1" applyBorder="1">
      <alignment horizontal="right" vertical="top"/>
    </xf>
    <xf numFmtId="0" fontId="73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right" vertical="top" wrapText="1"/>
    </xf>
    <xf numFmtId="0" fontId="17" fillId="0" borderId="29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top" wrapText="1"/>
    </xf>
    <xf numFmtId="43" fontId="74" fillId="2" borderId="0" xfId="2025" applyNumberFormat="1" applyFont="1" applyFill="1"/>
    <xf numFmtId="0" fontId="73" fillId="0" borderId="29" xfId="0" applyFont="1" applyBorder="1" applyAlignment="1">
      <alignment horizontal="left" vertical="center" wrapText="1"/>
    </xf>
    <xf numFmtId="0" fontId="17" fillId="2" borderId="29" xfId="0" applyFont="1" applyFill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/>
    </xf>
    <xf numFmtId="0" fontId="17" fillId="2" borderId="31" xfId="0" applyFont="1" applyFill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73" fillId="2" borderId="22" xfId="0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center" wrapText="1"/>
    </xf>
    <xf numFmtId="0" fontId="73" fillId="0" borderId="29" xfId="0" applyFont="1" applyBorder="1" applyAlignment="1">
      <alignment horizontal="left" vertical="top" wrapText="1"/>
    </xf>
    <xf numFmtId="0" fontId="73" fillId="0" borderId="29" xfId="0" applyFont="1" applyBorder="1" applyAlignment="1">
      <alignment horizontal="center" vertical="top" wrapText="1"/>
    </xf>
    <xf numFmtId="0" fontId="73" fillId="2" borderId="29" xfId="299" applyFont="1" applyFill="1" applyBorder="1" applyAlignment="1">
      <alignment horizontal="left" vertical="center" wrapText="1"/>
    </xf>
    <xf numFmtId="0" fontId="85" fillId="0" borderId="29" xfId="0" applyFont="1" applyFill="1" applyBorder="1" applyAlignment="1">
      <alignment vertical="center" wrapText="1"/>
    </xf>
    <xf numFmtId="0" fontId="73" fillId="2" borderId="0" xfId="0" applyFont="1" applyFill="1" applyAlignment="1">
      <alignment vertical="top"/>
    </xf>
    <xf numFmtId="0" fontId="73" fillId="0" borderId="0" xfId="0" applyFont="1" applyAlignment="1">
      <alignment horizontal="left" vertical="center" wrapText="1"/>
    </xf>
    <xf numFmtId="39" fontId="73" fillId="57" borderId="26" xfId="0" applyNumberFormat="1" applyFont="1" applyFill="1" applyBorder="1" applyAlignment="1">
      <alignment horizontal="right" vertical="center" wrapText="1"/>
    </xf>
    <xf numFmtId="0" fontId="73" fillId="0" borderId="0" xfId="299" applyFont="1" applyAlignment="1">
      <alignment horizontal="left" vertical="center" wrapText="1"/>
    </xf>
    <xf numFmtId="168" fontId="73" fillId="2" borderId="26" xfId="0" applyNumberFormat="1" applyFont="1" applyFill="1" applyBorder="1" applyAlignment="1">
      <alignment horizontal="right" vertical="top" wrapText="1"/>
    </xf>
    <xf numFmtId="0" fontId="73" fillId="2" borderId="0" xfId="0" applyFont="1" applyFill="1" applyAlignment="1">
      <alignment horizontal="left" vertical="center" wrapText="1"/>
    </xf>
    <xf numFmtId="165" fontId="73" fillId="0" borderId="29" xfId="6" applyFont="1" applyBorder="1" applyAlignment="1">
      <alignment horizontal="center" vertical="center"/>
    </xf>
    <xf numFmtId="177" fontId="73" fillId="0" borderId="29" xfId="6" applyNumberFormat="1" applyFont="1" applyBorder="1" applyAlignment="1">
      <alignment horizontal="center" vertical="center"/>
    </xf>
    <xf numFmtId="0" fontId="74" fillId="2" borderId="26" xfId="0" applyFont="1" applyFill="1" applyBorder="1" applyAlignment="1">
      <alignment vertical="center" wrapText="1"/>
    </xf>
    <xf numFmtId="0" fontId="73" fillId="0" borderId="29" xfId="299" applyFont="1" applyBorder="1" applyAlignment="1">
      <alignment vertical="top"/>
    </xf>
    <xf numFmtId="0" fontId="73" fillId="57" borderId="29" xfId="0" applyFont="1" applyFill="1" applyBorder="1" applyAlignment="1">
      <alignment vertical="center" wrapText="1"/>
    </xf>
    <xf numFmtId="0" fontId="103" fillId="2" borderId="0" xfId="299" applyFont="1" applyFill="1" applyAlignment="1">
      <alignment horizontal="left" vertical="center"/>
    </xf>
    <xf numFmtId="0" fontId="106" fillId="0" borderId="29" xfId="0" applyFont="1" applyBorder="1" applyAlignment="1">
      <alignment horizontal="left" vertical="top" wrapText="1"/>
    </xf>
    <xf numFmtId="165" fontId="106" fillId="0" borderId="29" xfId="3116" applyFont="1" applyBorder="1">
      <alignment horizontal="right" vertical="top"/>
    </xf>
    <xf numFmtId="0" fontId="107" fillId="0" borderId="29" xfId="0" applyFont="1" applyBorder="1" applyAlignment="1">
      <alignment horizontal="left" vertical="top" wrapText="1"/>
    </xf>
    <xf numFmtId="0" fontId="108" fillId="0" borderId="29" xfId="0" applyFont="1" applyBorder="1" applyAlignment="1">
      <alignment horizontal="left" vertical="top" wrapText="1"/>
    </xf>
    <xf numFmtId="165" fontId="108" fillId="0" borderId="29" xfId="3116" applyFont="1" applyBorder="1">
      <alignment horizontal="right" vertical="top"/>
    </xf>
    <xf numFmtId="0" fontId="109" fillId="0" borderId="22" xfId="0" applyFont="1" applyBorder="1" applyAlignment="1">
      <alignment horizontal="center" vertical="top" wrapText="1"/>
    </xf>
    <xf numFmtId="0" fontId="73" fillId="2" borderId="33" xfId="0" applyFont="1" applyFill="1" applyBorder="1" applyAlignment="1">
      <alignment vertical="center"/>
    </xf>
    <xf numFmtId="0" fontId="73" fillId="2" borderId="26" xfId="0" applyFont="1" applyFill="1" applyBorder="1" applyAlignment="1">
      <alignment horizontal="center" vertical="center"/>
    </xf>
    <xf numFmtId="168" fontId="73" fillId="2" borderId="29" xfId="0" applyNumberFormat="1" applyFont="1" applyFill="1" applyBorder="1" applyAlignment="1">
      <alignment horizontal="right" vertical="center" wrapText="1"/>
    </xf>
    <xf numFmtId="0" fontId="17" fillId="0" borderId="26" xfId="0" applyFont="1" applyBorder="1" applyAlignment="1">
      <alignment horizontal="center" vertical="top" wrapText="1"/>
    </xf>
    <xf numFmtId="0" fontId="106" fillId="0" borderId="26" xfId="0" applyFont="1" applyBorder="1" applyAlignment="1">
      <alignment horizontal="left" vertical="top" wrapText="1"/>
    </xf>
    <xf numFmtId="168" fontId="103" fillId="2" borderId="0" xfId="299" applyNumberFormat="1" applyFont="1" applyFill="1" applyAlignment="1">
      <alignment vertical="center"/>
    </xf>
    <xf numFmtId="0" fontId="74" fillId="2" borderId="0" xfId="0" applyFont="1" applyFill="1" applyAlignment="1">
      <alignment horizontal="center" wrapText="1"/>
    </xf>
    <xf numFmtId="43" fontId="73" fillId="2" borderId="22" xfId="2022" applyFont="1" applyFill="1" applyBorder="1" applyAlignment="1">
      <alignment horizontal="center" vertical="center" wrapText="1"/>
    </xf>
    <xf numFmtId="43" fontId="73" fillId="2" borderId="2" xfId="2022" applyFont="1" applyFill="1" applyBorder="1" applyAlignment="1">
      <alignment horizontal="center" vertical="center" wrapText="1"/>
    </xf>
    <xf numFmtId="43" fontId="73" fillId="2" borderId="28" xfId="2022" applyFont="1" applyFill="1" applyBorder="1" applyAlignment="1">
      <alignment horizontal="center" vertical="center" wrapText="1"/>
    </xf>
    <xf numFmtId="43" fontId="73" fillId="2" borderId="33" xfId="2022" applyFont="1" applyFill="1" applyBorder="1" applyAlignment="1">
      <alignment horizontal="center" vertical="center" wrapText="1"/>
    </xf>
    <xf numFmtId="43" fontId="73" fillId="2" borderId="26" xfId="2022" applyFont="1" applyFill="1" applyBorder="1" applyAlignment="1">
      <alignment horizontal="center" vertical="center" wrapText="1"/>
    </xf>
    <xf numFmtId="0" fontId="17" fillId="0" borderId="29" xfId="0" applyFont="1" applyBorder="1" applyAlignment="1">
      <alignment horizontal="left" vertical="center" wrapText="1"/>
    </xf>
    <xf numFmtId="0" fontId="73" fillId="0" borderId="29" xfId="0" applyFont="1" applyBorder="1" applyAlignment="1">
      <alignment horizontal="left"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33" xfId="0" applyFont="1" applyFill="1" applyBorder="1" applyAlignment="1">
      <alignment horizontal="center" vertical="center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left" vertical="top" wrapText="1"/>
    </xf>
    <xf numFmtId="49" fontId="17" fillId="2" borderId="29" xfId="0" applyNumberFormat="1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/>
    </xf>
    <xf numFmtId="49" fontId="17" fillId="2" borderId="29" xfId="0" applyNumberFormat="1" applyFont="1" applyFill="1" applyBorder="1" applyAlignment="1">
      <alignment horizontal="center" vertical="top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top" wrapText="1"/>
    </xf>
    <xf numFmtId="0" fontId="17" fillId="2" borderId="30" xfId="0" applyFont="1" applyFill="1" applyBorder="1" applyAlignment="1">
      <alignment horizontal="center" vertical="top" wrapText="1"/>
    </xf>
    <xf numFmtId="0" fontId="17" fillId="2" borderId="31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49" fontId="17" fillId="2" borderId="30" xfId="0" applyNumberFormat="1" applyFont="1" applyFill="1" applyBorder="1" applyAlignment="1">
      <alignment horizontal="center" vertical="top" wrapText="1"/>
    </xf>
    <xf numFmtId="49" fontId="17" fillId="2" borderId="31" xfId="0" applyNumberFormat="1" applyFont="1" applyFill="1" applyBorder="1" applyAlignment="1">
      <alignment horizontal="center" vertical="top" wrapText="1"/>
    </xf>
    <xf numFmtId="49" fontId="17" fillId="2" borderId="32" xfId="0" applyNumberFormat="1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0" fontId="73" fillId="2" borderId="22" xfId="0" applyFont="1" applyFill="1" applyBorder="1" applyAlignment="1">
      <alignment horizontal="center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49" fontId="17" fillId="2" borderId="26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3" fontId="17" fillId="2" borderId="22" xfId="96" applyNumberFormat="1" applyFont="1" applyFill="1" applyBorder="1" applyAlignment="1">
      <alignment horizontal="center" vertical="center" wrapText="1"/>
    </xf>
    <xf numFmtId="173" fontId="17" fillId="2" borderId="2" xfId="96" applyNumberFormat="1" applyFont="1" applyFill="1" applyBorder="1" applyAlignment="1">
      <alignment horizontal="center" vertical="center" wrapText="1"/>
    </xf>
    <xf numFmtId="173" fontId="73" fillId="2" borderId="28" xfId="96" applyNumberFormat="1" applyFont="1" applyFill="1" applyBorder="1" applyAlignment="1">
      <alignment horizontal="center" vertical="center" wrapText="1"/>
    </xf>
    <xf numFmtId="173" fontId="73" fillId="2" borderId="33" xfId="96" applyNumberFormat="1" applyFont="1" applyFill="1" applyBorder="1" applyAlignment="1">
      <alignment horizontal="center" vertical="center" wrapText="1"/>
    </xf>
    <xf numFmtId="173" fontId="73" fillId="2" borderId="26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27" xfId="2028" applyFont="1" applyFill="1" applyBorder="1" applyAlignment="1">
      <alignment horizontal="right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6" fontId="91" fillId="2" borderId="28" xfId="96" applyNumberFormat="1" applyFont="1" applyFill="1" applyBorder="1" applyAlignment="1">
      <alignment horizontal="center" vertical="center" wrapText="1"/>
    </xf>
    <xf numFmtId="166" fontId="91" fillId="2" borderId="33" xfId="96" applyNumberFormat="1" applyFont="1" applyFill="1" applyBorder="1" applyAlignment="1">
      <alignment horizontal="center" vertical="center" wrapText="1"/>
    </xf>
    <xf numFmtId="166" fontId="91" fillId="2" borderId="26" xfId="96" applyNumberFormat="1" applyFont="1" applyFill="1" applyBorder="1" applyAlignment="1">
      <alignment horizontal="center" vertical="center" wrapText="1"/>
    </xf>
    <xf numFmtId="166" fontId="73" fillId="2" borderId="0" xfId="253" applyNumberFormat="1" applyFont="1" applyFill="1" applyAlignment="1">
      <alignment horizontal="right" wrapText="1"/>
    </xf>
    <xf numFmtId="0" fontId="73" fillId="2" borderId="34" xfId="0" applyFont="1" applyFill="1" applyBorder="1" applyAlignment="1">
      <alignment horizontal="center" vertical="top" wrapText="1"/>
    </xf>
    <xf numFmtId="0" fontId="73" fillId="2" borderId="30" xfId="0" applyFont="1" applyFill="1" applyBorder="1" applyAlignment="1">
      <alignment horizontal="center" vertical="top" wrapText="1"/>
    </xf>
    <xf numFmtId="0" fontId="73" fillId="2" borderId="35" xfId="0" applyFont="1" applyFill="1" applyBorder="1" applyAlignment="1">
      <alignment horizontal="center" vertical="top" wrapText="1"/>
    </xf>
    <xf numFmtId="0" fontId="73" fillId="2" borderId="31" xfId="0" applyFont="1" applyFill="1" applyBorder="1" applyAlignment="1">
      <alignment horizontal="center" vertical="top" wrapText="1"/>
    </xf>
    <xf numFmtId="0" fontId="73" fillId="2" borderId="36" xfId="0" applyFont="1" applyFill="1" applyBorder="1" applyAlignment="1">
      <alignment horizontal="center" vertical="top" wrapText="1"/>
    </xf>
    <xf numFmtId="0" fontId="73" fillId="2" borderId="32" xfId="0" applyFont="1" applyFill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top" wrapText="1"/>
    </xf>
    <xf numFmtId="168" fontId="73" fillId="2" borderId="29" xfId="0" applyNumberFormat="1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top" wrapText="1"/>
    </xf>
    <xf numFmtId="176" fontId="73" fillId="2" borderId="28" xfId="0" applyNumberFormat="1" applyFont="1" applyFill="1" applyBorder="1" applyAlignment="1">
      <alignment horizontal="center" vertical="top" wrapText="1"/>
    </xf>
    <xf numFmtId="176" fontId="73" fillId="2" borderId="33" xfId="0" applyNumberFormat="1" applyFont="1" applyFill="1" applyBorder="1" applyAlignment="1">
      <alignment horizontal="center" vertical="top" wrapText="1"/>
    </xf>
    <xf numFmtId="176" fontId="73" fillId="2" borderId="26" xfId="0" applyNumberFormat="1" applyFont="1" applyFill="1" applyBorder="1" applyAlignment="1">
      <alignment horizontal="center" vertical="top" wrapText="1"/>
    </xf>
    <xf numFmtId="166" fontId="73" fillId="2" borderId="0" xfId="253" applyNumberFormat="1" applyFont="1" applyFill="1" applyAlignment="1">
      <alignment horizontal="right" vertical="top" wrapText="1"/>
    </xf>
    <xf numFmtId="0" fontId="74" fillId="2" borderId="27" xfId="0" applyFont="1" applyFill="1" applyBorder="1" applyAlignment="1">
      <alignment horizontal="center" vertical="center" wrapText="1"/>
    </xf>
    <xf numFmtId="0" fontId="17" fillId="58" borderId="29" xfId="0" applyFont="1" applyFill="1" applyBorder="1" applyAlignment="1">
      <alignment horizontal="center" vertical="top" wrapText="1"/>
    </xf>
    <xf numFmtId="0" fontId="73" fillId="0" borderId="29" xfId="0" applyFont="1" applyBorder="1" applyAlignment="1">
      <alignment horizontal="left" vertical="top" wrapText="1"/>
    </xf>
    <xf numFmtId="0" fontId="17" fillId="57" borderId="29" xfId="0" applyFont="1" applyFill="1" applyBorder="1" applyAlignment="1">
      <alignment horizontal="left" vertical="top" wrapText="1"/>
    </xf>
    <xf numFmtId="0" fontId="73" fillId="0" borderId="22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1" xfId="0" applyFont="1" applyBorder="1" applyAlignment="1">
      <alignment horizontal="center" vertical="top" wrapText="1"/>
    </xf>
    <xf numFmtId="0" fontId="17" fillId="0" borderId="28" xfId="0" applyFont="1" applyBorder="1" applyAlignment="1">
      <alignment horizontal="left" vertical="top" wrapText="1"/>
    </xf>
    <xf numFmtId="0" fontId="17" fillId="0" borderId="33" xfId="0" applyFont="1" applyBorder="1" applyAlignment="1">
      <alignment horizontal="left" vertical="top" wrapText="1"/>
    </xf>
    <xf numFmtId="0" fontId="17" fillId="0" borderId="26" xfId="0" applyFont="1" applyBorder="1" applyAlignment="1">
      <alignment horizontal="left" vertical="top" wrapText="1"/>
    </xf>
    <xf numFmtId="0" fontId="17" fillId="0" borderId="29" xfId="0" applyFont="1" applyBorder="1" applyAlignment="1">
      <alignment horizontal="left" vertical="top" wrapText="1"/>
    </xf>
    <xf numFmtId="0" fontId="17" fillId="2" borderId="22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73" fillId="0" borderId="28" xfId="0" applyFont="1" applyBorder="1" applyAlignment="1">
      <alignment horizontal="center" vertical="center" wrapText="1"/>
    </xf>
    <xf numFmtId="0" fontId="73" fillId="0" borderId="33" xfId="0" applyFont="1" applyBorder="1" applyAlignment="1">
      <alignment horizontal="center" vertical="center" wrapText="1"/>
    </xf>
    <xf numFmtId="0" fontId="73" fillId="0" borderId="26" xfId="0" applyFont="1" applyBorder="1" applyAlignment="1">
      <alignment horizontal="center" vertical="center" wrapText="1"/>
    </xf>
    <xf numFmtId="0" fontId="106" fillId="0" borderId="29" xfId="0" applyFont="1" applyBorder="1" applyAlignment="1">
      <alignment horizontal="left" vertical="top" wrapText="1"/>
    </xf>
    <xf numFmtId="0" fontId="107" fillId="0" borderId="22" xfId="0" applyFont="1" applyBorder="1" applyAlignment="1">
      <alignment horizontal="center" vertical="top" wrapText="1"/>
    </xf>
    <xf numFmtId="0" fontId="107" fillId="0" borderId="2" xfId="0" applyFont="1" applyBorder="1" applyAlignment="1">
      <alignment horizontal="center" vertical="top" wrapText="1"/>
    </xf>
    <xf numFmtId="0" fontId="107" fillId="0" borderId="1" xfId="0" applyFont="1" applyBorder="1" applyAlignment="1">
      <alignment horizontal="center" vertical="top" wrapText="1"/>
    </xf>
    <xf numFmtId="0" fontId="17" fillId="0" borderId="22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22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08" fillId="0" borderId="29" xfId="0" applyFont="1" applyBorder="1" applyAlignment="1">
      <alignment horizontal="left" vertical="top" wrapText="1"/>
    </xf>
    <xf numFmtId="0" fontId="109" fillId="0" borderId="22" xfId="0" applyFont="1" applyBorder="1" applyAlignment="1">
      <alignment horizontal="center" vertical="top" wrapText="1"/>
    </xf>
    <xf numFmtId="0" fontId="109" fillId="0" borderId="2" xfId="0" applyFont="1" applyBorder="1" applyAlignment="1">
      <alignment horizontal="center" vertical="top" wrapText="1"/>
    </xf>
    <xf numFmtId="0" fontId="109" fillId="0" borderId="1" xfId="0" applyFont="1" applyBorder="1" applyAlignment="1">
      <alignment horizontal="center" vertical="top" wrapText="1"/>
    </xf>
    <xf numFmtId="0" fontId="74" fillId="2" borderId="27" xfId="0" applyFont="1" applyFill="1" applyBorder="1" applyAlignment="1">
      <alignment horizontal="right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74" fillId="2" borderId="29" xfId="0" applyFont="1" applyFill="1" applyBorder="1" applyAlignment="1">
      <alignment horizontal="center" vertical="center" wrapText="1"/>
    </xf>
    <xf numFmtId="0" fontId="73" fillId="0" borderId="29" xfId="0" applyFont="1" applyBorder="1" applyAlignment="1">
      <alignment horizontal="center" vertical="top" wrapText="1"/>
    </xf>
    <xf numFmtId="0" fontId="14" fillId="2" borderId="29" xfId="0" applyFont="1" applyFill="1" applyBorder="1" applyAlignment="1">
      <alignment horizontal="center" vertical="center" wrapText="1"/>
    </xf>
    <xf numFmtId="0" fontId="73" fillId="0" borderId="30" xfId="0" applyFont="1" applyBorder="1" applyAlignment="1">
      <alignment horizontal="center" vertical="top" wrapText="1"/>
    </xf>
    <xf numFmtId="0" fontId="73" fillId="0" borderId="31" xfId="0" applyFont="1" applyBorder="1" applyAlignment="1">
      <alignment horizontal="center" vertical="top" wrapText="1"/>
    </xf>
    <xf numFmtId="0" fontId="73" fillId="0" borderId="32" xfId="0" applyFont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top" wrapText="1"/>
    </xf>
    <xf numFmtId="0" fontId="73" fillId="0" borderId="26" xfId="0" applyFont="1" applyBorder="1" applyAlignment="1">
      <alignment horizontal="center" vertical="top" wrapText="1"/>
    </xf>
    <xf numFmtId="0" fontId="17" fillId="0" borderId="29" xfId="0" applyFont="1" applyFill="1" applyBorder="1" applyAlignment="1">
      <alignment horizontal="center" vertical="top" wrapText="1"/>
    </xf>
    <xf numFmtId="0" fontId="107" fillId="0" borderId="30" xfId="0" applyFont="1" applyBorder="1" applyAlignment="1">
      <alignment horizontal="center" vertical="top" wrapText="1"/>
    </xf>
    <xf numFmtId="0" fontId="107" fillId="0" borderId="31" xfId="0" applyFont="1" applyBorder="1" applyAlignment="1">
      <alignment horizontal="center" vertical="top" wrapText="1"/>
    </xf>
    <xf numFmtId="0" fontId="107" fillId="0" borderId="32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73" fillId="2" borderId="29" xfId="299" applyFont="1" applyFill="1" applyBorder="1" applyAlignment="1">
      <alignment horizontal="left" vertical="center" wrapText="1"/>
    </xf>
    <xf numFmtId="0" fontId="17" fillId="59" borderId="28" xfId="0" applyFont="1" applyFill="1" applyBorder="1" applyAlignment="1">
      <alignment vertical="top" wrapText="1"/>
    </xf>
    <xf numFmtId="0" fontId="17" fillId="59" borderId="33" xfId="0" applyFont="1" applyFill="1" applyBorder="1" applyAlignment="1">
      <alignment vertical="top" wrapText="1"/>
    </xf>
    <xf numFmtId="0" fontId="17" fillId="59" borderId="26" xfId="0" applyFont="1" applyFill="1" applyBorder="1" applyAlignment="1">
      <alignment vertical="top" wrapText="1"/>
    </xf>
    <xf numFmtId="0" fontId="73" fillId="57" borderId="28" xfId="0" applyFont="1" applyFill="1" applyBorder="1" applyAlignment="1">
      <alignment horizontal="left" vertical="center" wrapText="1"/>
    </xf>
    <xf numFmtId="0" fontId="73" fillId="57" borderId="33" xfId="0" applyFont="1" applyFill="1" applyBorder="1" applyAlignment="1">
      <alignment horizontal="left" vertical="center" wrapText="1"/>
    </xf>
    <xf numFmtId="0" fontId="73" fillId="57" borderId="26" xfId="0" applyFont="1" applyFill="1" applyBorder="1" applyAlignment="1">
      <alignment horizontal="left" vertical="center" wrapText="1"/>
    </xf>
    <xf numFmtId="0" fontId="73" fillId="2" borderId="28" xfId="299" applyFont="1" applyFill="1" applyBorder="1" applyAlignment="1">
      <alignment horizontal="left" vertical="top" wrapText="1"/>
    </xf>
    <xf numFmtId="0" fontId="73" fillId="2" borderId="33" xfId="299" applyFont="1" applyFill="1" applyBorder="1" applyAlignment="1">
      <alignment horizontal="left" vertical="top" wrapText="1"/>
    </xf>
    <xf numFmtId="0" fontId="73" fillId="2" borderId="26" xfId="299" applyFont="1" applyFill="1" applyBorder="1" applyAlignment="1">
      <alignment horizontal="left" vertical="top" wrapText="1"/>
    </xf>
    <xf numFmtId="0" fontId="73" fillId="2" borderId="28" xfId="299" applyFont="1" applyFill="1" applyBorder="1" applyAlignment="1">
      <alignment horizontal="center" vertical="top" wrapText="1"/>
    </xf>
    <xf numFmtId="0" fontId="73" fillId="2" borderId="33" xfId="299" applyFont="1" applyFill="1" applyBorder="1" applyAlignment="1">
      <alignment horizontal="center" vertical="top" wrapText="1"/>
    </xf>
    <xf numFmtId="0" fontId="73" fillId="2" borderId="26" xfId="299" applyFont="1" applyFill="1" applyBorder="1" applyAlignment="1">
      <alignment horizontal="center" vertical="top" wrapText="1"/>
    </xf>
    <xf numFmtId="0" fontId="73" fillId="2" borderId="28" xfId="299" applyFont="1" applyFill="1" applyBorder="1" applyAlignment="1">
      <alignment horizontal="left" vertical="center" wrapText="1"/>
    </xf>
    <xf numFmtId="0" fontId="73" fillId="2" borderId="33" xfId="299" applyFont="1" applyFill="1" applyBorder="1" applyAlignment="1">
      <alignment horizontal="left" vertical="center" wrapText="1"/>
    </xf>
    <xf numFmtId="0" fontId="73" fillId="2" borderId="26" xfId="299" applyFont="1" applyFill="1" applyBorder="1" applyAlignment="1">
      <alignment horizontal="left" vertical="center" wrapText="1"/>
    </xf>
    <xf numFmtId="0" fontId="17" fillId="59" borderId="29" xfId="0" applyFont="1" applyFill="1" applyBorder="1" applyAlignment="1">
      <alignment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29" xfId="1734" applyFont="1" applyFill="1" applyBorder="1" applyAlignment="1">
      <alignment horizontal="center" vertical="center" wrapText="1"/>
    </xf>
    <xf numFmtId="0" fontId="73" fillId="2" borderId="29" xfId="1735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28" xfId="1735" applyFont="1" applyFill="1" applyBorder="1" applyAlignment="1">
      <alignment horizontal="center" wrapText="1"/>
    </xf>
    <xf numFmtId="0" fontId="73" fillId="2" borderId="33" xfId="1735" applyFont="1" applyFill="1" applyBorder="1" applyAlignment="1">
      <alignment horizontal="center" wrapText="1"/>
    </xf>
    <xf numFmtId="0" fontId="73" fillId="2" borderId="26" xfId="1735" applyFont="1" applyFill="1" applyBorder="1" applyAlignment="1">
      <alignment horizontal="center" wrapText="1"/>
    </xf>
    <xf numFmtId="0" fontId="73" fillId="0" borderId="28" xfId="299" applyFont="1" applyBorder="1" applyAlignment="1">
      <alignment horizontal="left" vertical="top" wrapText="1"/>
    </xf>
    <xf numFmtId="0" fontId="73" fillId="0" borderId="33" xfId="299" applyFont="1" applyBorder="1" applyAlignment="1">
      <alignment horizontal="left" vertical="top" wrapText="1"/>
    </xf>
    <xf numFmtId="0" fontId="73" fillId="0" borderId="26" xfId="299" applyFont="1" applyBorder="1" applyAlignment="1">
      <alignment horizontal="left" vertical="top" wrapText="1"/>
    </xf>
    <xf numFmtId="0" fontId="73" fillId="0" borderId="28" xfId="0" applyFont="1" applyBorder="1" applyAlignment="1">
      <alignment horizontal="left" vertical="top" wrapText="1"/>
    </xf>
    <xf numFmtId="0" fontId="73" fillId="0" borderId="33" xfId="0" applyFont="1" applyBorder="1" applyAlignment="1">
      <alignment horizontal="left" vertical="top" wrapText="1"/>
    </xf>
    <xf numFmtId="0" fontId="73" fillId="0" borderId="26" xfId="0" applyFont="1" applyBorder="1" applyAlignment="1">
      <alignment horizontal="left" vertical="top" wrapText="1"/>
    </xf>
    <xf numFmtId="0" fontId="73" fillId="2" borderId="29" xfId="0" applyFont="1" applyFill="1" applyBorder="1" applyAlignment="1">
      <alignment horizontal="left" vertical="top" wrapText="1"/>
    </xf>
  </cellXfs>
  <cellStyles count="3118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1" xfId="164" xr:uid="{00000000-0005-0000-0000-000036060000}"/>
    <cellStyle name="Normal 11 2" xfId="186" xr:uid="{00000000-0005-0000-0000-000037060000}"/>
    <cellStyle name="Normal 11 2 2" xfId="2147" xr:uid="{00000000-0005-0000-0000-000038060000}"/>
    <cellStyle name="Normal 11 3" xfId="209" xr:uid="{00000000-0005-0000-0000-000039060000}"/>
    <cellStyle name="Normal 11 3 2" xfId="2170" xr:uid="{00000000-0005-0000-0000-00003A060000}"/>
    <cellStyle name="Normal 11 3 3" xfId="2059" xr:uid="{00000000-0005-0000-0000-00003B060000}"/>
    <cellStyle name="Normal 11 4" xfId="2127" xr:uid="{00000000-0005-0000-0000-00003C060000}"/>
    <cellStyle name="Normal 12" xfId="165" xr:uid="{00000000-0005-0000-0000-00003D060000}"/>
    <cellStyle name="Normal 12 2" xfId="241" xr:uid="{00000000-0005-0000-0000-00003E060000}"/>
    <cellStyle name="Normal 12 3" xfId="2024" xr:uid="{00000000-0005-0000-0000-00003F060000}"/>
    <cellStyle name="Normal 13" xfId="242" xr:uid="{00000000-0005-0000-0000-000040060000}"/>
    <cellStyle name="Normal 14" xfId="243" xr:uid="{00000000-0005-0000-0000-000041060000}"/>
    <cellStyle name="Normal 14 2" xfId="244" xr:uid="{00000000-0005-0000-0000-000042060000}"/>
    <cellStyle name="Normal 14 3" xfId="2174" xr:uid="{00000000-0005-0000-0000-000043060000}"/>
    <cellStyle name="Normal 14 4" xfId="2056" xr:uid="{00000000-0005-0000-0000-000044060000}"/>
    <cellStyle name="Normal 15" xfId="245" xr:uid="{00000000-0005-0000-0000-000045060000}"/>
    <cellStyle name="Normal 16" xfId="246" xr:uid="{00000000-0005-0000-0000-000046060000}"/>
    <cellStyle name="Normal 17" xfId="247" xr:uid="{00000000-0005-0000-0000-000047060000}"/>
    <cellStyle name="Normal 18" xfId="299" xr:uid="{00000000-0005-0000-0000-000048060000}"/>
    <cellStyle name="Normal 2" xfId="1" xr:uid="{00000000-0005-0000-0000-000049060000}"/>
    <cellStyle name="Normal 2 2" xfId="146" xr:uid="{00000000-0005-0000-0000-00004A060000}"/>
    <cellStyle name="Normal 2 2 2" xfId="163" xr:uid="{00000000-0005-0000-0000-00004B060000}"/>
    <cellStyle name="Normal 2 2 3" xfId="248" xr:uid="{00000000-0005-0000-0000-00004C060000}"/>
    <cellStyle name="Normal 2 3" xfId="147" xr:uid="{00000000-0005-0000-0000-00004D060000}"/>
    <cellStyle name="Normal 2 3 2" xfId="249" xr:uid="{00000000-0005-0000-0000-00004E060000}"/>
    <cellStyle name="Normal 2 3 3" xfId="250" xr:uid="{00000000-0005-0000-0000-00004F060000}"/>
    <cellStyle name="Normal 2 4" xfId="96" xr:uid="{00000000-0005-0000-0000-000050060000}"/>
    <cellStyle name="Normal 2 4 2" xfId="251" xr:uid="{00000000-0005-0000-0000-000051060000}"/>
    <cellStyle name="Normal 2 5" xfId="252" xr:uid="{00000000-0005-0000-0000-000052060000}"/>
    <cellStyle name="Normal 2 6" xfId="253" xr:uid="{00000000-0005-0000-0000-000053060000}"/>
    <cellStyle name="Normal 2 7" xfId="2078" xr:uid="{00000000-0005-0000-0000-000054060000}"/>
    <cellStyle name="Normal 2 8" xfId="2033" xr:uid="{00000000-0005-0000-0000-000055060000}"/>
    <cellStyle name="Normal 3" xfId="3" xr:uid="{00000000-0005-0000-0000-000056060000}"/>
    <cellStyle name="Normal 3 2" xfId="104" xr:uid="{00000000-0005-0000-0000-000057060000}"/>
    <cellStyle name="Normal 3 2 2" xfId="148" xr:uid="{00000000-0005-0000-0000-000058060000}"/>
    <cellStyle name="Normal 3 2 3" xfId="254" xr:uid="{00000000-0005-0000-0000-000059060000}"/>
    <cellStyle name="Normal 3 3" xfId="98" xr:uid="{00000000-0005-0000-0000-00005A060000}"/>
    <cellStyle name="Normal 3 4" xfId="255" xr:uid="{00000000-0005-0000-0000-00005B060000}"/>
    <cellStyle name="Normal 3 5" xfId="256" xr:uid="{00000000-0005-0000-0000-00005C060000}"/>
    <cellStyle name="Normal 3_HavelvacN2axjusakN3" xfId="106" xr:uid="{00000000-0005-0000-0000-00005D060000}"/>
    <cellStyle name="Normal 4" xfId="5" xr:uid="{00000000-0005-0000-0000-00005E060000}"/>
    <cellStyle name="Normal 4 2" xfId="9" xr:uid="{00000000-0005-0000-0000-00005F060000}"/>
    <cellStyle name="Normal 4 3" xfId="101" xr:uid="{00000000-0005-0000-0000-000060060000}"/>
    <cellStyle name="Normal 5" xfId="107" xr:uid="{00000000-0005-0000-0000-000061060000}"/>
    <cellStyle name="Normal 5 2" xfId="149" xr:uid="{00000000-0005-0000-0000-000062060000}"/>
    <cellStyle name="Normal 5 2 2" xfId="189" xr:uid="{00000000-0005-0000-0000-000063060000}"/>
    <cellStyle name="Normal 5 2 2 2" xfId="212" xr:uid="{00000000-0005-0000-0000-000064060000}"/>
    <cellStyle name="Normal 5 2 2 2 2" xfId="2173" xr:uid="{00000000-0005-0000-0000-000065060000}"/>
    <cellStyle name="Normal 5 2 2 3" xfId="2150" xr:uid="{00000000-0005-0000-0000-000066060000}"/>
    <cellStyle name="Normal 5 2 3" xfId="182" xr:uid="{00000000-0005-0000-0000-000067060000}"/>
    <cellStyle name="Normal 5 2 3 2" xfId="2144" xr:uid="{00000000-0005-0000-0000-000068060000}"/>
    <cellStyle name="Normal 5 2 4" xfId="206" xr:uid="{00000000-0005-0000-0000-000069060000}"/>
    <cellStyle name="Normal 5 2 4 2" xfId="2167" xr:uid="{00000000-0005-0000-0000-00006A060000}"/>
    <cellStyle name="Normal 5 2 5" xfId="2125" xr:uid="{00000000-0005-0000-0000-00006B060000}"/>
    <cellStyle name="Normal 5 3" xfId="257" xr:uid="{00000000-0005-0000-0000-00006C060000}"/>
    <cellStyle name="Normal 5 3 7" xfId="2058" xr:uid="{00000000-0005-0000-0000-00006D060000}"/>
    <cellStyle name="Normal 6" xfId="150" xr:uid="{00000000-0005-0000-0000-00006E060000}"/>
    <cellStyle name="Normal 6 2" xfId="213" xr:uid="{00000000-0005-0000-0000-00006F060000}"/>
    <cellStyle name="Normal 6 3" xfId="258" xr:uid="{00000000-0005-0000-0000-000070060000}"/>
    <cellStyle name="Normal 7" xfId="151" xr:uid="{00000000-0005-0000-0000-000071060000}"/>
    <cellStyle name="Normal 7 2" xfId="259" xr:uid="{00000000-0005-0000-0000-000072060000}"/>
    <cellStyle name="Normal 8" xfId="8" xr:uid="{00000000-0005-0000-0000-000073060000}"/>
    <cellStyle name="Normal 8 2" xfId="162" xr:uid="{00000000-0005-0000-0000-000074060000}"/>
    <cellStyle name="Normal 8 3" xfId="179" xr:uid="{00000000-0005-0000-0000-000075060000}"/>
    <cellStyle name="Normal 8 3 2" xfId="2141" xr:uid="{00000000-0005-0000-0000-000076060000}"/>
    <cellStyle name="Normal 8 4" xfId="203" xr:uid="{00000000-0005-0000-0000-000077060000}"/>
    <cellStyle name="Normal 8 4 2" xfId="2164" xr:uid="{00000000-0005-0000-0000-000078060000}"/>
    <cellStyle name="Normal 9" xfId="94" xr:uid="{00000000-0005-0000-0000-000079060000}"/>
    <cellStyle name="Normal 9 2" xfId="184" xr:uid="{00000000-0005-0000-0000-00007A060000}"/>
    <cellStyle name="Normal 9 2 2" xfId="2145" xr:uid="{00000000-0005-0000-0000-00007B060000}"/>
    <cellStyle name="Normal 9 3" xfId="207" xr:uid="{00000000-0005-0000-0000-00007C060000}"/>
    <cellStyle name="Normal 9 3 2" xfId="2168" xr:uid="{00000000-0005-0000-0000-00007D060000}"/>
    <cellStyle name="Normal 9 4" xfId="2120" xr:uid="{00000000-0005-0000-0000-00007E060000}"/>
    <cellStyle name="Normal_General 17.02.04" xfId="3117" xr:uid="{55E96078-D5F1-4FDE-8381-79A9FC1AE84E}"/>
    <cellStyle name="Note" xfId="25" builtinId="10" customBuiltin="1"/>
    <cellStyle name="Note 2" xfId="54" xr:uid="{00000000-0005-0000-0000-000080060000}"/>
    <cellStyle name="Note 2 2" xfId="152" xr:uid="{00000000-0005-0000-0000-000081060000}"/>
    <cellStyle name="Note 2 2 10" xfId="995" xr:uid="{00000000-0005-0000-0000-000082060000}"/>
    <cellStyle name="Note 2 2 10 2" xfId="2838" xr:uid="{00000000-0005-0000-0000-000083060000}"/>
    <cellStyle name="Note 2 2 10 3" xfId="2633" xr:uid="{00000000-0005-0000-0000-000084060000}"/>
    <cellStyle name="Note 2 2 10 4" xfId="3077" xr:uid="{00000000-0005-0000-0000-000085060000}"/>
    <cellStyle name="Note 2 2 10 5" xfId="2597" xr:uid="{00000000-0005-0000-0000-000086060000}"/>
    <cellStyle name="Note 2 2 11" xfId="996" xr:uid="{00000000-0005-0000-0000-000087060000}"/>
    <cellStyle name="Note 2 2 11 2" xfId="2839" xr:uid="{00000000-0005-0000-0000-000088060000}"/>
    <cellStyle name="Note 2 2 11 3" xfId="2096" xr:uid="{00000000-0005-0000-0000-000089060000}"/>
    <cellStyle name="Note 2 2 11 4" xfId="3081" xr:uid="{00000000-0005-0000-0000-00008A060000}"/>
    <cellStyle name="Note 2 2 11 5" xfId="2598" xr:uid="{00000000-0005-0000-0000-00008B060000}"/>
    <cellStyle name="Note 2 2 12" xfId="997" xr:uid="{00000000-0005-0000-0000-00008C060000}"/>
    <cellStyle name="Note 2 2 12 2" xfId="2840" xr:uid="{00000000-0005-0000-0000-00008D060000}"/>
    <cellStyle name="Note 2 2 12 3" xfId="2708" xr:uid="{00000000-0005-0000-0000-00008E060000}"/>
    <cellStyle name="Note 2 2 12 4" xfId="3017" xr:uid="{00000000-0005-0000-0000-00008F060000}"/>
    <cellStyle name="Note 2 2 12 5" xfId="2599" xr:uid="{00000000-0005-0000-0000-000090060000}"/>
    <cellStyle name="Note 2 2 13" xfId="998" xr:uid="{00000000-0005-0000-0000-000091060000}"/>
    <cellStyle name="Note 2 2 13 2" xfId="2841" xr:uid="{00000000-0005-0000-0000-000092060000}"/>
    <cellStyle name="Note 2 2 13 3" xfId="2697" xr:uid="{00000000-0005-0000-0000-000093060000}"/>
    <cellStyle name="Note 2 2 13 4" xfId="3024" xr:uid="{00000000-0005-0000-0000-000094060000}"/>
    <cellStyle name="Note 2 2 13 5" xfId="2600" xr:uid="{00000000-0005-0000-0000-000095060000}"/>
    <cellStyle name="Note 2 2 14" xfId="999" xr:uid="{00000000-0005-0000-0000-000096060000}"/>
    <cellStyle name="Note 2 2 14 2" xfId="2842" xr:uid="{00000000-0005-0000-0000-000097060000}"/>
    <cellStyle name="Note 2 2 14 3" xfId="2647" xr:uid="{00000000-0005-0000-0000-000098060000}"/>
    <cellStyle name="Note 2 2 14 4" xfId="3063" xr:uid="{00000000-0005-0000-0000-000099060000}"/>
    <cellStyle name="Note 2 2 14 5" xfId="2601" xr:uid="{00000000-0005-0000-0000-00009A060000}"/>
    <cellStyle name="Note 2 2 15" xfId="1000" xr:uid="{00000000-0005-0000-0000-00009B060000}"/>
    <cellStyle name="Note 2 2 15 2" xfId="2843" xr:uid="{00000000-0005-0000-0000-00009C060000}"/>
    <cellStyle name="Note 2 2 15 3" xfId="2704" xr:uid="{00000000-0005-0000-0000-00009D060000}"/>
    <cellStyle name="Note 2 2 15 4" xfId="3019" xr:uid="{00000000-0005-0000-0000-00009E060000}"/>
    <cellStyle name="Note 2 2 15 5" xfId="2602" xr:uid="{00000000-0005-0000-0000-00009F060000}"/>
    <cellStyle name="Note 2 2 16" xfId="1001" xr:uid="{00000000-0005-0000-0000-0000A0060000}"/>
    <cellStyle name="Note 2 2 16 2" xfId="2844" xr:uid="{00000000-0005-0000-0000-0000A1060000}"/>
    <cellStyle name="Note 2 2 16 3" xfId="2692" xr:uid="{00000000-0005-0000-0000-0000A2060000}"/>
    <cellStyle name="Note 2 2 16 4" xfId="3027" xr:uid="{00000000-0005-0000-0000-0000A3060000}"/>
    <cellStyle name="Note 2 2 16 5" xfId="2603" xr:uid="{00000000-0005-0000-0000-0000A4060000}"/>
    <cellStyle name="Note 2 2 17" xfId="1002" xr:uid="{00000000-0005-0000-0000-0000A5060000}"/>
    <cellStyle name="Note 2 2 17 2" xfId="2845" xr:uid="{00000000-0005-0000-0000-0000A6060000}"/>
    <cellStyle name="Note 2 2 17 3" xfId="2687" xr:uid="{00000000-0005-0000-0000-0000A7060000}"/>
    <cellStyle name="Note 2 2 17 4" xfId="3032" xr:uid="{00000000-0005-0000-0000-0000A8060000}"/>
    <cellStyle name="Note 2 2 17 5" xfId="2604" xr:uid="{00000000-0005-0000-0000-0000A9060000}"/>
    <cellStyle name="Note 2 2 18" xfId="1003" xr:uid="{00000000-0005-0000-0000-0000AA060000}"/>
    <cellStyle name="Note 2 2 18 2" xfId="2846" xr:uid="{00000000-0005-0000-0000-0000AB060000}"/>
    <cellStyle name="Note 2 2 18 3" xfId="2089" xr:uid="{00000000-0005-0000-0000-0000AC060000}"/>
    <cellStyle name="Note 2 2 18 4" xfId="3093" xr:uid="{00000000-0005-0000-0000-0000AD060000}"/>
    <cellStyle name="Note 2 2 18 5" xfId="2605" xr:uid="{00000000-0005-0000-0000-0000AE060000}"/>
    <cellStyle name="Note 2 2 19" xfId="1004" xr:uid="{00000000-0005-0000-0000-0000AF060000}"/>
    <cellStyle name="Note 2 2 19 2" xfId="2847" xr:uid="{00000000-0005-0000-0000-0000B0060000}"/>
    <cellStyle name="Note 2 2 19 3" xfId="2758" xr:uid="{00000000-0005-0000-0000-0000B1060000}"/>
    <cellStyle name="Note 2 2 19 4" xfId="2982" xr:uid="{00000000-0005-0000-0000-0000B2060000}"/>
    <cellStyle name="Note 2 2 19 5" xfId="2606" xr:uid="{00000000-0005-0000-0000-0000B3060000}"/>
    <cellStyle name="Note 2 2 2" xfId="1005" xr:uid="{00000000-0005-0000-0000-0000B4060000}"/>
    <cellStyle name="Note 2 2 2 2" xfId="2848" xr:uid="{00000000-0005-0000-0000-0000B5060000}"/>
    <cellStyle name="Note 2 2 2 3" xfId="2678" xr:uid="{00000000-0005-0000-0000-0000B6060000}"/>
    <cellStyle name="Note 2 2 2 4" xfId="3041" xr:uid="{00000000-0005-0000-0000-0000B7060000}"/>
    <cellStyle name="Note 2 2 2 5" xfId="2607" xr:uid="{00000000-0005-0000-0000-0000B8060000}"/>
    <cellStyle name="Note 2 2 20" xfId="1006" xr:uid="{00000000-0005-0000-0000-0000B9060000}"/>
    <cellStyle name="Note 2 2 20 2" xfId="2849" xr:uid="{00000000-0005-0000-0000-0000BA060000}"/>
    <cellStyle name="Note 2 2 20 3" xfId="2757" xr:uid="{00000000-0005-0000-0000-0000BB060000}"/>
    <cellStyle name="Note 2 2 20 4" xfId="2983" xr:uid="{00000000-0005-0000-0000-0000BC060000}"/>
    <cellStyle name="Note 2 2 20 5" xfId="2608" xr:uid="{00000000-0005-0000-0000-0000BD060000}"/>
    <cellStyle name="Note 2 2 21" xfId="1007" xr:uid="{00000000-0005-0000-0000-0000BE060000}"/>
    <cellStyle name="Note 2 2 21 2" xfId="2850" xr:uid="{00000000-0005-0000-0000-0000BF060000}"/>
    <cellStyle name="Note 2 2 21 3" xfId="2714" xr:uid="{00000000-0005-0000-0000-0000C0060000}"/>
    <cellStyle name="Note 2 2 21 4" xfId="3013" xr:uid="{00000000-0005-0000-0000-0000C1060000}"/>
    <cellStyle name="Note 2 2 21 5" xfId="2609" xr:uid="{00000000-0005-0000-0000-0000C2060000}"/>
    <cellStyle name="Note 2 2 22" xfId="1008" xr:uid="{00000000-0005-0000-0000-0000C3060000}"/>
    <cellStyle name="Note 2 2 22 2" xfId="2851" xr:uid="{00000000-0005-0000-0000-0000C4060000}"/>
    <cellStyle name="Note 2 2 22 3" xfId="2677" xr:uid="{00000000-0005-0000-0000-0000C5060000}"/>
    <cellStyle name="Note 2 2 22 4" xfId="3042" xr:uid="{00000000-0005-0000-0000-0000C6060000}"/>
    <cellStyle name="Note 2 2 22 5" xfId="2610" xr:uid="{00000000-0005-0000-0000-0000C7060000}"/>
    <cellStyle name="Note 2 2 23" xfId="1009" xr:uid="{00000000-0005-0000-0000-0000C8060000}"/>
    <cellStyle name="Note 2 2 23 2" xfId="2852" xr:uid="{00000000-0005-0000-0000-0000C9060000}"/>
    <cellStyle name="Note 2 2 23 3" xfId="2756" xr:uid="{00000000-0005-0000-0000-0000CA060000}"/>
    <cellStyle name="Note 2 2 23 4" xfId="2984" xr:uid="{00000000-0005-0000-0000-0000CB060000}"/>
    <cellStyle name="Note 2 2 23 5" xfId="2611" xr:uid="{00000000-0005-0000-0000-0000CC060000}"/>
    <cellStyle name="Note 2 2 24" xfId="1010" xr:uid="{00000000-0005-0000-0000-0000CD060000}"/>
    <cellStyle name="Note 2 2 24 2" xfId="2853" xr:uid="{00000000-0005-0000-0000-0000CE060000}"/>
    <cellStyle name="Note 2 2 24 3" xfId="2707" xr:uid="{00000000-0005-0000-0000-0000CF060000}"/>
    <cellStyle name="Note 2 2 24 4" xfId="3018" xr:uid="{00000000-0005-0000-0000-0000D0060000}"/>
    <cellStyle name="Note 2 2 24 5" xfId="2612" xr:uid="{00000000-0005-0000-0000-0000D1060000}"/>
    <cellStyle name="Note 2 2 25" xfId="1011" xr:uid="{00000000-0005-0000-0000-0000D2060000}"/>
    <cellStyle name="Note 2 2 25 2" xfId="2854" xr:uid="{00000000-0005-0000-0000-0000D3060000}"/>
    <cellStyle name="Note 2 2 25 3" xfId="2695" xr:uid="{00000000-0005-0000-0000-0000D4060000}"/>
    <cellStyle name="Note 2 2 25 4" xfId="3026" xr:uid="{00000000-0005-0000-0000-0000D5060000}"/>
    <cellStyle name="Note 2 2 25 5" xfId="2613" xr:uid="{00000000-0005-0000-0000-0000D6060000}"/>
    <cellStyle name="Note 2 2 26" xfId="1012" xr:uid="{00000000-0005-0000-0000-0000D7060000}"/>
    <cellStyle name="Note 2 2 26 2" xfId="2855" xr:uid="{00000000-0005-0000-0000-0000D8060000}"/>
    <cellStyle name="Note 2 2 26 3" xfId="2713" xr:uid="{00000000-0005-0000-0000-0000D9060000}"/>
    <cellStyle name="Note 2 2 26 4" xfId="3014" xr:uid="{00000000-0005-0000-0000-0000DA060000}"/>
    <cellStyle name="Note 2 2 26 5" xfId="2614" xr:uid="{00000000-0005-0000-0000-0000DB060000}"/>
    <cellStyle name="Note 2 2 27" xfId="1013" xr:uid="{00000000-0005-0000-0000-0000DC060000}"/>
    <cellStyle name="Note 2 2 27 2" xfId="2856" xr:uid="{00000000-0005-0000-0000-0000DD060000}"/>
    <cellStyle name="Note 2 2 27 3" xfId="2702" xr:uid="{00000000-0005-0000-0000-0000DE060000}"/>
    <cellStyle name="Note 2 2 27 4" xfId="3021" xr:uid="{00000000-0005-0000-0000-0000DF060000}"/>
    <cellStyle name="Note 2 2 27 5" xfId="2615" xr:uid="{00000000-0005-0000-0000-0000E0060000}"/>
    <cellStyle name="Note 2 2 28" xfId="1014" xr:uid="{00000000-0005-0000-0000-0000E1060000}"/>
    <cellStyle name="Note 2 2 28 2" xfId="2857" xr:uid="{00000000-0005-0000-0000-0000E2060000}"/>
    <cellStyle name="Note 2 2 28 3" xfId="2676" xr:uid="{00000000-0005-0000-0000-0000E3060000}"/>
    <cellStyle name="Note 2 2 28 4" xfId="3043" xr:uid="{00000000-0005-0000-0000-0000E4060000}"/>
    <cellStyle name="Note 2 2 28 5" xfId="2616" xr:uid="{00000000-0005-0000-0000-0000E5060000}"/>
    <cellStyle name="Note 2 2 29" xfId="1015" xr:uid="{00000000-0005-0000-0000-0000E6060000}"/>
    <cellStyle name="Note 2 2 29 2" xfId="2858" xr:uid="{00000000-0005-0000-0000-0000E7060000}"/>
    <cellStyle name="Note 2 2 29 3" xfId="2660" xr:uid="{00000000-0005-0000-0000-0000E8060000}"/>
    <cellStyle name="Note 2 2 29 4" xfId="3056" xr:uid="{00000000-0005-0000-0000-0000E9060000}"/>
    <cellStyle name="Note 2 2 29 5" xfId="2617" xr:uid="{00000000-0005-0000-0000-0000EA060000}"/>
    <cellStyle name="Note 2 2 3" xfId="1016" xr:uid="{00000000-0005-0000-0000-0000EB060000}"/>
    <cellStyle name="Note 2 2 3 2" xfId="2859" xr:uid="{00000000-0005-0000-0000-0000EC060000}"/>
    <cellStyle name="Note 2 2 3 3" xfId="2654" xr:uid="{00000000-0005-0000-0000-0000ED060000}"/>
    <cellStyle name="Note 2 2 3 4" xfId="3060" xr:uid="{00000000-0005-0000-0000-0000EE060000}"/>
    <cellStyle name="Note 2 2 3 5" xfId="2618" xr:uid="{00000000-0005-0000-0000-0000EF060000}"/>
    <cellStyle name="Note 2 2 30" xfId="1017" xr:uid="{00000000-0005-0000-0000-0000F0060000}"/>
    <cellStyle name="Note 2 2 30 2" xfId="2860" xr:uid="{00000000-0005-0000-0000-0000F1060000}"/>
    <cellStyle name="Note 2 2 30 3" xfId="2086" xr:uid="{00000000-0005-0000-0000-0000F2060000}"/>
    <cellStyle name="Note 2 2 30 4" xfId="3092" xr:uid="{00000000-0005-0000-0000-0000F3060000}"/>
    <cellStyle name="Note 2 2 30 5" xfId="2619" xr:uid="{00000000-0005-0000-0000-0000F4060000}"/>
    <cellStyle name="Note 2 2 31" xfId="1018" xr:uid="{00000000-0005-0000-0000-0000F5060000}"/>
    <cellStyle name="Note 2 2 31 2" xfId="2861" xr:uid="{00000000-0005-0000-0000-0000F6060000}"/>
    <cellStyle name="Note 2 2 31 3" xfId="2122" xr:uid="{00000000-0005-0000-0000-0000F7060000}"/>
    <cellStyle name="Note 2 2 31 4" xfId="3095" xr:uid="{00000000-0005-0000-0000-0000F8060000}"/>
    <cellStyle name="Note 2 2 31 5" xfId="2620" xr:uid="{00000000-0005-0000-0000-0000F9060000}"/>
    <cellStyle name="Note 2 2 32" xfId="1019" xr:uid="{00000000-0005-0000-0000-0000FA060000}"/>
    <cellStyle name="Note 2 2 32 2" xfId="2862" xr:uid="{00000000-0005-0000-0000-0000FB060000}"/>
    <cellStyle name="Note 2 2 32 3" xfId="2659" xr:uid="{00000000-0005-0000-0000-0000FC060000}"/>
    <cellStyle name="Note 2 2 32 4" xfId="3057" xr:uid="{00000000-0005-0000-0000-0000FD060000}"/>
    <cellStyle name="Note 2 2 32 5" xfId="2621" xr:uid="{00000000-0005-0000-0000-0000FE060000}"/>
    <cellStyle name="Note 2 2 33" xfId="1020" xr:uid="{00000000-0005-0000-0000-0000FF060000}"/>
    <cellStyle name="Note 2 2 33 2" xfId="2863" xr:uid="{00000000-0005-0000-0000-000000070000}"/>
    <cellStyle name="Note 2 2 33 3" xfId="2755" xr:uid="{00000000-0005-0000-0000-000001070000}"/>
    <cellStyle name="Note 2 2 33 4" xfId="2985" xr:uid="{00000000-0005-0000-0000-000002070000}"/>
    <cellStyle name="Note 2 2 33 5" xfId="2622" xr:uid="{00000000-0005-0000-0000-000003070000}"/>
    <cellStyle name="Note 2 2 34" xfId="1021" xr:uid="{00000000-0005-0000-0000-000004070000}"/>
    <cellStyle name="Note 2 2 34 2" xfId="2864" xr:uid="{00000000-0005-0000-0000-000005070000}"/>
    <cellStyle name="Note 2 2 34 3" xfId="2754" xr:uid="{00000000-0005-0000-0000-000006070000}"/>
    <cellStyle name="Note 2 2 34 4" xfId="2986" xr:uid="{00000000-0005-0000-0000-000007070000}"/>
    <cellStyle name="Note 2 2 34 5" xfId="2623" xr:uid="{00000000-0005-0000-0000-000008070000}"/>
    <cellStyle name="Note 2 2 35" xfId="2679" xr:uid="{00000000-0005-0000-0000-000009070000}"/>
    <cellStyle name="Note 2 2 36" xfId="3040" xr:uid="{00000000-0005-0000-0000-00000A070000}"/>
    <cellStyle name="Note 2 2 37" xfId="3111" xr:uid="{00000000-0005-0000-0000-00000B070000}"/>
    <cellStyle name="Note 2 2 38" xfId="2126" xr:uid="{00000000-0005-0000-0000-00000C070000}"/>
    <cellStyle name="Note 2 2 4" xfId="1022" xr:uid="{00000000-0005-0000-0000-00000D070000}"/>
    <cellStyle name="Note 2 2 4 2" xfId="2865" xr:uid="{00000000-0005-0000-0000-00000E070000}"/>
    <cellStyle name="Note 2 2 4 3" xfId="2651" xr:uid="{00000000-0005-0000-0000-00000F070000}"/>
    <cellStyle name="Note 2 2 4 4" xfId="2715" xr:uid="{00000000-0005-0000-0000-000010070000}"/>
    <cellStyle name="Note 2 2 4 5" xfId="2624" xr:uid="{00000000-0005-0000-0000-000011070000}"/>
    <cellStyle name="Note 2 2 5" xfId="1023" xr:uid="{00000000-0005-0000-0000-000012070000}"/>
    <cellStyle name="Note 2 2 5 2" xfId="2866" xr:uid="{00000000-0005-0000-0000-000013070000}"/>
    <cellStyle name="Note 2 2 5 3" xfId="2753" xr:uid="{00000000-0005-0000-0000-000014070000}"/>
    <cellStyle name="Note 2 2 5 4" xfId="2987" xr:uid="{00000000-0005-0000-0000-000015070000}"/>
    <cellStyle name="Note 2 2 5 5" xfId="2625" xr:uid="{00000000-0005-0000-0000-000016070000}"/>
    <cellStyle name="Note 2 2 6" xfId="1024" xr:uid="{00000000-0005-0000-0000-000017070000}"/>
    <cellStyle name="Note 2 2 6 2" xfId="2867" xr:uid="{00000000-0005-0000-0000-000018070000}"/>
    <cellStyle name="Note 2 2 6 3" xfId="2675" xr:uid="{00000000-0005-0000-0000-000019070000}"/>
    <cellStyle name="Note 2 2 6 4" xfId="3044" xr:uid="{00000000-0005-0000-0000-00001A070000}"/>
    <cellStyle name="Note 2 2 6 5" xfId="2626" xr:uid="{00000000-0005-0000-0000-00001B070000}"/>
    <cellStyle name="Note 2 2 7" xfId="1025" xr:uid="{00000000-0005-0000-0000-00001C070000}"/>
    <cellStyle name="Note 2 2 7 2" xfId="2868" xr:uid="{00000000-0005-0000-0000-00001D070000}"/>
    <cellStyle name="Note 2 2 7 3" xfId="2657" xr:uid="{00000000-0005-0000-0000-00001E070000}"/>
    <cellStyle name="Note 2 2 7 4" xfId="3059" xr:uid="{00000000-0005-0000-0000-00001F070000}"/>
    <cellStyle name="Note 2 2 7 5" xfId="2627" xr:uid="{00000000-0005-0000-0000-000020070000}"/>
    <cellStyle name="Note 2 2 8" xfId="1026" xr:uid="{00000000-0005-0000-0000-000021070000}"/>
    <cellStyle name="Note 2 2 8 2" xfId="2869" xr:uid="{00000000-0005-0000-0000-000022070000}"/>
    <cellStyle name="Note 2 2 8 3" xfId="2087" xr:uid="{00000000-0005-0000-0000-000023070000}"/>
    <cellStyle name="Note 2 2 8 4" xfId="3097" xr:uid="{00000000-0005-0000-0000-000024070000}"/>
    <cellStyle name="Note 2 2 8 5" xfId="2628" xr:uid="{00000000-0005-0000-0000-000025070000}"/>
    <cellStyle name="Note 2 2 9" xfId="1027" xr:uid="{00000000-0005-0000-0000-000026070000}"/>
    <cellStyle name="Note 2 2 9 2" xfId="2870" xr:uid="{00000000-0005-0000-0000-000027070000}"/>
    <cellStyle name="Note 2 2 9 3" xfId="2752" xr:uid="{00000000-0005-0000-0000-000028070000}"/>
    <cellStyle name="Note 2 2 9 4" xfId="2988" xr:uid="{00000000-0005-0000-0000-000029070000}"/>
    <cellStyle name="Note 2 2 9 5" xfId="2629" xr:uid="{00000000-0005-0000-0000-00002A070000}"/>
    <cellStyle name="Note 2 3" xfId="260" xr:uid="{00000000-0005-0000-0000-00002B070000}"/>
    <cellStyle name="Note 2 3 2" xfId="2759" xr:uid="{00000000-0005-0000-0000-00002C070000}"/>
    <cellStyle name="Note 2 3 3" xfId="2981" xr:uid="{00000000-0005-0000-0000-00002D070000}"/>
    <cellStyle name="Note 2 3 4" xfId="2773" xr:uid="{00000000-0005-0000-0000-00002E070000}"/>
    <cellStyle name="Note 2 4" xfId="2100" xr:uid="{00000000-0005-0000-0000-00002F070000}"/>
    <cellStyle name="Note 2 5" xfId="2035" xr:uid="{00000000-0005-0000-0000-000030070000}"/>
    <cellStyle name="Note 3" xfId="166" xr:uid="{00000000-0005-0000-0000-000031070000}"/>
    <cellStyle name="Note 3 2" xfId="2128" xr:uid="{00000000-0005-0000-0000-000032070000}"/>
    <cellStyle name="Note 4" xfId="190" xr:uid="{00000000-0005-0000-0000-000033070000}"/>
    <cellStyle name="Note 4 2" xfId="2151" xr:uid="{00000000-0005-0000-0000-000034070000}"/>
    <cellStyle name="Output" xfId="20" builtinId="21" customBuiltin="1"/>
    <cellStyle name="Output 2" xfId="81" xr:uid="{00000000-0005-0000-0000-000036070000}"/>
    <cellStyle name="Output 2 2" xfId="153" xr:uid="{00000000-0005-0000-0000-000037070000}"/>
    <cellStyle name="Output 2 2 10" xfId="1028" xr:uid="{00000000-0005-0000-0000-000038070000}"/>
    <cellStyle name="Output 2 2 10 2" xfId="2871" xr:uid="{00000000-0005-0000-0000-000039070000}"/>
    <cellStyle name="Output 2 2 10 3" xfId="2751" xr:uid="{00000000-0005-0000-0000-00003A070000}"/>
    <cellStyle name="Output 2 2 10 4" xfId="2989" xr:uid="{00000000-0005-0000-0000-00003B070000}"/>
    <cellStyle name="Output 2 2 11" xfId="1029" xr:uid="{00000000-0005-0000-0000-00003C070000}"/>
    <cellStyle name="Output 2 2 11 2" xfId="2872" xr:uid="{00000000-0005-0000-0000-00003D070000}"/>
    <cellStyle name="Output 2 2 11 3" xfId="2750" xr:uid="{00000000-0005-0000-0000-00003E070000}"/>
    <cellStyle name="Output 2 2 11 4" xfId="2990" xr:uid="{00000000-0005-0000-0000-00003F070000}"/>
    <cellStyle name="Output 2 2 12" xfId="1030" xr:uid="{00000000-0005-0000-0000-000040070000}"/>
    <cellStyle name="Output 2 2 12 2" xfId="2873" xr:uid="{00000000-0005-0000-0000-000041070000}"/>
    <cellStyle name="Output 2 2 12 3" xfId="2649" xr:uid="{00000000-0005-0000-0000-000042070000}"/>
    <cellStyle name="Output 2 2 12 4" xfId="3062" xr:uid="{00000000-0005-0000-0000-000043070000}"/>
    <cellStyle name="Output 2 2 13" xfId="1031" xr:uid="{00000000-0005-0000-0000-000044070000}"/>
    <cellStyle name="Output 2 2 13 2" xfId="2874" xr:uid="{00000000-0005-0000-0000-000045070000}"/>
    <cellStyle name="Output 2 2 13 3" xfId="2749" xr:uid="{00000000-0005-0000-0000-000046070000}"/>
    <cellStyle name="Output 2 2 13 4" xfId="2991" xr:uid="{00000000-0005-0000-0000-000047070000}"/>
    <cellStyle name="Output 2 2 14" xfId="1032" xr:uid="{00000000-0005-0000-0000-000048070000}"/>
    <cellStyle name="Output 2 2 14 2" xfId="2875" xr:uid="{00000000-0005-0000-0000-000049070000}"/>
    <cellStyle name="Output 2 2 14 3" xfId="2748" xr:uid="{00000000-0005-0000-0000-00004A070000}"/>
    <cellStyle name="Output 2 2 14 4" xfId="2992" xr:uid="{00000000-0005-0000-0000-00004B070000}"/>
    <cellStyle name="Output 2 2 15" xfId="1033" xr:uid="{00000000-0005-0000-0000-00004C070000}"/>
    <cellStyle name="Output 2 2 15 2" xfId="2876" xr:uid="{00000000-0005-0000-0000-00004D070000}"/>
    <cellStyle name="Output 2 2 15 3" xfId="2674" xr:uid="{00000000-0005-0000-0000-00004E070000}"/>
    <cellStyle name="Output 2 2 15 4" xfId="3045" xr:uid="{00000000-0005-0000-0000-00004F070000}"/>
    <cellStyle name="Output 2 2 16" xfId="1034" xr:uid="{00000000-0005-0000-0000-000050070000}"/>
    <cellStyle name="Output 2 2 16 2" xfId="2877" xr:uid="{00000000-0005-0000-0000-000051070000}"/>
    <cellStyle name="Output 2 2 16 3" xfId="2747" xr:uid="{00000000-0005-0000-0000-000052070000}"/>
    <cellStyle name="Output 2 2 16 4" xfId="2993" xr:uid="{00000000-0005-0000-0000-000053070000}"/>
    <cellStyle name="Output 2 2 17" xfId="1035" xr:uid="{00000000-0005-0000-0000-000054070000}"/>
    <cellStyle name="Output 2 2 17 2" xfId="2878" xr:uid="{00000000-0005-0000-0000-000055070000}"/>
    <cellStyle name="Output 2 2 17 3" xfId="2688" xr:uid="{00000000-0005-0000-0000-000056070000}"/>
    <cellStyle name="Output 2 2 17 4" xfId="3031" xr:uid="{00000000-0005-0000-0000-000057070000}"/>
    <cellStyle name="Output 2 2 18" xfId="1036" xr:uid="{00000000-0005-0000-0000-000058070000}"/>
    <cellStyle name="Output 2 2 18 2" xfId="2879" xr:uid="{00000000-0005-0000-0000-000059070000}"/>
    <cellStyle name="Output 2 2 18 3" xfId="2673" xr:uid="{00000000-0005-0000-0000-00005A070000}"/>
    <cellStyle name="Output 2 2 18 4" xfId="2771" xr:uid="{00000000-0005-0000-0000-00005B070000}"/>
    <cellStyle name="Output 2 2 19" xfId="1037" xr:uid="{00000000-0005-0000-0000-00005C070000}"/>
    <cellStyle name="Output 2 2 19 2" xfId="2880" xr:uid="{00000000-0005-0000-0000-00005D070000}"/>
    <cellStyle name="Output 2 2 19 3" xfId="2094" xr:uid="{00000000-0005-0000-0000-00005E070000}"/>
    <cellStyle name="Output 2 2 19 4" xfId="3099" xr:uid="{00000000-0005-0000-0000-00005F070000}"/>
    <cellStyle name="Output 2 2 2" xfId="1038" xr:uid="{00000000-0005-0000-0000-000060070000}"/>
    <cellStyle name="Output 2 2 2 2" xfId="2881" xr:uid="{00000000-0005-0000-0000-000061070000}"/>
    <cellStyle name="Output 2 2 2 3" xfId="2772" xr:uid="{00000000-0005-0000-0000-000062070000}"/>
    <cellStyle name="Output 2 2 2 4" xfId="3106" xr:uid="{00000000-0005-0000-0000-000063070000}"/>
    <cellStyle name="Output 2 2 20" xfId="1039" xr:uid="{00000000-0005-0000-0000-000064070000}"/>
    <cellStyle name="Output 2 2 20 2" xfId="2882" xr:uid="{00000000-0005-0000-0000-000065070000}"/>
    <cellStyle name="Output 2 2 20 3" xfId="2746" xr:uid="{00000000-0005-0000-0000-000066070000}"/>
    <cellStyle name="Output 2 2 20 4" xfId="2994" xr:uid="{00000000-0005-0000-0000-000067070000}"/>
    <cellStyle name="Output 2 2 21" xfId="1040" xr:uid="{00000000-0005-0000-0000-000068070000}"/>
    <cellStyle name="Output 2 2 21 2" xfId="2883" xr:uid="{00000000-0005-0000-0000-000069070000}"/>
    <cellStyle name="Output 2 2 21 3" xfId="2745" xr:uid="{00000000-0005-0000-0000-00006A070000}"/>
    <cellStyle name="Output 2 2 21 4" xfId="2995" xr:uid="{00000000-0005-0000-0000-00006B070000}"/>
    <cellStyle name="Output 2 2 22" xfId="1041" xr:uid="{00000000-0005-0000-0000-00006C070000}"/>
    <cellStyle name="Output 2 2 22 2" xfId="2884" xr:uid="{00000000-0005-0000-0000-00006D070000}"/>
    <cellStyle name="Output 2 2 22 3" xfId="2744" xr:uid="{00000000-0005-0000-0000-00006E070000}"/>
    <cellStyle name="Output 2 2 22 4" xfId="2996" xr:uid="{00000000-0005-0000-0000-00006F070000}"/>
    <cellStyle name="Output 2 2 23" xfId="1042" xr:uid="{00000000-0005-0000-0000-000070070000}"/>
    <cellStyle name="Output 2 2 23 2" xfId="2885" xr:uid="{00000000-0005-0000-0000-000071070000}"/>
    <cellStyle name="Output 2 2 23 3" xfId="2743" xr:uid="{00000000-0005-0000-0000-000072070000}"/>
    <cellStyle name="Output 2 2 23 4" xfId="2997" xr:uid="{00000000-0005-0000-0000-000073070000}"/>
    <cellStyle name="Output 2 2 24" xfId="1043" xr:uid="{00000000-0005-0000-0000-000074070000}"/>
    <cellStyle name="Output 2 2 24 2" xfId="2886" xr:uid="{00000000-0005-0000-0000-000075070000}"/>
    <cellStyle name="Output 2 2 24 3" xfId="2742" xr:uid="{00000000-0005-0000-0000-000076070000}"/>
    <cellStyle name="Output 2 2 24 4" xfId="2998" xr:uid="{00000000-0005-0000-0000-000077070000}"/>
    <cellStyle name="Output 2 2 25" xfId="1044" xr:uid="{00000000-0005-0000-0000-000078070000}"/>
    <cellStyle name="Output 2 2 25 2" xfId="2887" xr:uid="{00000000-0005-0000-0000-000079070000}"/>
    <cellStyle name="Output 2 2 25 3" xfId="2741" xr:uid="{00000000-0005-0000-0000-00007A070000}"/>
    <cellStyle name="Output 2 2 25 4" xfId="2999" xr:uid="{00000000-0005-0000-0000-00007B070000}"/>
    <cellStyle name="Output 2 2 26" xfId="1045" xr:uid="{00000000-0005-0000-0000-00007C070000}"/>
    <cellStyle name="Output 2 2 26 2" xfId="2888" xr:uid="{00000000-0005-0000-0000-00007D070000}"/>
    <cellStyle name="Output 2 2 26 3" xfId="3104" xr:uid="{00000000-0005-0000-0000-00007E070000}"/>
    <cellStyle name="Output 2 2 26 4" xfId="3114" xr:uid="{00000000-0005-0000-0000-00007F070000}"/>
    <cellStyle name="Output 2 2 27" xfId="1046" xr:uid="{00000000-0005-0000-0000-000080070000}"/>
    <cellStyle name="Output 2 2 27 2" xfId="2889" xr:uid="{00000000-0005-0000-0000-000081070000}"/>
    <cellStyle name="Output 2 2 27 3" xfId="2740" xr:uid="{00000000-0005-0000-0000-000082070000}"/>
    <cellStyle name="Output 2 2 27 4" xfId="3000" xr:uid="{00000000-0005-0000-0000-000083070000}"/>
    <cellStyle name="Output 2 2 28" xfId="1047" xr:uid="{00000000-0005-0000-0000-000084070000}"/>
    <cellStyle name="Output 2 2 28 2" xfId="2890" xr:uid="{00000000-0005-0000-0000-000085070000}"/>
    <cellStyle name="Output 2 2 28 3" xfId="2690" xr:uid="{00000000-0005-0000-0000-000086070000}"/>
    <cellStyle name="Output 2 2 28 4" xfId="3029" xr:uid="{00000000-0005-0000-0000-000087070000}"/>
    <cellStyle name="Output 2 2 29" xfId="1048" xr:uid="{00000000-0005-0000-0000-000088070000}"/>
    <cellStyle name="Output 2 2 29 2" xfId="2891" xr:uid="{00000000-0005-0000-0000-000089070000}"/>
    <cellStyle name="Output 2 2 29 3" xfId="2710" xr:uid="{00000000-0005-0000-0000-00008A070000}"/>
    <cellStyle name="Output 2 2 29 4" xfId="3015" xr:uid="{00000000-0005-0000-0000-00008B070000}"/>
    <cellStyle name="Output 2 2 3" xfId="1049" xr:uid="{00000000-0005-0000-0000-00008C070000}"/>
    <cellStyle name="Output 2 2 3 2" xfId="2892" xr:uid="{00000000-0005-0000-0000-00008D070000}"/>
    <cellStyle name="Output 2 2 3 3" xfId="2699" xr:uid="{00000000-0005-0000-0000-00008E070000}"/>
    <cellStyle name="Output 2 2 3 4" xfId="3022" xr:uid="{00000000-0005-0000-0000-00008F070000}"/>
    <cellStyle name="Output 2 2 30" xfId="1050" xr:uid="{00000000-0005-0000-0000-000090070000}"/>
    <cellStyle name="Output 2 2 30 2" xfId="2893" xr:uid="{00000000-0005-0000-0000-000091070000}"/>
    <cellStyle name="Output 2 2 30 3" xfId="2689" xr:uid="{00000000-0005-0000-0000-000092070000}"/>
    <cellStyle name="Output 2 2 30 4" xfId="3030" xr:uid="{00000000-0005-0000-0000-000093070000}"/>
    <cellStyle name="Output 2 2 31" xfId="1051" xr:uid="{00000000-0005-0000-0000-000094070000}"/>
    <cellStyle name="Output 2 2 31 2" xfId="2894" xr:uid="{00000000-0005-0000-0000-000095070000}"/>
    <cellStyle name="Output 2 2 31 3" xfId="2709" xr:uid="{00000000-0005-0000-0000-000096070000}"/>
    <cellStyle name="Output 2 2 31 4" xfId="3016" xr:uid="{00000000-0005-0000-0000-000097070000}"/>
    <cellStyle name="Output 2 2 32" xfId="1052" xr:uid="{00000000-0005-0000-0000-000098070000}"/>
    <cellStyle name="Output 2 2 32 2" xfId="2895" xr:uid="{00000000-0005-0000-0000-000099070000}"/>
    <cellStyle name="Output 2 2 32 3" xfId="2698" xr:uid="{00000000-0005-0000-0000-00009A070000}"/>
    <cellStyle name="Output 2 2 32 4" xfId="3023" xr:uid="{00000000-0005-0000-0000-00009B070000}"/>
    <cellStyle name="Output 2 2 33" xfId="1053" xr:uid="{00000000-0005-0000-0000-00009C070000}"/>
    <cellStyle name="Output 2 2 33 2" xfId="2896" xr:uid="{00000000-0005-0000-0000-00009D070000}"/>
    <cellStyle name="Output 2 2 33 3" xfId="2092" xr:uid="{00000000-0005-0000-0000-00009E070000}"/>
    <cellStyle name="Output 2 2 33 4" xfId="3096" xr:uid="{00000000-0005-0000-0000-00009F070000}"/>
    <cellStyle name="Output 2 2 34" xfId="1054" xr:uid="{00000000-0005-0000-0000-0000A0070000}"/>
    <cellStyle name="Output 2 2 34 2" xfId="2897" xr:uid="{00000000-0005-0000-0000-0000A1070000}"/>
    <cellStyle name="Output 2 2 34 3" xfId="2091" xr:uid="{00000000-0005-0000-0000-0000A2070000}"/>
    <cellStyle name="Output 2 2 34 4" xfId="3100" xr:uid="{00000000-0005-0000-0000-0000A3070000}"/>
    <cellStyle name="Output 2 2 35" xfId="2680" xr:uid="{00000000-0005-0000-0000-0000A4070000}"/>
    <cellStyle name="Output 2 2 36" xfId="3039" xr:uid="{00000000-0005-0000-0000-0000A5070000}"/>
    <cellStyle name="Output 2 2 37" xfId="3110" xr:uid="{00000000-0005-0000-0000-0000A6070000}"/>
    <cellStyle name="Output 2 2 4" xfId="1055" xr:uid="{00000000-0005-0000-0000-0000A7070000}"/>
    <cellStyle name="Output 2 2 4 2" xfId="2898" xr:uid="{00000000-0005-0000-0000-0000A8070000}"/>
    <cellStyle name="Output 2 2 4 3" xfId="2672" xr:uid="{00000000-0005-0000-0000-0000A9070000}"/>
    <cellStyle name="Output 2 2 4 4" xfId="3046" xr:uid="{00000000-0005-0000-0000-0000AA070000}"/>
    <cellStyle name="Output 2 2 5" xfId="1056" xr:uid="{00000000-0005-0000-0000-0000AB070000}"/>
    <cellStyle name="Output 2 2 5 2" xfId="2899" xr:uid="{00000000-0005-0000-0000-0000AC070000}"/>
    <cellStyle name="Output 2 2 5 3" xfId="2658" xr:uid="{00000000-0005-0000-0000-0000AD070000}"/>
    <cellStyle name="Output 2 2 5 4" xfId="3058" xr:uid="{00000000-0005-0000-0000-0000AE070000}"/>
    <cellStyle name="Output 2 2 6" xfId="1057" xr:uid="{00000000-0005-0000-0000-0000AF070000}"/>
    <cellStyle name="Output 2 2 6 2" xfId="2900" xr:uid="{00000000-0005-0000-0000-0000B0070000}"/>
    <cellStyle name="Output 2 2 6 3" xfId="2640" xr:uid="{00000000-0005-0000-0000-0000B1070000}"/>
    <cellStyle name="Output 2 2 6 4" xfId="3070" xr:uid="{00000000-0005-0000-0000-0000B2070000}"/>
    <cellStyle name="Output 2 2 7" xfId="1058" xr:uid="{00000000-0005-0000-0000-0000B3070000}"/>
    <cellStyle name="Output 2 2 7 2" xfId="2901" xr:uid="{00000000-0005-0000-0000-0000B4070000}"/>
    <cellStyle name="Output 2 2 7 3" xfId="2090" xr:uid="{00000000-0005-0000-0000-0000B5070000}"/>
    <cellStyle name="Output 2 2 7 4" xfId="3086" xr:uid="{00000000-0005-0000-0000-0000B6070000}"/>
    <cellStyle name="Output 2 2 8" xfId="1059" xr:uid="{00000000-0005-0000-0000-0000B7070000}"/>
    <cellStyle name="Output 2 2 8 2" xfId="2902" xr:uid="{00000000-0005-0000-0000-0000B8070000}"/>
    <cellStyle name="Output 2 2 8 3" xfId="2671" xr:uid="{00000000-0005-0000-0000-0000B9070000}"/>
    <cellStyle name="Output 2 2 8 4" xfId="3047" xr:uid="{00000000-0005-0000-0000-0000BA070000}"/>
    <cellStyle name="Output 2 2 9" xfId="1060" xr:uid="{00000000-0005-0000-0000-0000BB070000}"/>
    <cellStyle name="Output 2 2 9 2" xfId="2903" xr:uid="{00000000-0005-0000-0000-0000BC070000}"/>
    <cellStyle name="Output 2 2 9 3" xfId="2638" xr:uid="{00000000-0005-0000-0000-0000BD070000}"/>
    <cellStyle name="Output 2 2 9 4" xfId="3072" xr:uid="{00000000-0005-0000-0000-0000BE070000}"/>
    <cellStyle name="Percent 2" xfId="2" xr:uid="{00000000-0005-0000-0000-0000BF070000}"/>
    <cellStyle name="Percent 2 2" xfId="97" xr:uid="{00000000-0005-0000-0000-0000C0070000}"/>
    <cellStyle name="Percent 2 2 2" xfId="261" xr:uid="{00000000-0005-0000-0000-0000C1070000}"/>
    <cellStyle name="Percent 2 3" xfId="262" xr:uid="{00000000-0005-0000-0000-0000C2070000}"/>
    <cellStyle name="Percent 2 4" xfId="263" xr:uid="{00000000-0005-0000-0000-0000C3070000}"/>
    <cellStyle name="Percent 3" xfId="264" xr:uid="{00000000-0005-0000-0000-0000C4070000}"/>
    <cellStyle name="Percent 3 2" xfId="265" xr:uid="{00000000-0005-0000-0000-0000C5070000}"/>
    <cellStyle name="Percent 4" xfId="266" xr:uid="{00000000-0005-0000-0000-0000C6070000}"/>
    <cellStyle name="Percent 4 2" xfId="267" xr:uid="{00000000-0005-0000-0000-0000C7070000}"/>
    <cellStyle name="Percent 5" xfId="268" xr:uid="{00000000-0005-0000-0000-0000C8070000}"/>
    <cellStyle name="Percent 5 2" xfId="269" xr:uid="{00000000-0005-0000-0000-0000C9070000}"/>
    <cellStyle name="Percent 5 2 2" xfId="270" xr:uid="{00000000-0005-0000-0000-0000CA070000}"/>
    <cellStyle name="Percent 5 3" xfId="271" xr:uid="{00000000-0005-0000-0000-0000CB070000}"/>
    <cellStyle name="Percent 6" xfId="2029" xr:uid="{00000000-0005-0000-0000-0000CC070000}"/>
    <cellStyle name="SN_241" xfId="6" xr:uid="{00000000-0005-0000-0000-0000CD070000}"/>
    <cellStyle name="SN_b" xfId="3116" xr:uid="{00000000-0005-0000-0000-0000CE070000}"/>
    <cellStyle name="SN10_bold" xfId="2055" xr:uid="{00000000-0005-0000-0000-0000CF070000}"/>
    <cellStyle name="Style 1" xfId="154" xr:uid="{00000000-0005-0000-0000-0000D0070000}"/>
    <cellStyle name="Style 1 2" xfId="155" xr:uid="{00000000-0005-0000-0000-0000D1070000}"/>
    <cellStyle name="Style 1 2 2" xfId="183" xr:uid="{00000000-0005-0000-0000-0000D2070000}"/>
    <cellStyle name="Style 1_verchnakan_ax21-25_2018" xfId="156" xr:uid="{00000000-0005-0000-0000-0000D3070000}"/>
    <cellStyle name="Title" xfId="2031" builtinId="15" customBuiltin="1"/>
    <cellStyle name="Title 2" xfId="52" xr:uid="{00000000-0005-0000-0000-0000D5070000}"/>
    <cellStyle name="Title 2 2" xfId="157" xr:uid="{00000000-0005-0000-0000-0000D6070000}"/>
    <cellStyle name="Title 3" xfId="84" xr:uid="{00000000-0005-0000-0000-0000D7070000}"/>
    <cellStyle name="Total" xfId="27" builtinId="25" customBuiltin="1"/>
    <cellStyle name="Total 2" xfId="89" xr:uid="{00000000-0005-0000-0000-0000D9070000}"/>
    <cellStyle name="Total 2 2" xfId="158" xr:uid="{00000000-0005-0000-0000-0000DA070000}"/>
    <cellStyle name="Total 2 2 10" xfId="1061" xr:uid="{00000000-0005-0000-0000-0000DB070000}"/>
    <cellStyle name="Total 2 2 10 2" xfId="2904" xr:uid="{00000000-0005-0000-0000-0000DC070000}"/>
    <cellStyle name="Total 2 2 10 3" xfId="2098" xr:uid="{00000000-0005-0000-0000-0000DD070000}"/>
    <cellStyle name="Total 2 2 10 4" xfId="3083" xr:uid="{00000000-0005-0000-0000-0000DE070000}"/>
    <cellStyle name="Total 2 2 11" xfId="1062" xr:uid="{00000000-0005-0000-0000-0000DF070000}"/>
    <cellStyle name="Total 2 2 11 2" xfId="2905" xr:uid="{00000000-0005-0000-0000-0000E0070000}"/>
    <cellStyle name="Total 2 2 11 3" xfId="2739" xr:uid="{00000000-0005-0000-0000-0000E1070000}"/>
    <cellStyle name="Total 2 2 11 4" xfId="3001" xr:uid="{00000000-0005-0000-0000-0000E2070000}"/>
    <cellStyle name="Total 2 2 12" xfId="1063" xr:uid="{00000000-0005-0000-0000-0000E3070000}"/>
    <cellStyle name="Total 2 2 12 2" xfId="2906" xr:uid="{00000000-0005-0000-0000-0000E4070000}"/>
    <cellStyle name="Total 2 2 12 3" xfId="2738" xr:uid="{00000000-0005-0000-0000-0000E5070000}"/>
    <cellStyle name="Total 2 2 12 4" xfId="3002" xr:uid="{00000000-0005-0000-0000-0000E6070000}"/>
    <cellStyle name="Total 2 2 13" xfId="1064" xr:uid="{00000000-0005-0000-0000-0000E7070000}"/>
    <cellStyle name="Total 2 2 13 2" xfId="2907" xr:uid="{00000000-0005-0000-0000-0000E8070000}"/>
    <cellStyle name="Total 2 2 13 3" xfId="2737" xr:uid="{00000000-0005-0000-0000-0000E9070000}"/>
    <cellStyle name="Total 2 2 13 4" xfId="3003" xr:uid="{00000000-0005-0000-0000-0000EA070000}"/>
    <cellStyle name="Total 2 2 14" xfId="1065" xr:uid="{00000000-0005-0000-0000-0000EB070000}"/>
    <cellStyle name="Total 2 2 14 2" xfId="2908" xr:uid="{00000000-0005-0000-0000-0000EC070000}"/>
    <cellStyle name="Total 2 2 14 3" xfId="2736" xr:uid="{00000000-0005-0000-0000-0000ED070000}"/>
    <cellStyle name="Total 2 2 14 4" xfId="3004" xr:uid="{00000000-0005-0000-0000-0000EE070000}"/>
    <cellStyle name="Total 2 2 15" xfId="1066" xr:uid="{00000000-0005-0000-0000-0000EF070000}"/>
    <cellStyle name="Total 2 2 15 2" xfId="2909" xr:uid="{00000000-0005-0000-0000-0000F0070000}"/>
    <cellStyle name="Total 2 2 15 3" xfId="2735" xr:uid="{00000000-0005-0000-0000-0000F1070000}"/>
    <cellStyle name="Total 2 2 15 4" xfId="3005" xr:uid="{00000000-0005-0000-0000-0000F2070000}"/>
    <cellStyle name="Total 2 2 16" xfId="1067" xr:uid="{00000000-0005-0000-0000-0000F3070000}"/>
    <cellStyle name="Total 2 2 16 2" xfId="2910" xr:uid="{00000000-0005-0000-0000-0000F4070000}"/>
    <cellStyle name="Total 2 2 16 3" xfId="2734" xr:uid="{00000000-0005-0000-0000-0000F5070000}"/>
    <cellStyle name="Total 2 2 16 4" xfId="3006" xr:uid="{00000000-0005-0000-0000-0000F6070000}"/>
    <cellStyle name="Total 2 2 17" xfId="1068" xr:uid="{00000000-0005-0000-0000-0000F7070000}"/>
    <cellStyle name="Total 2 2 17 2" xfId="2911" xr:uid="{00000000-0005-0000-0000-0000F8070000}"/>
    <cellStyle name="Total 2 2 17 3" xfId="2733" xr:uid="{00000000-0005-0000-0000-0000F9070000}"/>
    <cellStyle name="Total 2 2 17 4" xfId="3007" xr:uid="{00000000-0005-0000-0000-0000FA070000}"/>
    <cellStyle name="Total 2 2 18" xfId="1069" xr:uid="{00000000-0005-0000-0000-0000FB070000}"/>
    <cellStyle name="Total 2 2 18 2" xfId="2912" xr:uid="{00000000-0005-0000-0000-0000FC070000}"/>
    <cellStyle name="Total 2 2 18 3" xfId="2643" xr:uid="{00000000-0005-0000-0000-0000FD070000}"/>
    <cellStyle name="Total 2 2 18 4" xfId="3067" xr:uid="{00000000-0005-0000-0000-0000FE070000}"/>
    <cellStyle name="Total 2 2 19" xfId="1070" xr:uid="{00000000-0005-0000-0000-0000FF070000}"/>
    <cellStyle name="Total 2 2 19 2" xfId="2913" xr:uid="{00000000-0005-0000-0000-000000080000}"/>
    <cellStyle name="Total 2 2 19 3" xfId="2088" xr:uid="{00000000-0005-0000-0000-000001080000}"/>
    <cellStyle name="Total 2 2 19 4" xfId="3085" xr:uid="{00000000-0005-0000-0000-000002080000}"/>
    <cellStyle name="Total 2 2 2" xfId="1071" xr:uid="{00000000-0005-0000-0000-000003080000}"/>
    <cellStyle name="Total 2 2 2 2" xfId="2914" xr:uid="{00000000-0005-0000-0000-000004080000}"/>
    <cellStyle name="Total 2 2 2 3" xfId="2669" xr:uid="{00000000-0005-0000-0000-000005080000}"/>
    <cellStyle name="Total 2 2 2 4" xfId="3049" xr:uid="{00000000-0005-0000-0000-000006080000}"/>
    <cellStyle name="Total 2 2 20" xfId="1072" xr:uid="{00000000-0005-0000-0000-000007080000}"/>
    <cellStyle name="Total 2 2 20 2" xfId="2915" xr:uid="{00000000-0005-0000-0000-000008080000}"/>
    <cellStyle name="Total 2 2 20 3" xfId="2634" xr:uid="{00000000-0005-0000-0000-000009080000}"/>
    <cellStyle name="Total 2 2 20 4" xfId="3076" xr:uid="{00000000-0005-0000-0000-00000A080000}"/>
    <cellStyle name="Total 2 2 21" xfId="1073" xr:uid="{00000000-0005-0000-0000-00000B080000}"/>
    <cellStyle name="Total 2 2 21 2" xfId="2916" xr:uid="{00000000-0005-0000-0000-00000C080000}"/>
    <cellStyle name="Total 2 2 21 3" xfId="2093" xr:uid="{00000000-0005-0000-0000-00000D080000}"/>
    <cellStyle name="Total 2 2 21 4" xfId="3088" xr:uid="{00000000-0005-0000-0000-00000E080000}"/>
    <cellStyle name="Total 2 2 22" xfId="1074" xr:uid="{00000000-0005-0000-0000-00000F080000}"/>
    <cellStyle name="Total 2 2 22 2" xfId="2917" xr:uid="{00000000-0005-0000-0000-000010080000}"/>
    <cellStyle name="Total 2 2 22 3" xfId="2668" xr:uid="{00000000-0005-0000-0000-000011080000}"/>
    <cellStyle name="Total 2 2 22 4" xfId="3050" xr:uid="{00000000-0005-0000-0000-000012080000}"/>
    <cellStyle name="Total 2 2 23" xfId="1075" xr:uid="{00000000-0005-0000-0000-000013080000}"/>
    <cellStyle name="Total 2 2 23 2" xfId="2918" xr:uid="{00000000-0005-0000-0000-000014080000}"/>
    <cellStyle name="Total 2 2 23 3" xfId="2636" xr:uid="{00000000-0005-0000-0000-000015080000}"/>
    <cellStyle name="Total 2 2 23 4" xfId="3074" xr:uid="{00000000-0005-0000-0000-000016080000}"/>
    <cellStyle name="Total 2 2 24" xfId="1076" xr:uid="{00000000-0005-0000-0000-000017080000}"/>
    <cellStyle name="Total 2 2 24 2" xfId="2919" xr:uid="{00000000-0005-0000-0000-000018080000}"/>
    <cellStyle name="Total 2 2 24 3" xfId="2084" xr:uid="{00000000-0005-0000-0000-000019080000}"/>
    <cellStyle name="Total 2 2 24 4" xfId="3089" xr:uid="{00000000-0005-0000-0000-00001A080000}"/>
    <cellStyle name="Total 2 2 25" xfId="1077" xr:uid="{00000000-0005-0000-0000-00001B080000}"/>
    <cellStyle name="Total 2 2 25 2" xfId="2920" xr:uid="{00000000-0005-0000-0000-00001C080000}"/>
    <cellStyle name="Total 2 2 25 3" xfId="2667" xr:uid="{00000000-0005-0000-0000-00001D080000}"/>
    <cellStyle name="Total 2 2 25 4" xfId="3051" xr:uid="{00000000-0005-0000-0000-00001E080000}"/>
    <cellStyle name="Total 2 2 26" xfId="1078" xr:uid="{00000000-0005-0000-0000-00001F080000}"/>
    <cellStyle name="Total 2 2 26 2" xfId="2921" xr:uid="{00000000-0005-0000-0000-000020080000}"/>
    <cellStyle name="Total 2 2 26 3" xfId="2644" xr:uid="{00000000-0005-0000-0000-000021080000}"/>
    <cellStyle name="Total 2 2 26 4" xfId="3066" xr:uid="{00000000-0005-0000-0000-000022080000}"/>
    <cellStyle name="Total 2 2 27" xfId="1079" xr:uid="{00000000-0005-0000-0000-000023080000}"/>
    <cellStyle name="Total 2 2 27 2" xfId="2922" xr:uid="{00000000-0005-0000-0000-000024080000}"/>
    <cellStyle name="Total 2 2 27 3" xfId="2081" xr:uid="{00000000-0005-0000-0000-000025080000}"/>
    <cellStyle name="Total 2 2 27 4" xfId="3090" xr:uid="{00000000-0005-0000-0000-000026080000}"/>
    <cellStyle name="Total 2 2 28" xfId="1080" xr:uid="{00000000-0005-0000-0000-000027080000}"/>
    <cellStyle name="Total 2 2 28 2" xfId="2923" xr:uid="{00000000-0005-0000-0000-000028080000}"/>
    <cellStyle name="Total 2 2 28 3" xfId="2666" xr:uid="{00000000-0005-0000-0000-000029080000}"/>
    <cellStyle name="Total 2 2 28 4" xfId="3052" xr:uid="{00000000-0005-0000-0000-00002A080000}"/>
    <cellStyle name="Total 2 2 29" xfId="1081" xr:uid="{00000000-0005-0000-0000-00002B080000}"/>
    <cellStyle name="Total 2 2 29 2" xfId="2924" xr:uid="{00000000-0005-0000-0000-00002C080000}"/>
    <cellStyle name="Total 2 2 29 3" xfId="2635" xr:uid="{00000000-0005-0000-0000-00002D080000}"/>
    <cellStyle name="Total 2 2 29 4" xfId="3075" xr:uid="{00000000-0005-0000-0000-00002E080000}"/>
    <cellStyle name="Total 2 2 3" xfId="1082" xr:uid="{00000000-0005-0000-0000-00002F080000}"/>
    <cellStyle name="Total 2 2 3 2" xfId="2925" xr:uid="{00000000-0005-0000-0000-000030080000}"/>
    <cellStyle name="Total 2 2 3 3" xfId="2082" xr:uid="{00000000-0005-0000-0000-000031080000}"/>
    <cellStyle name="Total 2 2 3 4" xfId="3091" xr:uid="{00000000-0005-0000-0000-000032080000}"/>
    <cellStyle name="Total 2 2 30" xfId="1083" xr:uid="{00000000-0005-0000-0000-000033080000}"/>
    <cellStyle name="Total 2 2 30 2" xfId="2926" xr:uid="{00000000-0005-0000-0000-000034080000}"/>
    <cellStyle name="Total 2 2 30 3" xfId="2665" xr:uid="{00000000-0005-0000-0000-000035080000}"/>
    <cellStyle name="Total 2 2 30 4" xfId="3053" xr:uid="{00000000-0005-0000-0000-000036080000}"/>
    <cellStyle name="Total 2 2 31" xfId="1084" xr:uid="{00000000-0005-0000-0000-000037080000}"/>
    <cellStyle name="Total 2 2 31 2" xfId="2927" xr:uid="{00000000-0005-0000-0000-000038080000}"/>
    <cellStyle name="Total 2 2 31 3" xfId="2641" xr:uid="{00000000-0005-0000-0000-000039080000}"/>
    <cellStyle name="Total 2 2 31 4" xfId="3069" xr:uid="{00000000-0005-0000-0000-00003A080000}"/>
    <cellStyle name="Total 2 2 32" xfId="1085" xr:uid="{00000000-0005-0000-0000-00003B080000}"/>
    <cellStyle name="Total 2 2 32 2" xfId="2928" xr:uid="{00000000-0005-0000-0000-00003C080000}"/>
    <cellStyle name="Total 2 2 32 3" xfId="2123" xr:uid="{00000000-0005-0000-0000-00003D080000}"/>
    <cellStyle name="Total 2 2 32 4" xfId="3087" xr:uid="{00000000-0005-0000-0000-00003E080000}"/>
    <cellStyle name="Total 2 2 33" xfId="1086" xr:uid="{00000000-0005-0000-0000-00003F080000}"/>
    <cellStyle name="Total 2 2 33 2" xfId="2929" xr:uid="{00000000-0005-0000-0000-000040080000}"/>
    <cellStyle name="Total 2 2 33 3" xfId="2664" xr:uid="{00000000-0005-0000-0000-000041080000}"/>
    <cellStyle name="Total 2 2 33 4" xfId="3054" xr:uid="{00000000-0005-0000-0000-000042080000}"/>
    <cellStyle name="Total 2 2 34" xfId="1087" xr:uid="{00000000-0005-0000-0000-000043080000}"/>
    <cellStyle name="Total 2 2 34 2" xfId="2930" xr:uid="{00000000-0005-0000-0000-000044080000}"/>
    <cellStyle name="Total 2 2 34 3" xfId="2639" xr:uid="{00000000-0005-0000-0000-000045080000}"/>
    <cellStyle name="Total 2 2 34 4" xfId="3071" xr:uid="{00000000-0005-0000-0000-000046080000}"/>
    <cellStyle name="Total 2 2 35" xfId="2685" xr:uid="{00000000-0005-0000-0000-000047080000}"/>
    <cellStyle name="Total 2 2 36" xfId="3034" xr:uid="{00000000-0005-0000-0000-000048080000}"/>
    <cellStyle name="Total 2 2 37" xfId="3109" xr:uid="{00000000-0005-0000-0000-000049080000}"/>
    <cellStyle name="Total 2 2 4" xfId="1088" xr:uid="{00000000-0005-0000-0000-00004A080000}"/>
    <cellStyle name="Total 2 2 4 2" xfId="2931" xr:uid="{00000000-0005-0000-0000-00004B080000}"/>
    <cellStyle name="Total 2 2 4 3" xfId="2095" xr:uid="{00000000-0005-0000-0000-00004C080000}"/>
    <cellStyle name="Total 2 2 4 4" xfId="3080" xr:uid="{00000000-0005-0000-0000-00004D080000}"/>
    <cellStyle name="Total 2 2 5" xfId="1089" xr:uid="{00000000-0005-0000-0000-00004E080000}"/>
    <cellStyle name="Total 2 2 5 2" xfId="2932" xr:uid="{00000000-0005-0000-0000-00004F080000}"/>
    <cellStyle name="Total 2 2 5 3" xfId="2732" xr:uid="{00000000-0005-0000-0000-000050080000}"/>
    <cellStyle name="Total 2 2 5 4" xfId="3008" xr:uid="{00000000-0005-0000-0000-000051080000}"/>
    <cellStyle name="Total 2 2 6" xfId="1090" xr:uid="{00000000-0005-0000-0000-000052080000}"/>
    <cellStyle name="Total 2 2 6 2" xfId="2933" xr:uid="{00000000-0005-0000-0000-000053080000}"/>
    <cellStyle name="Total 2 2 6 3" xfId="2731" xr:uid="{00000000-0005-0000-0000-000054080000}"/>
    <cellStyle name="Total 2 2 6 4" xfId="3009" xr:uid="{00000000-0005-0000-0000-000055080000}"/>
    <cellStyle name="Total 2 2 7" xfId="1091" xr:uid="{00000000-0005-0000-0000-000056080000}"/>
    <cellStyle name="Total 2 2 7 2" xfId="2934" xr:uid="{00000000-0005-0000-0000-000057080000}"/>
    <cellStyle name="Total 2 2 7 3" xfId="2730" xr:uid="{00000000-0005-0000-0000-000058080000}"/>
    <cellStyle name="Total 2 2 7 4" xfId="3010" xr:uid="{00000000-0005-0000-0000-000059080000}"/>
    <cellStyle name="Total 2 2 8" xfId="1092" xr:uid="{00000000-0005-0000-0000-00005A080000}"/>
    <cellStyle name="Total 2 2 8 2" xfId="2935" xr:uid="{00000000-0005-0000-0000-00005B080000}"/>
    <cellStyle name="Total 2 2 8 3" xfId="2729" xr:uid="{00000000-0005-0000-0000-00005C080000}"/>
    <cellStyle name="Total 2 2 8 4" xfId="3011" xr:uid="{00000000-0005-0000-0000-00005D080000}"/>
    <cellStyle name="Total 2 2 9" xfId="1093" xr:uid="{00000000-0005-0000-0000-00005E080000}"/>
    <cellStyle name="Total 2 2 9 2" xfId="2936" xr:uid="{00000000-0005-0000-0000-00005F080000}"/>
    <cellStyle name="Total 2 2 9 3" xfId="2728" xr:uid="{00000000-0005-0000-0000-000060080000}"/>
    <cellStyle name="Total 2 2 9 4" xfId="3012" xr:uid="{00000000-0005-0000-0000-000061080000}"/>
    <cellStyle name="Warning Text" xfId="24" builtinId="11" customBuiltin="1"/>
    <cellStyle name="Warning Text 2" xfId="68" xr:uid="{00000000-0005-0000-0000-000063080000}"/>
    <cellStyle name="Warning Text 2 2" xfId="159" xr:uid="{00000000-0005-0000-0000-000064080000}"/>
    <cellStyle name="Акцент1 10" xfId="1094" xr:uid="{00000000-0005-0000-0000-000065080000}"/>
    <cellStyle name="Акцент1 11" xfId="1095" xr:uid="{00000000-0005-0000-0000-000066080000}"/>
    <cellStyle name="Акцент1 12" xfId="1096" xr:uid="{00000000-0005-0000-0000-000067080000}"/>
    <cellStyle name="Акцент1 13" xfId="1097" xr:uid="{00000000-0005-0000-0000-000068080000}"/>
    <cellStyle name="Акцент1 14" xfId="1098" xr:uid="{00000000-0005-0000-0000-000069080000}"/>
    <cellStyle name="Акцент1 15" xfId="1099" xr:uid="{00000000-0005-0000-0000-00006A080000}"/>
    <cellStyle name="Акцент1 16" xfId="1100" xr:uid="{00000000-0005-0000-0000-00006B080000}"/>
    <cellStyle name="Акцент1 17" xfId="1101" xr:uid="{00000000-0005-0000-0000-00006C080000}"/>
    <cellStyle name="Акцент1 18" xfId="1102" xr:uid="{00000000-0005-0000-0000-00006D080000}"/>
    <cellStyle name="Акцент1 19" xfId="1103" xr:uid="{00000000-0005-0000-0000-00006E080000}"/>
    <cellStyle name="Акцент1 2" xfId="1104" xr:uid="{00000000-0005-0000-0000-00006F080000}"/>
    <cellStyle name="Акцент1 20" xfId="1105" xr:uid="{00000000-0005-0000-0000-000070080000}"/>
    <cellStyle name="Акцент1 21" xfId="1106" xr:uid="{00000000-0005-0000-0000-000071080000}"/>
    <cellStyle name="Акцент1 22" xfId="1107" xr:uid="{00000000-0005-0000-0000-000072080000}"/>
    <cellStyle name="Акцент1 23" xfId="1108" xr:uid="{00000000-0005-0000-0000-000073080000}"/>
    <cellStyle name="Акцент1 24" xfId="1109" xr:uid="{00000000-0005-0000-0000-000074080000}"/>
    <cellStyle name="Акцент1 25" xfId="1110" xr:uid="{00000000-0005-0000-0000-000075080000}"/>
    <cellStyle name="Акцент1 26" xfId="1111" xr:uid="{00000000-0005-0000-0000-000076080000}"/>
    <cellStyle name="Акцент1 27" xfId="1112" xr:uid="{00000000-0005-0000-0000-000077080000}"/>
    <cellStyle name="Акцент1 28" xfId="1113" xr:uid="{00000000-0005-0000-0000-000078080000}"/>
    <cellStyle name="Акцент1 29" xfId="1114" xr:uid="{00000000-0005-0000-0000-000079080000}"/>
    <cellStyle name="Акцент1 3" xfId="1115" xr:uid="{00000000-0005-0000-0000-00007A080000}"/>
    <cellStyle name="Акцент1 30" xfId="1116" xr:uid="{00000000-0005-0000-0000-00007B080000}"/>
    <cellStyle name="Акцент1 31" xfId="1117" xr:uid="{00000000-0005-0000-0000-00007C080000}"/>
    <cellStyle name="Акцент1 32" xfId="1118" xr:uid="{00000000-0005-0000-0000-00007D080000}"/>
    <cellStyle name="Акцент1 33" xfId="1119" xr:uid="{00000000-0005-0000-0000-00007E080000}"/>
    <cellStyle name="Акцент1 34" xfId="1120" xr:uid="{00000000-0005-0000-0000-00007F080000}"/>
    <cellStyle name="Акцент1 35" xfId="1121" xr:uid="{00000000-0005-0000-0000-000080080000}"/>
    <cellStyle name="Акцент1 36" xfId="1122" xr:uid="{00000000-0005-0000-0000-000081080000}"/>
    <cellStyle name="Акцент1 4" xfId="1123" xr:uid="{00000000-0005-0000-0000-000082080000}"/>
    <cellStyle name="Акцент1 5" xfId="1124" xr:uid="{00000000-0005-0000-0000-000083080000}"/>
    <cellStyle name="Акцент1 6" xfId="1125" xr:uid="{00000000-0005-0000-0000-000084080000}"/>
    <cellStyle name="Акцент1 7" xfId="1126" xr:uid="{00000000-0005-0000-0000-000085080000}"/>
    <cellStyle name="Акцент1 8" xfId="1127" xr:uid="{00000000-0005-0000-0000-000086080000}"/>
    <cellStyle name="Акцент1 9" xfId="1128" xr:uid="{00000000-0005-0000-0000-000087080000}"/>
    <cellStyle name="Акцент2 10" xfId="1129" xr:uid="{00000000-0005-0000-0000-000088080000}"/>
    <cellStyle name="Акцент2 11" xfId="1130" xr:uid="{00000000-0005-0000-0000-000089080000}"/>
    <cellStyle name="Акцент2 12" xfId="1131" xr:uid="{00000000-0005-0000-0000-00008A080000}"/>
    <cellStyle name="Акцент2 13" xfId="1132" xr:uid="{00000000-0005-0000-0000-00008B080000}"/>
    <cellStyle name="Акцент2 14" xfId="1133" xr:uid="{00000000-0005-0000-0000-00008C080000}"/>
    <cellStyle name="Акцент2 15" xfId="1134" xr:uid="{00000000-0005-0000-0000-00008D080000}"/>
    <cellStyle name="Акцент2 16" xfId="1135" xr:uid="{00000000-0005-0000-0000-00008E080000}"/>
    <cellStyle name="Акцент2 17" xfId="1136" xr:uid="{00000000-0005-0000-0000-00008F080000}"/>
    <cellStyle name="Акцент2 18" xfId="1137" xr:uid="{00000000-0005-0000-0000-000090080000}"/>
    <cellStyle name="Акцент2 19" xfId="1138" xr:uid="{00000000-0005-0000-0000-000091080000}"/>
    <cellStyle name="Акцент2 2" xfId="1139" xr:uid="{00000000-0005-0000-0000-000092080000}"/>
    <cellStyle name="Акцент2 20" xfId="1140" xr:uid="{00000000-0005-0000-0000-000093080000}"/>
    <cellStyle name="Акцент2 21" xfId="1141" xr:uid="{00000000-0005-0000-0000-000094080000}"/>
    <cellStyle name="Акцент2 22" xfId="1142" xr:uid="{00000000-0005-0000-0000-000095080000}"/>
    <cellStyle name="Акцент2 23" xfId="1143" xr:uid="{00000000-0005-0000-0000-000096080000}"/>
    <cellStyle name="Акцент2 24" xfId="1144" xr:uid="{00000000-0005-0000-0000-000097080000}"/>
    <cellStyle name="Акцент2 25" xfId="1145" xr:uid="{00000000-0005-0000-0000-000098080000}"/>
    <cellStyle name="Акцент2 26" xfId="1146" xr:uid="{00000000-0005-0000-0000-000099080000}"/>
    <cellStyle name="Акцент2 27" xfId="1147" xr:uid="{00000000-0005-0000-0000-00009A080000}"/>
    <cellStyle name="Акцент2 28" xfId="1148" xr:uid="{00000000-0005-0000-0000-00009B080000}"/>
    <cellStyle name="Акцент2 29" xfId="1149" xr:uid="{00000000-0005-0000-0000-00009C080000}"/>
    <cellStyle name="Акцент2 3" xfId="1150" xr:uid="{00000000-0005-0000-0000-00009D080000}"/>
    <cellStyle name="Акцент2 30" xfId="1151" xr:uid="{00000000-0005-0000-0000-00009E080000}"/>
    <cellStyle name="Акцент2 31" xfId="1152" xr:uid="{00000000-0005-0000-0000-00009F080000}"/>
    <cellStyle name="Акцент2 32" xfId="1153" xr:uid="{00000000-0005-0000-0000-0000A0080000}"/>
    <cellStyle name="Акцент2 33" xfId="1154" xr:uid="{00000000-0005-0000-0000-0000A1080000}"/>
    <cellStyle name="Акцент2 34" xfId="1155" xr:uid="{00000000-0005-0000-0000-0000A2080000}"/>
    <cellStyle name="Акцент2 35" xfId="1156" xr:uid="{00000000-0005-0000-0000-0000A3080000}"/>
    <cellStyle name="Акцент2 36" xfId="1157" xr:uid="{00000000-0005-0000-0000-0000A4080000}"/>
    <cellStyle name="Акцент2 4" xfId="1158" xr:uid="{00000000-0005-0000-0000-0000A5080000}"/>
    <cellStyle name="Акцент2 5" xfId="1159" xr:uid="{00000000-0005-0000-0000-0000A6080000}"/>
    <cellStyle name="Акцент2 6" xfId="1160" xr:uid="{00000000-0005-0000-0000-0000A7080000}"/>
    <cellStyle name="Акцент2 7" xfId="1161" xr:uid="{00000000-0005-0000-0000-0000A8080000}"/>
    <cellStyle name="Акцент2 8" xfId="1162" xr:uid="{00000000-0005-0000-0000-0000A9080000}"/>
    <cellStyle name="Акцент2 9" xfId="1163" xr:uid="{00000000-0005-0000-0000-0000AA080000}"/>
    <cellStyle name="Акцент3 10" xfId="1164" xr:uid="{00000000-0005-0000-0000-0000AB080000}"/>
    <cellStyle name="Акцент3 11" xfId="1165" xr:uid="{00000000-0005-0000-0000-0000AC080000}"/>
    <cellStyle name="Акцент3 12" xfId="1166" xr:uid="{00000000-0005-0000-0000-0000AD080000}"/>
    <cellStyle name="Акцент3 13" xfId="1167" xr:uid="{00000000-0005-0000-0000-0000AE080000}"/>
    <cellStyle name="Акцент3 14" xfId="1168" xr:uid="{00000000-0005-0000-0000-0000AF080000}"/>
    <cellStyle name="Акцент3 15" xfId="1169" xr:uid="{00000000-0005-0000-0000-0000B0080000}"/>
    <cellStyle name="Акцент3 16" xfId="1170" xr:uid="{00000000-0005-0000-0000-0000B1080000}"/>
    <cellStyle name="Акцент3 17" xfId="1171" xr:uid="{00000000-0005-0000-0000-0000B2080000}"/>
    <cellStyle name="Акцент3 18" xfId="1172" xr:uid="{00000000-0005-0000-0000-0000B3080000}"/>
    <cellStyle name="Акцент3 19" xfId="1173" xr:uid="{00000000-0005-0000-0000-0000B4080000}"/>
    <cellStyle name="Акцент3 2" xfId="1174" xr:uid="{00000000-0005-0000-0000-0000B5080000}"/>
    <cellStyle name="Акцент3 20" xfId="1175" xr:uid="{00000000-0005-0000-0000-0000B6080000}"/>
    <cellStyle name="Акцент3 21" xfId="1176" xr:uid="{00000000-0005-0000-0000-0000B7080000}"/>
    <cellStyle name="Акцент3 22" xfId="1177" xr:uid="{00000000-0005-0000-0000-0000B8080000}"/>
    <cellStyle name="Акцент3 23" xfId="1178" xr:uid="{00000000-0005-0000-0000-0000B9080000}"/>
    <cellStyle name="Акцент3 24" xfId="1179" xr:uid="{00000000-0005-0000-0000-0000BA080000}"/>
    <cellStyle name="Акцент3 25" xfId="1180" xr:uid="{00000000-0005-0000-0000-0000BB080000}"/>
    <cellStyle name="Акцент3 26" xfId="1181" xr:uid="{00000000-0005-0000-0000-0000BC080000}"/>
    <cellStyle name="Акцент3 27" xfId="1182" xr:uid="{00000000-0005-0000-0000-0000BD080000}"/>
    <cellStyle name="Акцент3 28" xfId="1183" xr:uid="{00000000-0005-0000-0000-0000BE080000}"/>
    <cellStyle name="Акцент3 29" xfId="1184" xr:uid="{00000000-0005-0000-0000-0000BF080000}"/>
    <cellStyle name="Акцент3 3" xfId="1185" xr:uid="{00000000-0005-0000-0000-0000C0080000}"/>
    <cellStyle name="Акцент3 30" xfId="1186" xr:uid="{00000000-0005-0000-0000-0000C1080000}"/>
    <cellStyle name="Акцент3 31" xfId="1187" xr:uid="{00000000-0005-0000-0000-0000C2080000}"/>
    <cellStyle name="Акцент3 32" xfId="1188" xr:uid="{00000000-0005-0000-0000-0000C3080000}"/>
    <cellStyle name="Акцент3 33" xfId="1189" xr:uid="{00000000-0005-0000-0000-0000C4080000}"/>
    <cellStyle name="Акцент3 34" xfId="1190" xr:uid="{00000000-0005-0000-0000-0000C5080000}"/>
    <cellStyle name="Акцент3 35" xfId="1191" xr:uid="{00000000-0005-0000-0000-0000C6080000}"/>
    <cellStyle name="Акцент3 36" xfId="1192" xr:uid="{00000000-0005-0000-0000-0000C7080000}"/>
    <cellStyle name="Акцент3 4" xfId="1193" xr:uid="{00000000-0005-0000-0000-0000C8080000}"/>
    <cellStyle name="Акцент3 5" xfId="1194" xr:uid="{00000000-0005-0000-0000-0000C9080000}"/>
    <cellStyle name="Акцент3 6" xfId="1195" xr:uid="{00000000-0005-0000-0000-0000CA080000}"/>
    <cellStyle name="Акцент3 7" xfId="1196" xr:uid="{00000000-0005-0000-0000-0000CB080000}"/>
    <cellStyle name="Акцент3 8" xfId="1197" xr:uid="{00000000-0005-0000-0000-0000CC080000}"/>
    <cellStyle name="Акцент3 9" xfId="1198" xr:uid="{00000000-0005-0000-0000-0000CD080000}"/>
    <cellStyle name="Акцент4 10" xfId="1199" xr:uid="{00000000-0005-0000-0000-0000CE080000}"/>
    <cellStyle name="Акцент4 11" xfId="1200" xr:uid="{00000000-0005-0000-0000-0000CF080000}"/>
    <cellStyle name="Акцент4 12" xfId="1201" xr:uid="{00000000-0005-0000-0000-0000D0080000}"/>
    <cellStyle name="Акцент4 13" xfId="1202" xr:uid="{00000000-0005-0000-0000-0000D1080000}"/>
    <cellStyle name="Акцент4 14" xfId="1203" xr:uid="{00000000-0005-0000-0000-0000D2080000}"/>
    <cellStyle name="Акцент4 15" xfId="1204" xr:uid="{00000000-0005-0000-0000-0000D3080000}"/>
    <cellStyle name="Акцент4 16" xfId="1205" xr:uid="{00000000-0005-0000-0000-0000D4080000}"/>
    <cellStyle name="Акцент4 17" xfId="1206" xr:uid="{00000000-0005-0000-0000-0000D5080000}"/>
    <cellStyle name="Акцент4 18" xfId="1207" xr:uid="{00000000-0005-0000-0000-0000D6080000}"/>
    <cellStyle name="Акцент4 19" xfId="1208" xr:uid="{00000000-0005-0000-0000-0000D7080000}"/>
    <cellStyle name="Акцент4 2" xfId="1209" xr:uid="{00000000-0005-0000-0000-0000D8080000}"/>
    <cellStyle name="Акцент4 20" xfId="1210" xr:uid="{00000000-0005-0000-0000-0000D9080000}"/>
    <cellStyle name="Акцент4 21" xfId="1211" xr:uid="{00000000-0005-0000-0000-0000DA080000}"/>
    <cellStyle name="Акцент4 22" xfId="1212" xr:uid="{00000000-0005-0000-0000-0000DB080000}"/>
    <cellStyle name="Акцент4 23" xfId="1213" xr:uid="{00000000-0005-0000-0000-0000DC080000}"/>
    <cellStyle name="Акцент4 24" xfId="1214" xr:uid="{00000000-0005-0000-0000-0000DD080000}"/>
    <cellStyle name="Акцент4 25" xfId="1215" xr:uid="{00000000-0005-0000-0000-0000DE080000}"/>
    <cellStyle name="Акцент4 26" xfId="1216" xr:uid="{00000000-0005-0000-0000-0000DF080000}"/>
    <cellStyle name="Акцент4 27" xfId="1217" xr:uid="{00000000-0005-0000-0000-0000E0080000}"/>
    <cellStyle name="Акцент4 28" xfId="1218" xr:uid="{00000000-0005-0000-0000-0000E1080000}"/>
    <cellStyle name="Акцент4 29" xfId="1219" xr:uid="{00000000-0005-0000-0000-0000E2080000}"/>
    <cellStyle name="Акцент4 3" xfId="1220" xr:uid="{00000000-0005-0000-0000-0000E3080000}"/>
    <cellStyle name="Акцент4 30" xfId="1221" xr:uid="{00000000-0005-0000-0000-0000E4080000}"/>
    <cellStyle name="Акцент4 31" xfId="1222" xr:uid="{00000000-0005-0000-0000-0000E5080000}"/>
    <cellStyle name="Акцент4 32" xfId="1223" xr:uid="{00000000-0005-0000-0000-0000E6080000}"/>
    <cellStyle name="Акцент4 33" xfId="1224" xr:uid="{00000000-0005-0000-0000-0000E7080000}"/>
    <cellStyle name="Акцент4 34" xfId="1225" xr:uid="{00000000-0005-0000-0000-0000E8080000}"/>
    <cellStyle name="Акцент4 35" xfId="1226" xr:uid="{00000000-0005-0000-0000-0000E9080000}"/>
    <cellStyle name="Акцент4 36" xfId="1227" xr:uid="{00000000-0005-0000-0000-0000EA080000}"/>
    <cellStyle name="Акцент4 4" xfId="1228" xr:uid="{00000000-0005-0000-0000-0000EB080000}"/>
    <cellStyle name="Акцент4 5" xfId="1229" xr:uid="{00000000-0005-0000-0000-0000EC080000}"/>
    <cellStyle name="Акцент4 6" xfId="1230" xr:uid="{00000000-0005-0000-0000-0000ED080000}"/>
    <cellStyle name="Акцент4 7" xfId="1231" xr:uid="{00000000-0005-0000-0000-0000EE080000}"/>
    <cellStyle name="Акцент4 8" xfId="1232" xr:uid="{00000000-0005-0000-0000-0000EF080000}"/>
    <cellStyle name="Акцент4 9" xfId="1233" xr:uid="{00000000-0005-0000-0000-0000F0080000}"/>
    <cellStyle name="Акцент5 10" xfId="1234" xr:uid="{00000000-0005-0000-0000-0000F1080000}"/>
    <cellStyle name="Акцент5 11" xfId="1235" xr:uid="{00000000-0005-0000-0000-0000F2080000}"/>
    <cellStyle name="Акцент5 12" xfId="1236" xr:uid="{00000000-0005-0000-0000-0000F3080000}"/>
    <cellStyle name="Акцент5 13" xfId="1237" xr:uid="{00000000-0005-0000-0000-0000F4080000}"/>
    <cellStyle name="Акцент5 14" xfId="1238" xr:uid="{00000000-0005-0000-0000-0000F5080000}"/>
    <cellStyle name="Акцент5 15" xfId="1239" xr:uid="{00000000-0005-0000-0000-0000F6080000}"/>
    <cellStyle name="Акцент5 16" xfId="1240" xr:uid="{00000000-0005-0000-0000-0000F7080000}"/>
    <cellStyle name="Акцент5 17" xfId="1241" xr:uid="{00000000-0005-0000-0000-0000F8080000}"/>
    <cellStyle name="Акцент5 18" xfId="1242" xr:uid="{00000000-0005-0000-0000-0000F9080000}"/>
    <cellStyle name="Акцент5 19" xfId="1243" xr:uid="{00000000-0005-0000-0000-0000FA080000}"/>
    <cellStyle name="Акцент5 2" xfId="1244" xr:uid="{00000000-0005-0000-0000-0000FB080000}"/>
    <cellStyle name="Акцент5 20" xfId="1245" xr:uid="{00000000-0005-0000-0000-0000FC080000}"/>
    <cellStyle name="Акцент5 21" xfId="1246" xr:uid="{00000000-0005-0000-0000-0000FD080000}"/>
    <cellStyle name="Акцент5 22" xfId="1247" xr:uid="{00000000-0005-0000-0000-0000FE080000}"/>
    <cellStyle name="Акцент5 23" xfId="1248" xr:uid="{00000000-0005-0000-0000-0000FF080000}"/>
    <cellStyle name="Акцент5 24" xfId="1249" xr:uid="{00000000-0005-0000-0000-000000090000}"/>
    <cellStyle name="Акцент5 25" xfId="1250" xr:uid="{00000000-0005-0000-0000-000001090000}"/>
    <cellStyle name="Акцент5 26" xfId="1251" xr:uid="{00000000-0005-0000-0000-000002090000}"/>
    <cellStyle name="Акцент5 27" xfId="1252" xr:uid="{00000000-0005-0000-0000-000003090000}"/>
    <cellStyle name="Акцент5 28" xfId="1253" xr:uid="{00000000-0005-0000-0000-000004090000}"/>
    <cellStyle name="Акцент5 29" xfId="1254" xr:uid="{00000000-0005-0000-0000-000005090000}"/>
    <cellStyle name="Акцент5 3" xfId="1255" xr:uid="{00000000-0005-0000-0000-000006090000}"/>
    <cellStyle name="Акцент5 30" xfId="1256" xr:uid="{00000000-0005-0000-0000-000007090000}"/>
    <cellStyle name="Акцент5 31" xfId="1257" xr:uid="{00000000-0005-0000-0000-000008090000}"/>
    <cellStyle name="Акцент5 32" xfId="1258" xr:uid="{00000000-0005-0000-0000-000009090000}"/>
    <cellStyle name="Акцент5 33" xfId="1259" xr:uid="{00000000-0005-0000-0000-00000A090000}"/>
    <cellStyle name="Акцент5 34" xfId="1260" xr:uid="{00000000-0005-0000-0000-00000B090000}"/>
    <cellStyle name="Акцент5 35" xfId="1261" xr:uid="{00000000-0005-0000-0000-00000C090000}"/>
    <cellStyle name="Акцент5 36" xfId="1262" xr:uid="{00000000-0005-0000-0000-00000D090000}"/>
    <cellStyle name="Акцент5 4" xfId="1263" xr:uid="{00000000-0005-0000-0000-00000E090000}"/>
    <cellStyle name="Акцент5 5" xfId="1264" xr:uid="{00000000-0005-0000-0000-00000F090000}"/>
    <cellStyle name="Акцент5 6" xfId="1265" xr:uid="{00000000-0005-0000-0000-000010090000}"/>
    <cellStyle name="Акцент5 7" xfId="1266" xr:uid="{00000000-0005-0000-0000-000011090000}"/>
    <cellStyle name="Акцент5 8" xfId="1267" xr:uid="{00000000-0005-0000-0000-000012090000}"/>
    <cellStyle name="Акцент5 9" xfId="1268" xr:uid="{00000000-0005-0000-0000-000013090000}"/>
    <cellStyle name="Акцент6 10" xfId="1269" xr:uid="{00000000-0005-0000-0000-000014090000}"/>
    <cellStyle name="Акцент6 11" xfId="1270" xr:uid="{00000000-0005-0000-0000-000015090000}"/>
    <cellStyle name="Акцент6 12" xfId="1271" xr:uid="{00000000-0005-0000-0000-000016090000}"/>
    <cellStyle name="Акцент6 13" xfId="1272" xr:uid="{00000000-0005-0000-0000-000017090000}"/>
    <cellStyle name="Акцент6 14" xfId="1273" xr:uid="{00000000-0005-0000-0000-000018090000}"/>
    <cellStyle name="Акцент6 15" xfId="1274" xr:uid="{00000000-0005-0000-0000-000019090000}"/>
    <cellStyle name="Акцент6 16" xfId="1275" xr:uid="{00000000-0005-0000-0000-00001A090000}"/>
    <cellStyle name="Акцент6 17" xfId="1276" xr:uid="{00000000-0005-0000-0000-00001B090000}"/>
    <cellStyle name="Акцент6 18" xfId="1277" xr:uid="{00000000-0005-0000-0000-00001C090000}"/>
    <cellStyle name="Акцент6 19" xfId="1278" xr:uid="{00000000-0005-0000-0000-00001D090000}"/>
    <cellStyle name="Акцент6 2" xfId="1279" xr:uid="{00000000-0005-0000-0000-00001E090000}"/>
    <cellStyle name="Акцент6 20" xfId="1280" xr:uid="{00000000-0005-0000-0000-00001F090000}"/>
    <cellStyle name="Акцент6 21" xfId="1281" xr:uid="{00000000-0005-0000-0000-000020090000}"/>
    <cellStyle name="Акцент6 22" xfId="1282" xr:uid="{00000000-0005-0000-0000-000021090000}"/>
    <cellStyle name="Акцент6 23" xfId="1283" xr:uid="{00000000-0005-0000-0000-000022090000}"/>
    <cellStyle name="Акцент6 24" xfId="1284" xr:uid="{00000000-0005-0000-0000-000023090000}"/>
    <cellStyle name="Акцент6 25" xfId="1285" xr:uid="{00000000-0005-0000-0000-000024090000}"/>
    <cellStyle name="Акцент6 26" xfId="1286" xr:uid="{00000000-0005-0000-0000-000025090000}"/>
    <cellStyle name="Акцент6 27" xfId="1287" xr:uid="{00000000-0005-0000-0000-000026090000}"/>
    <cellStyle name="Акцент6 28" xfId="1288" xr:uid="{00000000-0005-0000-0000-000027090000}"/>
    <cellStyle name="Акцент6 29" xfId="1289" xr:uid="{00000000-0005-0000-0000-000028090000}"/>
    <cellStyle name="Акцент6 3" xfId="1290" xr:uid="{00000000-0005-0000-0000-000029090000}"/>
    <cellStyle name="Акцент6 30" xfId="1291" xr:uid="{00000000-0005-0000-0000-00002A090000}"/>
    <cellStyle name="Акцент6 31" xfId="1292" xr:uid="{00000000-0005-0000-0000-00002B090000}"/>
    <cellStyle name="Акцент6 32" xfId="1293" xr:uid="{00000000-0005-0000-0000-00002C090000}"/>
    <cellStyle name="Акцент6 33" xfId="1294" xr:uid="{00000000-0005-0000-0000-00002D090000}"/>
    <cellStyle name="Акцент6 34" xfId="1295" xr:uid="{00000000-0005-0000-0000-00002E090000}"/>
    <cellStyle name="Акцент6 35" xfId="1296" xr:uid="{00000000-0005-0000-0000-00002F090000}"/>
    <cellStyle name="Акцент6 36" xfId="1297" xr:uid="{00000000-0005-0000-0000-000030090000}"/>
    <cellStyle name="Акцент6 4" xfId="1298" xr:uid="{00000000-0005-0000-0000-000031090000}"/>
    <cellStyle name="Акцент6 5" xfId="1299" xr:uid="{00000000-0005-0000-0000-000032090000}"/>
    <cellStyle name="Акцент6 6" xfId="1300" xr:uid="{00000000-0005-0000-0000-000033090000}"/>
    <cellStyle name="Акцент6 7" xfId="1301" xr:uid="{00000000-0005-0000-0000-000034090000}"/>
    <cellStyle name="Акцент6 8" xfId="1302" xr:uid="{00000000-0005-0000-0000-000035090000}"/>
    <cellStyle name="Акцент6 9" xfId="1303" xr:uid="{00000000-0005-0000-0000-000036090000}"/>
    <cellStyle name="Беззащитный" xfId="272" xr:uid="{00000000-0005-0000-0000-000037090000}"/>
    <cellStyle name="Ввод  10" xfId="1304" xr:uid="{00000000-0005-0000-0000-000038090000}"/>
    <cellStyle name="Ввод  11" xfId="1305" xr:uid="{00000000-0005-0000-0000-000039090000}"/>
    <cellStyle name="Ввод  12" xfId="1306" xr:uid="{00000000-0005-0000-0000-00003A090000}"/>
    <cellStyle name="Ввод  13" xfId="1307" xr:uid="{00000000-0005-0000-0000-00003B090000}"/>
    <cellStyle name="Ввод  14" xfId="1308" xr:uid="{00000000-0005-0000-0000-00003C090000}"/>
    <cellStyle name="Ввод  15" xfId="1309" xr:uid="{00000000-0005-0000-0000-00003D090000}"/>
    <cellStyle name="Ввод  16" xfId="1310" xr:uid="{00000000-0005-0000-0000-00003E090000}"/>
    <cellStyle name="Ввод  17" xfId="1311" xr:uid="{00000000-0005-0000-0000-00003F090000}"/>
    <cellStyle name="Ввод  18" xfId="1312" xr:uid="{00000000-0005-0000-0000-000040090000}"/>
    <cellStyle name="Ввод  19" xfId="1313" xr:uid="{00000000-0005-0000-0000-000041090000}"/>
    <cellStyle name="Ввод  2" xfId="1314" xr:uid="{00000000-0005-0000-0000-000042090000}"/>
    <cellStyle name="Ввод  20" xfId="1315" xr:uid="{00000000-0005-0000-0000-000043090000}"/>
    <cellStyle name="Ввод  21" xfId="1316" xr:uid="{00000000-0005-0000-0000-000044090000}"/>
    <cellStyle name="Ввод  22" xfId="1317" xr:uid="{00000000-0005-0000-0000-000045090000}"/>
    <cellStyle name="Ввод  23" xfId="1318" xr:uid="{00000000-0005-0000-0000-000046090000}"/>
    <cellStyle name="Ввод  24" xfId="1319" xr:uid="{00000000-0005-0000-0000-000047090000}"/>
    <cellStyle name="Ввод  25" xfId="1320" xr:uid="{00000000-0005-0000-0000-000048090000}"/>
    <cellStyle name="Ввод  26" xfId="1321" xr:uid="{00000000-0005-0000-0000-000049090000}"/>
    <cellStyle name="Ввод  27" xfId="1322" xr:uid="{00000000-0005-0000-0000-00004A090000}"/>
    <cellStyle name="Ввод  28" xfId="1323" xr:uid="{00000000-0005-0000-0000-00004B090000}"/>
    <cellStyle name="Ввод  29" xfId="1324" xr:uid="{00000000-0005-0000-0000-00004C090000}"/>
    <cellStyle name="Ввод  3" xfId="1325" xr:uid="{00000000-0005-0000-0000-00004D090000}"/>
    <cellStyle name="Ввод  30" xfId="1326" xr:uid="{00000000-0005-0000-0000-00004E090000}"/>
    <cellStyle name="Ввод  31" xfId="1327" xr:uid="{00000000-0005-0000-0000-00004F090000}"/>
    <cellStyle name="Ввод  32" xfId="1328" xr:uid="{00000000-0005-0000-0000-000050090000}"/>
    <cellStyle name="Ввод  33" xfId="1329" xr:uid="{00000000-0005-0000-0000-000051090000}"/>
    <cellStyle name="Ввод  34" xfId="1330" xr:uid="{00000000-0005-0000-0000-000052090000}"/>
    <cellStyle name="Ввод  35" xfId="1331" xr:uid="{00000000-0005-0000-0000-000053090000}"/>
    <cellStyle name="Ввод  36" xfId="1332" xr:uid="{00000000-0005-0000-0000-000054090000}"/>
    <cellStyle name="Ввод  4" xfId="1333" xr:uid="{00000000-0005-0000-0000-000055090000}"/>
    <cellStyle name="Ввод  5" xfId="1334" xr:uid="{00000000-0005-0000-0000-000056090000}"/>
    <cellStyle name="Ввод  6" xfId="1335" xr:uid="{00000000-0005-0000-0000-000057090000}"/>
    <cellStyle name="Ввод  7" xfId="1336" xr:uid="{00000000-0005-0000-0000-000058090000}"/>
    <cellStyle name="Ввод  8" xfId="1337" xr:uid="{00000000-0005-0000-0000-000059090000}"/>
    <cellStyle name="Ввод  9" xfId="1338" xr:uid="{00000000-0005-0000-0000-00005A090000}"/>
    <cellStyle name="Вывод 10" xfId="1339" xr:uid="{00000000-0005-0000-0000-00005B090000}"/>
    <cellStyle name="Вывод 11" xfId="1340" xr:uid="{00000000-0005-0000-0000-00005C090000}"/>
    <cellStyle name="Вывод 12" xfId="1341" xr:uid="{00000000-0005-0000-0000-00005D090000}"/>
    <cellStyle name="Вывод 13" xfId="1342" xr:uid="{00000000-0005-0000-0000-00005E090000}"/>
    <cellStyle name="Вывод 14" xfId="1343" xr:uid="{00000000-0005-0000-0000-00005F090000}"/>
    <cellStyle name="Вывод 15" xfId="1344" xr:uid="{00000000-0005-0000-0000-000060090000}"/>
    <cellStyle name="Вывод 16" xfId="1345" xr:uid="{00000000-0005-0000-0000-000061090000}"/>
    <cellStyle name="Вывод 17" xfId="1346" xr:uid="{00000000-0005-0000-0000-000062090000}"/>
    <cellStyle name="Вывод 18" xfId="1347" xr:uid="{00000000-0005-0000-0000-000063090000}"/>
    <cellStyle name="Вывод 19" xfId="1348" xr:uid="{00000000-0005-0000-0000-000064090000}"/>
    <cellStyle name="Вывод 2" xfId="1349" xr:uid="{00000000-0005-0000-0000-000065090000}"/>
    <cellStyle name="Вывод 20" xfId="1350" xr:uid="{00000000-0005-0000-0000-000066090000}"/>
    <cellStyle name="Вывод 21" xfId="1351" xr:uid="{00000000-0005-0000-0000-000067090000}"/>
    <cellStyle name="Вывод 22" xfId="1352" xr:uid="{00000000-0005-0000-0000-000068090000}"/>
    <cellStyle name="Вывод 23" xfId="1353" xr:uid="{00000000-0005-0000-0000-000069090000}"/>
    <cellStyle name="Вывод 24" xfId="1354" xr:uid="{00000000-0005-0000-0000-00006A090000}"/>
    <cellStyle name="Вывод 25" xfId="1355" xr:uid="{00000000-0005-0000-0000-00006B090000}"/>
    <cellStyle name="Вывод 26" xfId="1356" xr:uid="{00000000-0005-0000-0000-00006C090000}"/>
    <cellStyle name="Вывод 27" xfId="1357" xr:uid="{00000000-0005-0000-0000-00006D090000}"/>
    <cellStyle name="Вывод 28" xfId="1358" xr:uid="{00000000-0005-0000-0000-00006E090000}"/>
    <cellStyle name="Вывод 29" xfId="1359" xr:uid="{00000000-0005-0000-0000-00006F090000}"/>
    <cellStyle name="Вывод 3" xfId="1360" xr:uid="{00000000-0005-0000-0000-000070090000}"/>
    <cellStyle name="Вывод 30" xfId="1361" xr:uid="{00000000-0005-0000-0000-000071090000}"/>
    <cellStyle name="Вывод 31" xfId="1362" xr:uid="{00000000-0005-0000-0000-000072090000}"/>
    <cellStyle name="Вывод 32" xfId="1363" xr:uid="{00000000-0005-0000-0000-000073090000}"/>
    <cellStyle name="Вывод 33" xfId="1364" xr:uid="{00000000-0005-0000-0000-000074090000}"/>
    <cellStyle name="Вывод 34" xfId="1365" xr:uid="{00000000-0005-0000-0000-000075090000}"/>
    <cellStyle name="Вывод 35" xfId="1366" xr:uid="{00000000-0005-0000-0000-000076090000}"/>
    <cellStyle name="Вывод 36" xfId="1367" xr:uid="{00000000-0005-0000-0000-000077090000}"/>
    <cellStyle name="Вывод 4" xfId="1368" xr:uid="{00000000-0005-0000-0000-000078090000}"/>
    <cellStyle name="Вывод 5" xfId="1369" xr:uid="{00000000-0005-0000-0000-000079090000}"/>
    <cellStyle name="Вывод 6" xfId="1370" xr:uid="{00000000-0005-0000-0000-00007A090000}"/>
    <cellStyle name="Вывод 7" xfId="1371" xr:uid="{00000000-0005-0000-0000-00007B090000}"/>
    <cellStyle name="Вывод 8" xfId="1372" xr:uid="{00000000-0005-0000-0000-00007C090000}"/>
    <cellStyle name="Вывод 9" xfId="1373" xr:uid="{00000000-0005-0000-0000-00007D090000}"/>
    <cellStyle name="Вычисление 10" xfId="1374" xr:uid="{00000000-0005-0000-0000-00007E090000}"/>
    <cellStyle name="Вычисление 11" xfId="1375" xr:uid="{00000000-0005-0000-0000-00007F090000}"/>
    <cellStyle name="Вычисление 12" xfId="1376" xr:uid="{00000000-0005-0000-0000-000080090000}"/>
    <cellStyle name="Вычисление 13" xfId="1377" xr:uid="{00000000-0005-0000-0000-000081090000}"/>
    <cellStyle name="Вычисление 14" xfId="1378" xr:uid="{00000000-0005-0000-0000-000082090000}"/>
    <cellStyle name="Вычисление 15" xfId="1379" xr:uid="{00000000-0005-0000-0000-000083090000}"/>
    <cellStyle name="Вычисление 16" xfId="1380" xr:uid="{00000000-0005-0000-0000-000084090000}"/>
    <cellStyle name="Вычисление 17" xfId="1381" xr:uid="{00000000-0005-0000-0000-000085090000}"/>
    <cellStyle name="Вычисление 18" xfId="1382" xr:uid="{00000000-0005-0000-0000-000086090000}"/>
    <cellStyle name="Вычисление 19" xfId="1383" xr:uid="{00000000-0005-0000-0000-000087090000}"/>
    <cellStyle name="Вычисление 2" xfId="1384" xr:uid="{00000000-0005-0000-0000-000088090000}"/>
    <cellStyle name="Вычисление 20" xfId="1385" xr:uid="{00000000-0005-0000-0000-000089090000}"/>
    <cellStyle name="Вычисление 21" xfId="1386" xr:uid="{00000000-0005-0000-0000-00008A090000}"/>
    <cellStyle name="Вычисление 22" xfId="1387" xr:uid="{00000000-0005-0000-0000-00008B090000}"/>
    <cellStyle name="Вычисление 23" xfId="1388" xr:uid="{00000000-0005-0000-0000-00008C090000}"/>
    <cellStyle name="Вычисление 24" xfId="1389" xr:uid="{00000000-0005-0000-0000-00008D090000}"/>
    <cellStyle name="Вычисление 25" xfId="1390" xr:uid="{00000000-0005-0000-0000-00008E090000}"/>
    <cellStyle name="Вычисление 26" xfId="1391" xr:uid="{00000000-0005-0000-0000-00008F090000}"/>
    <cellStyle name="Вычисление 27" xfId="1392" xr:uid="{00000000-0005-0000-0000-000090090000}"/>
    <cellStyle name="Вычисление 28" xfId="1393" xr:uid="{00000000-0005-0000-0000-000091090000}"/>
    <cellStyle name="Вычисление 29" xfId="1394" xr:uid="{00000000-0005-0000-0000-000092090000}"/>
    <cellStyle name="Вычисление 3" xfId="1395" xr:uid="{00000000-0005-0000-0000-000093090000}"/>
    <cellStyle name="Вычисление 30" xfId="1396" xr:uid="{00000000-0005-0000-0000-000094090000}"/>
    <cellStyle name="Вычисление 31" xfId="1397" xr:uid="{00000000-0005-0000-0000-000095090000}"/>
    <cellStyle name="Вычисление 32" xfId="1398" xr:uid="{00000000-0005-0000-0000-000096090000}"/>
    <cellStyle name="Вычисление 33" xfId="1399" xr:uid="{00000000-0005-0000-0000-000097090000}"/>
    <cellStyle name="Вычисление 34" xfId="1400" xr:uid="{00000000-0005-0000-0000-000098090000}"/>
    <cellStyle name="Вычисление 35" xfId="1401" xr:uid="{00000000-0005-0000-0000-000099090000}"/>
    <cellStyle name="Вычисление 36" xfId="1402" xr:uid="{00000000-0005-0000-0000-00009A090000}"/>
    <cellStyle name="Вычисление 4" xfId="1403" xr:uid="{00000000-0005-0000-0000-00009B090000}"/>
    <cellStyle name="Вычисление 5" xfId="1404" xr:uid="{00000000-0005-0000-0000-00009C090000}"/>
    <cellStyle name="Вычисление 6" xfId="1405" xr:uid="{00000000-0005-0000-0000-00009D090000}"/>
    <cellStyle name="Вычисление 7" xfId="1406" xr:uid="{00000000-0005-0000-0000-00009E090000}"/>
    <cellStyle name="Вычисление 8" xfId="1407" xr:uid="{00000000-0005-0000-0000-00009F090000}"/>
    <cellStyle name="Вычисление 9" xfId="1408" xr:uid="{00000000-0005-0000-0000-0000A0090000}"/>
    <cellStyle name="Заголовок 1 10" xfId="1409" xr:uid="{00000000-0005-0000-0000-0000A1090000}"/>
    <cellStyle name="Заголовок 1 11" xfId="1410" xr:uid="{00000000-0005-0000-0000-0000A2090000}"/>
    <cellStyle name="Заголовок 1 12" xfId="1411" xr:uid="{00000000-0005-0000-0000-0000A3090000}"/>
    <cellStyle name="Заголовок 1 13" xfId="1412" xr:uid="{00000000-0005-0000-0000-0000A4090000}"/>
    <cellStyle name="Заголовок 1 14" xfId="1413" xr:uid="{00000000-0005-0000-0000-0000A5090000}"/>
    <cellStyle name="Заголовок 1 15" xfId="1414" xr:uid="{00000000-0005-0000-0000-0000A6090000}"/>
    <cellStyle name="Заголовок 1 16" xfId="1415" xr:uid="{00000000-0005-0000-0000-0000A7090000}"/>
    <cellStyle name="Заголовок 1 17" xfId="1416" xr:uid="{00000000-0005-0000-0000-0000A8090000}"/>
    <cellStyle name="Заголовок 1 18" xfId="1417" xr:uid="{00000000-0005-0000-0000-0000A9090000}"/>
    <cellStyle name="Заголовок 1 19" xfId="1418" xr:uid="{00000000-0005-0000-0000-0000AA090000}"/>
    <cellStyle name="Заголовок 1 2" xfId="1419" xr:uid="{00000000-0005-0000-0000-0000AB090000}"/>
    <cellStyle name="Заголовок 1 20" xfId="1420" xr:uid="{00000000-0005-0000-0000-0000AC090000}"/>
    <cellStyle name="Заголовок 1 21" xfId="1421" xr:uid="{00000000-0005-0000-0000-0000AD090000}"/>
    <cellStyle name="Заголовок 1 22" xfId="1422" xr:uid="{00000000-0005-0000-0000-0000AE090000}"/>
    <cellStyle name="Заголовок 1 23" xfId="1423" xr:uid="{00000000-0005-0000-0000-0000AF090000}"/>
    <cellStyle name="Заголовок 1 24" xfId="1424" xr:uid="{00000000-0005-0000-0000-0000B0090000}"/>
    <cellStyle name="Заголовок 1 25" xfId="1425" xr:uid="{00000000-0005-0000-0000-0000B1090000}"/>
    <cellStyle name="Заголовок 1 26" xfId="1426" xr:uid="{00000000-0005-0000-0000-0000B2090000}"/>
    <cellStyle name="Заголовок 1 27" xfId="1427" xr:uid="{00000000-0005-0000-0000-0000B3090000}"/>
    <cellStyle name="Заголовок 1 28" xfId="1428" xr:uid="{00000000-0005-0000-0000-0000B4090000}"/>
    <cellStyle name="Заголовок 1 29" xfId="1429" xr:uid="{00000000-0005-0000-0000-0000B5090000}"/>
    <cellStyle name="Заголовок 1 3" xfId="1430" xr:uid="{00000000-0005-0000-0000-0000B6090000}"/>
    <cellStyle name="Заголовок 1 30" xfId="1431" xr:uid="{00000000-0005-0000-0000-0000B7090000}"/>
    <cellStyle name="Заголовок 1 31" xfId="1432" xr:uid="{00000000-0005-0000-0000-0000B8090000}"/>
    <cellStyle name="Заголовок 1 32" xfId="1433" xr:uid="{00000000-0005-0000-0000-0000B9090000}"/>
    <cellStyle name="Заголовок 1 33" xfId="1434" xr:uid="{00000000-0005-0000-0000-0000BA090000}"/>
    <cellStyle name="Заголовок 1 34" xfId="1435" xr:uid="{00000000-0005-0000-0000-0000BB090000}"/>
    <cellStyle name="Заголовок 1 35" xfId="1436" xr:uid="{00000000-0005-0000-0000-0000BC090000}"/>
    <cellStyle name="Заголовок 1 36" xfId="1437" xr:uid="{00000000-0005-0000-0000-0000BD090000}"/>
    <cellStyle name="Заголовок 1 4" xfId="1438" xr:uid="{00000000-0005-0000-0000-0000BE090000}"/>
    <cellStyle name="Заголовок 1 5" xfId="1439" xr:uid="{00000000-0005-0000-0000-0000BF090000}"/>
    <cellStyle name="Заголовок 1 6" xfId="1440" xr:uid="{00000000-0005-0000-0000-0000C0090000}"/>
    <cellStyle name="Заголовок 1 7" xfId="1441" xr:uid="{00000000-0005-0000-0000-0000C1090000}"/>
    <cellStyle name="Заголовок 1 8" xfId="1442" xr:uid="{00000000-0005-0000-0000-0000C2090000}"/>
    <cellStyle name="Заголовок 1 9" xfId="1443" xr:uid="{00000000-0005-0000-0000-0000C3090000}"/>
    <cellStyle name="Заголовок 2 10" xfId="1444" xr:uid="{00000000-0005-0000-0000-0000C4090000}"/>
    <cellStyle name="Заголовок 2 11" xfId="1445" xr:uid="{00000000-0005-0000-0000-0000C5090000}"/>
    <cellStyle name="Заголовок 2 12" xfId="1446" xr:uid="{00000000-0005-0000-0000-0000C6090000}"/>
    <cellStyle name="Заголовок 2 13" xfId="1447" xr:uid="{00000000-0005-0000-0000-0000C7090000}"/>
    <cellStyle name="Заголовок 2 14" xfId="1448" xr:uid="{00000000-0005-0000-0000-0000C8090000}"/>
    <cellStyle name="Заголовок 2 15" xfId="1449" xr:uid="{00000000-0005-0000-0000-0000C9090000}"/>
    <cellStyle name="Заголовок 2 16" xfId="1450" xr:uid="{00000000-0005-0000-0000-0000CA090000}"/>
    <cellStyle name="Заголовок 2 17" xfId="1451" xr:uid="{00000000-0005-0000-0000-0000CB090000}"/>
    <cellStyle name="Заголовок 2 18" xfId="1452" xr:uid="{00000000-0005-0000-0000-0000CC090000}"/>
    <cellStyle name="Заголовок 2 19" xfId="1453" xr:uid="{00000000-0005-0000-0000-0000CD090000}"/>
    <cellStyle name="Заголовок 2 2" xfId="1454" xr:uid="{00000000-0005-0000-0000-0000CE090000}"/>
    <cellStyle name="Заголовок 2 20" xfId="1455" xr:uid="{00000000-0005-0000-0000-0000CF090000}"/>
    <cellStyle name="Заголовок 2 21" xfId="1456" xr:uid="{00000000-0005-0000-0000-0000D0090000}"/>
    <cellStyle name="Заголовок 2 22" xfId="1457" xr:uid="{00000000-0005-0000-0000-0000D1090000}"/>
    <cellStyle name="Заголовок 2 23" xfId="1458" xr:uid="{00000000-0005-0000-0000-0000D2090000}"/>
    <cellStyle name="Заголовок 2 24" xfId="1459" xr:uid="{00000000-0005-0000-0000-0000D3090000}"/>
    <cellStyle name="Заголовок 2 25" xfId="1460" xr:uid="{00000000-0005-0000-0000-0000D4090000}"/>
    <cellStyle name="Заголовок 2 26" xfId="1461" xr:uid="{00000000-0005-0000-0000-0000D5090000}"/>
    <cellStyle name="Заголовок 2 27" xfId="1462" xr:uid="{00000000-0005-0000-0000-0000D6090000}"/>
    <cellStyle name="Заголовок 2 28" xfId="1463" xr:uid="{00000000-0005-0000-0000-0000D7090000}"/>
    <cellStyle name="Заголовок 2 29" xfId="1464" xr:uid="{00000000-0005-0000-0000-0000D8090000}"/>
    <cellStyle name="Заголовок 2 3" xfId="1465" xr:uid="{00000000-0005-0000-0000-0000D9090000}"/>
    <cellStyle name="Заголовок 2 30" xfId="1466" xr:uid="{00000000-0005-0000-0000-0000DA090000}"/>
    <cellStyle name="Заголовок 2 31" xfId="1467" xr:uid="{00000000-0005-0000-0000-0000DB090000}"/>
    <cellStyle name="Заголовок 2 32" xfId="1468" xr:uid="{00000000-0005-0000-0000-0000DC090000}"/>
    <cellStyle name="Заголовок 2 33" xfId="1469" xr:uid="{00000000-0005-0000-0000-0000DD090000}"/>
    <cellStyle name="Заголовок 2 34" xfId="1470" xr:uid="{00000000-0005-0000-0000-0000DE090000}"/>
    <cellStyle name="Заголовок 2 35" xfId="1471" xr:uid="{00000000-0005-0000-0000-0000DF090000}"/>
    <cellStyle name="Заголовок 2 36" xfId="1472" xr:uid="{00000000-0005-0000-0000-0000E0090000}"/>
    <cellStyle name="Заголовок 2 4" xfId="1473" xr:uid="{00000000-0005-0000-0000-0000E1090000}"/>
    <cellStyle name="Заголовок 2 5" xfId="1474" xr:uid="{00000000-0005-0000-0000-0000E2090000}"/>
    <cellStyle name="Заголовок 2 6" xfId="1475" xr:uid="{00000000-0005-0000-0000-0000E3090000}"/>
    <cellStyle name="Заголовок 2 7" xfId="1476" xr:uid="{00000000-0005-0000-0000-0000E4090000}"/>
    <cellStyle name="Заголовок 2 8" xfId="1477" xr:uid="{00000000-0005-0000-0000-0000E5090000}"/>
    <cellStyle name="Заголовок 2 9" xfId="1478" xr:uid="{00000000-0005-0000-0000-0000E6090000}"/>
    <cellStyle name="Заголовок 3 10" xfId="1479" xr:uid="{00000000-0005-0000-0000-0000E7090000}"/>
    <cellStyle name="Заголовок 3 11" xfId="1480" xr:uid="{00000000-0005-0000-0000-0000E8090000}"/>
    <cellStyle name="Заголовок 3 12" xfId="1481" xr:uid="{00000000-0005-0000-0000-0000E9090000}"/>
    <cellStyle name="Заголовок 3 13" xfId="1482" xr:uid="{00000000-0005-0000-0000-0000EA090000}"/>
    <cellStyle name="Заголовок 3 14" xfId="1483" xr:uid="{00000000-0005-0000-0000-0000EB090000}"/>
    <cellStyle name="Заголовок 3 15" xfId="1484" xr:uid="{00000000-0005-0000-0000-0000EC090000}"/>
    <cellStyle name="Заголовок 3 16" xfId="1485" xr:uid="{00000000-0005-0000-0000-0000ED090000}"/>
    <cellStyle name="Заголовок 3 17" xfId="1486" xr:uid="{00000000-0005-0000-0000-0000EE090000}"/>
    <cellStyle name="Заголовок 3 18" xfId="1487" xr:uid="{00000000-0005-0000-0000-0000EF090000}"/>
    <cellStyle name="Заголовок 3 19" xfId="1488" xr:uid="{00000000-0005-0000-0000-0000F0090000}"/>
    <cellStyle name="Заголовок 3 2" xfId="1489" xr:uid="{00000000-0005-0000-0000-0000F1090000}"/>
    <cellStyle name="Заголовок 3 20" xfId="1490" xr:uid="{00000000-0005-0000-0000-0000F2090000}"/>
    <cellStyle name="Заголовок 3 21" xfId="1491" xr:uid="{00000000-0005-0000-0000-0000F3090000}"/>
    <cellStyle name="Заголовок 3 22" xfId="1492" xr:uid="{00000000-0005-0000-0000-0000F4090000}"/>
    <cellStyle name="Заголовок 3 23" xfId="1493" xr:uid="{00000000-0005-0000-0000-0000F5090000}"/>
    <cellStyle name="Заголовок 3 24" xfId="1494" xr:uid="{00000000-0005-0000-0000-0000F6090000}"/>
    <cellStyle name="Заголовок 3 25" xfId="1495" xr:uid="{00000000-0005-0000-0000-0000F7090000}"/>
    <cellStyle name="Заголовок 3 26" xfId="1496" xr:uid="{00000000-0005-0000-0000-0000F8090000}"/>
    <cellStyle name="Заголовок 3 27" xfId="1497" xr:uid="{00000000-0005-0000-0000-0000F9090000}"/>
    <cellStyle name="Заголовок 3 28" xfId="1498" xr:uid="{00000000-0005-0000-0000-0000FA090000}"/>
    <cellStyle name="Заголовок 3 29" xfId="1499" xr:uid="{00000000-0005-0000-0000-0000FB090000}"/>
    <cellStyle name="Заголовок 3 3" xfId="1500" xr:uid="{00000000-0005-0000-0000-0000FC090000}"/>
    <cellStyle name="Заголовок 3 30" xfId="1501" xr:uid="{00000000-0005-0000-0000-0000FD090000}"/>
    <cellStyle name="Заголовок 3 31" xfId="1502" xr:uid="{00000000-0005-0000-0000-0000FE090000}"/>
    <cellStyle name="Заголовок 3 32" xfId="1503" xr:uid="{00000000-0005-0000-0000-0000FF090000}"/>
    <cellStyle name="Заголовок 3 33" xfId="1504" xr:uid="{00000000-0005-0000-0000-0000000A0000}"/>
    <cellStyle name="Заголовок 3 34" xfId="1505" xr:uid="{00000000-0005-0000-0000-0000010A0000}"/>
    <cellStyle name="Заголовок 3 35" xfId="1506" xr:uid="{00000000-0005-0000-0000-0000020A0000}"/>
    <cellStyle name="Заголовок 3 36" xfId="1507" xr:uid="{00000000-0005-0000-0000-0000030A0000}"/>
    <cellStyle name="Заголовок 3 4" xfId="1508" xr:uid="{00000000-0005-0000-0000-0000040A0000}"/>
    <cellStyle name="Заголовок 3 5" xfId="1509" xr:uid="{00000000-0005-0000-0000-0000050A0000}"/>
    <cellStyle name="Заголовок 3 6" xfId="1510" xr:uid="{00000000-0005-0000-0000-0000060A0000}"/>
    <cellStyle name="Заголовок 3 7" xfId="1511" xr:uid="{00000000-0005-0000-0000-0000070A0000}"/>
    <cellStyle name="Заголовок 3 8" xfId="1512" xr:uid="{00000000-0005-0000-0000-0000080A0000}"/>
    <cellStyle name="Заголовок 3 9" xfId="1513" xr:uid="{00000000-0005-0000-0000-0000090A0000}"/>
    <cellStyle name="Заголовок 4 10" xfId="1514" xr:uid="{00000000-0005-0000-0000-00000A0A0000}"/>
    <cellStyle name="Заголовок 4 11" xfId="1515" xr:uid="{00000000-0005-0000-0000-00000B0A0000}"/>
    <cellStyle name="Заголовок 4 12" xfId="1516" xr:uid="{00000000-0005-0000-0000-00000C0A0000}"/>
    <cellStyle name="Заголовок 4 13" xfId="1517" xr:uid="{00000000-0005-0000-0000-00000D0A0000}"/>
    <cellStyle name="Заголовок 4 14" xfId="1518" xr:uid="{00000000-0005-0000-0000-00000E0A0000}"/>
    <cellStyle name="Заголовок 4 15" xfId="1519" xr:uid="{00000000-0005-0000-0000-00000F0A0000}"/>
    <cellStyle name="Заголовок 4 16" xfId="1520" xr:uid="{00000000-0005-0000-0000-0000100A0000}"/>
    <cellStyle name="Заголовок 4 17" xfId="1521" xr:uid="{00000000-0005-0000-0000-0000110A0000}"/>
    <cellStyle name="Заголовок 4 18" xfId="1522" xr:uid="{00000000-0005-0000-0000-0000120A0000}"/>
    <cellStyle name="Заголовок 4 19" xfId="1523" xr:uid="{00000000-0005-0000-0000-0000130A0000}"/>
    <cellStyle name="Заголовок 4 2" xfId="1524" xr:uid="{00000000-0005-0000-0000-0000140A0000}"/>
    <cellStyle name="Заголовок 4 20" xfId="1525" xr:uid="{00000000-0005-0000-0000-0000150A0000}"/>
    <cellStyle name="Заголовок 4 21" xfId="1526" xr:uid="{00000000-0005-0000-0000-0000160A0000}"/>
    <cellStyle name="Заголовок 4 22" xfId="1527" xr:uid="{00000000-0005-0000-0000-0000170A0000}"/>
    <cellStyle name="Заголовок 4 23" xfId="1528" xr:uid="{00000000-0005-0000-0000-0000180A0000}"/>
    <cellStyle name="Заголовок 4 24" xfId="1529" xr:uid="{00000000-0005-0000-0000-0000190A0000}"/>
    <cellStyle name="Заголовок 4 25" xfId="1530" xr:uid="{00000000-0005-0000-0000-00001A0A0000}"/>
    <cellStyle name="Заголовок 4 26" xfId="1531" xr:uid="{00000000-0005-0000-0000-00001B0A0000}"/>
    <cellStyle name="Заголовок 4 27" xfId="1532" xr:uid="{00000000-0005-0000-0000-00001C0A0000}"/>
    <cellStyle name="Заголовок 4 28" xfId="1533" xr:uid="{00000000-0005-0000-0000-00001D0A0000}"/>
    <cellStyle name="Заголовок 4 29" xfId="1534" xr:uid="{00000000-0005-0000-0000-00001E0A0000}"/>
    <cellStyle name="Заголовок 4 3" xfId="1535" xr:uid="{00000000-0005-0000-0000-00001F0A0000}"/>
    <cellStyle name="Заголовок 4 30" xfId="1536" xr:uid="{00000000-0005-0000-0000-0000200A0000}"/>
    <cellStyle name="Заголовок 4 31" xfId="1537" xr:uid="{00000000-0005-0000-0000-0000210A0000}"/>
    <cellStyle name="Заголовок 4 32" xfId="1538" xr:uid="{00000000-0005-0000-0000-0000220A0000}"/>
    <cellStyle name="Заголовок 4 33" xfId="1539" xr:uid="{00000000-0005-0000-0000-0000230A0000}"/>
    <cellStyle name="Заголовок 4 34" xfId="1540" xr:uid="{00000000-0005-0000-0000-0000240A0000}"/>
    <cellStyle name="Заголовок 4 35" xfId="1541" xr:uid="{00000000-0005-0000-0000-0000250A0000}"/>
    <cellStyle name="Заголовок 4 36" xfId="1542" xr:uid="{00000000-0005-0000-0000-0000260A0000}"/>
    <cellStyle name="Заголовок 4 4" xfId="1543" xr:uid="{00000000-0005-0000-0000-0000270A0000}"/>
    <cellStyle name="Заголовок 4 5" xfId="1544" xr:uid="{00000000-0005-0000-0000-0000280A0000}"/>
    <cellStyle name="Заголовок 4 6" xfId="1545" xr:uid="{00000000-0005-0000-0000-0000290A0000}"/>
    <cellStyle name="Заголовок 4 7" xfId="1546" xr:uid="{00000000-0005-0000-0000-00002A0A0000}"/>
    <cellStyle name="Заголовок 4 8" xfId="1547" xr:uid="{00000000-0005-0000-0000-00002B0A0000}"/>
    <cellStyle name="Заголовок 4 9" xfId="1548" xr:uid="{00000000-0005-0000-0000-00002C0A0000}"/>
    <cellStyle name="Защитный" xfId="273" xr:uid="{00000000-0005-0000-0000-00002D0A0000}"/>
    <cellStyle name="Итог 10" xfId="1549" xr:uid="{00000000-0005-0000-0000-00002E0A0000}"/>
    <cellStyle name="Итог 11" xfId="1550" xr:uid="{00000000-0005-0000-0000-00002F0A0000}"/>
    <cellStyle name="Итог 12" xfId="1551" xr:uid="{00000000-0005-0000-0000-0000300A0000}"/>
    <cellStyle name="Итог 13" xfId="1552" xr:uid="{00000000-0005-0000-0000-0000310A0000}"/>
    <cellStyle name="Итог 14" xfId="1553" xr:uid="{00000000-0005-0000-0000-0000320A0000}"/>
    <cellStyle name="Итог 15" xfId="1554" xr:uid="{00000000-0005-0000-0000-0000330A0000}"/>
    <cellStyle name="Итог 16" xfId="1555" xr:uid="{00000000-0005-0000-0000-0000340A0000}"/>
    <cellStyle name="Итог 17" xfId="1556" xr:uid="{00000000-0005-0000-0000-0000350A0000}"/>
    <cellStyle name="Итог 18" xfId="1557" xr:uid="{00000000-0005-0000-0000-0000360A0000}"/>
    <cellStyle name="Итог 19" xfId="1558" xr:uid="{00000000-0005-0000-0000-0000370A0000}"/>
    <cellStyle name="Итог 2" xfId="1559" xr:uid="{00000000-0005-0000-0000-0000380A0000}"/>
    <cellStyle name="Итог 20" xfId="1560" xr:uid="{00000000-0005-0000-0000-0000390A0000}"/>
    <cellStyle name="Итог 21" xfId="1561" xr:uid="{00000000-0005-0000-0000-00003A0A0000}"/>
    <cellStyle name="Итог 22" xfId="1562" xr:uid="{00000000-0005-0000-0000-00003B0A0000}"/>
    <cellStyle name="Итог 23" xfId="1563" xr:uid="{00000000-0005-0000-0000-00003C0A0000}"/>
    <cellStyle name="Итог 24" xfId="1564" xr:uid="{00000000-0005-0000-0000-00003D0A0000}"/>
    <cellStyle name="Итог 25" xfId="1565" xr:uid="{00000000-0005-0000-0000-00003E0A0000}"/>
    <cellStyle name="Итог 26" xfId="1566" xr:uid="{00000000-0005-0000-0000-00003F0A0000}"/>
    <cellStyle name="Итог 27" xfId="1567" xr:uid="{00000000-0005-0000-0000-0000400A0000}"/>
    <cellStyle name="Итог 28" xfId="1568" xr:uid="{00000000-0005-0000-0000-0000410A0000}"/>
    <cellStyle name="Итог 29" xfId="1569" xr:uid="{00000000-0005-0000-0000-0000420A0000}"/>
    <cellStyle name="Итог 3" xfId="1570" xr:uid="{00000000-0005-0000-0000-0000430A0000}"/>
    <cellStyle name="Итог 30" xfId="1571" xr:uid="{00000000-0005-0000-0000-0000440A0000}"/>
    <cellStyle name="Итог 31" xfId="1572" xr:uid="{00000000-0005-0000-0000-0000450A0000}"/>
    <cellStyle name="Итог 32" xfId="1573" xr:uid="{00000000-0005-0000-0000-0000460A0000}"/>
    <cellStyle name="Итог 33" xfId="1574" xr:uid="{00000000-0005-0000-0000-0000470A0000}"/>
    <cellStyle name="Итог 34" xfId="1575" xr:uid="{00000000-0005-0000-0000-0000480A0000}"/>
    <cellStyle name="Итог 35" xfId="1576" xr:uid="{00000000-0005-0000-0000-0000490A0000}"/>
    <cellStyle name="Итог 36" xfId="1577" xr:uid="{00000000-0005-0000-0000-00004A0A0000}"/>
    <cellStyle name="Итог 4" xfId="1578" xr:uid="{00000000-0005-0000-0000-00004B0A0000}"/>
    <cellStyle name="Итог 5" xfId="1579" xr:uid="{00000000-0005-0000-0000-00004C0A0000}"/>
    <cellStyle name="Итог 6" xfId="1580" xr:uid="{00000000-0005-0000-0000-00004D0A0000}"/>
    <cellStyle name="Итог 7" xfId="1581" xr:uid="{00000000-0005-0000-0000-00004E0A0000}"/>
    <cellStyle name="Итог 8" xfId="1582" xr:uid="{00000000-0005-0000-0000-00004F0A0000}"/>
    <cellStyle name="Итог 9" xfId="1583" xr:uid="{00000000-0005-0000-0000-0000500A0000}"/>
    <cellStyle name="Контрольная ячейка 10" xfId="1584" xr:uid="{00000000-0005-0000-0000-0000510A0000}"/>
    <cellStyle name="Контрольная ячейка 11" xfId="1585" xr:uid="{00000000-0005-0000-0000-0000520A0000}"/>
    <cellStyle name="Контрольная ячейка 12" xfId="1586" xr:uid="{00000000-0005-0000-0000-0000530A0000}"/>
    <cellStyle name="Контрольная ячейка 13" xfId="1587" xr:uid="{00000000-0005-0000-0000-0000540A0000}"/>
    <cellStyle name="Контрольная ячейка 14" xfId="1588" xr:uid="{00000000-0005-0000-0000-0000550A0000}"/>
    <cellStyle name="Контрольная ячейка 15" xfId="1589" xr:uid="{00000000-0005-0000-0000-0000560A0000}"/>
    <cellStyle name="Контрольная ячейка 16" xfId="1590" xr:uid="{00000000-0005-0000-0000-0000570A0000}"/>
    <cellStyle name="Контрольная ячейка 17" xfId="1591" xr:uid="{00000000-0005-0000-0000-0000580A0000}"/>
    <cellStyle name="Контрольная ячейка 18" xfId="1592" xr:uid="{00000000-0005-0000-0000-0000590A0000}"/>
    <cellStyle name="Контрольная ячейка 19" xfId="1593" xr:uid="{00000000-0005-0000-0000-00005A0A0000}"/>
    <cellStyle name="Контрольная ячейка 2" xfId="1594" xr:uid="{00000000-0005-0000-0000-00005B0A0000}"/>
    <cellStyle name="Контрольная ячейка 20" xfId="1595" xr:uid="{00000000-0005-0000-0000-00005C0A0000}"/>
    <cellStyle name="Контрольная ячейка 21" xfId="1596" xr:uid="{00000000-0005-0000-0000-00005D0A0000}"/>
    <cellStyle name="Контрольная ячейка 22" xfId="1597" xr:uid="{00000000-0005-0000-0000-00005E0A0000}"/>
    <cellStyle name="Контрольная ячейка 23" xfId="1598" xr:uid="{00000000-0005-0000-0000-00005F0A0000}"/>
    <cellStyle name="Контрольная ячейка 24" xfId="1599" xr:uid="{00000000-0005-0000-0000-0000600A0000}"/>
    <cellStyle name="Контрольная ячейка 25" xfId="1600" xr:uid="{00000000-0005-0000-0000-0000610A0000}"/>
    <cellStyle name="Контрольная ячейка 26" xfId="1601" xr:uid="{00000000-0005-0000-0000-0000620A0000}"/>
    <cellStyle name="Контрольная ячейка 27" xfId="1602" xr:uid="{00000000-0005-0000-0000-0000630A0000}"/>
    <cellStyle name="Контрольная ячейка 28" xfId="1603" xr:uid="{00000000-0005-0000-0000-0000640A0000}"/>
    <cellStyle name="Контрольная ячейка 29" xfId="1604" xr:uid="{00000000-0005-0000-0000-0000650A0000}"/>
    <cellStyle name="Контрольная ячейка 3" xfId="1605" xr:uid="{00000000-0005-0000-0000-0000660A0000}"/>
    <cellStyle name="Контрольная ячейка 30" xfId="1606" xr:uid="{00000000-0005-0000-0000-0000670A0000}"/>
    <cellStyle name="Контрольная ячейка 31" xfId="1607" xr:uid="{00000000-0005-0000-0000-0000680A0000}"/>
    <cellStyle name="Контрольная ячейка 32" xfId="1608" xr:uid="{00000000-0005-0000-0000-0000690A0000}"/>
    <cellStyle name="Контрольная ячейка 33" xfId="1609" xr:uid="{00000000-0005-0000-0000-00006A0A0000}"/>
    <cellStyle name="Контрольная ячейка 34" xfId="1610" xr:uid="{00000000-0005-0000-0000-00006B0A0000}"/>
    <cellStyle name="Контрольная ячейка 35" xfId="1611" xr:uid="{00000000-0005-0000-0000-00006C0A0000}"/>
    <cellStyle name="Контрольная ячейка 36" xfId="1612" xr:uid="{00000000-0005-0000-0000-00006D0A0000}"/>
    <cellStyle name="Контрольная ячейка 4" xfId="1613" xr:uid="{00000000-0005-0000-0000-00006E0A0000}"/>
    <cellStyle name="Контрольная ячейка 5" xfId="1614" xr:uid="{00000000-0005-0000-0000-00006F0A0000}"/>
    <cellStyle name="Контрольная ячейка 6" xfId="1615" xr:uid="{00000000-0005-0000-0000-0000700A0000}"/>
    <cellStyle name="Контрольная ячейка 7" xfId="1616" xr:uid="{00000000-0005-0000-0000-0000710A0000}"/>
    <cellStyle name="Контрольная ячейка 8" xfId="1617" xr:uid="{00000000-0005-0000-0000-0000720A0000}"/>
    <cellStyle name="Контрольная ячейка 9" xfId="1618" xr:uid="{00000000-0005-0000-0000-0000730A0000}"/>
    <cellStyle name="Нейтральный 10" xfId="1619" xr:uid="{00000000-0005-0000-0000-0000740A0000}"/>
    <cellStyle name="Нейтральный 11" xfId="1620" xr:uid="{00000000-0005-0000-0000-0000750A0000}"/>
    <cellStyle name="Нейтральный 12" xfId="1621" xr:uid="{00000000-0005-0000-0000-0000760A0000}"/>
    <cellStyle name="Нейтральный 13" xfId="1622" xr:uid="{00000000-0005-0000-0000-0000770A0000}"/>
    <cellStyle name="Нейтральный 14" xfId="1623" xr:uid="{00000000-0005-0000-0000-0000780A0000}"/>
    <cellStyle name="Нейтральный 15" xfId="1624" xr:uid="{00000000-0005-0000-0000-0000790A0000}"/>
    <cellStyle name="Нейтральный 16" xfId="1625" xr:uid="{00000000-0005-0000-0000-00007A0A0000}"/>
    <cellStyle name="Нейтральный 17" xfId="1626" xr:uid="{00000000-0005-0000-0000-00007B0A0000}"/>
    <cellStyle name="Нейтральный 18" xfId="1627" xr:uid="{00000000-0005-0000-0000-00007C0A0000}"/>
    <cellStyle name="Нейтральный 19" xfId="1628" xr:uid="{00000000-0005-0000-0000-00007D0A0000}"/>
    <cellStyle name="Нейтральный 2" xfId="1629" xr:uid="{00000000-0005-0000-0000-00007E0A0000}"/>
    <cellStyle name="Нейтральный 20" xfId="1630" xr:uid="{00000000-0005-0000-0000-00007F0A0000}"/>
    <cellStyle name="Нейтральный 21" xfId="1631" xr:uid="{00000000-0005-0000-0000-0000800A0000}"/>
    <cellStyle name="Нейтральный 22" xfId="1632" xr:uid="{00000000-0005-0000-0000-0000810A0000}"/>
    <cellStyle name="Нейтральный 23" xfId="1633" xr:uid="{00000000-0005-0000-0000-0000820A0000}"/>
    <cellStyle name="Нейтральный 24" xfId="1634" xr:uid="{00000000-0005-0000-0000-0000830A0000}"/>
    <cellStyle name="Нейтральный 25" xfId="1635" xr:uid="{00000000-0005-0000-0000-0000840A0000}"/>
    <cellStyle name="Нейтральный 26" xfId="1636" xr:uid="{00000000-0005-0000-0000-0000850A0000}"/>
    <cellStyle name="Нейтральный 27" xfId="1637" xr:uid="{00000000-0005-0000-0000-0000860A0000}"/>
    <cellStyle name="Нейтральный 28" xfId="1638" xr:uid="{00000000-0005-0000-0000-0000870A0000}"/>
    <cellStyle name="Нейтральный 29" xfId="1639" xr:uid="{00000000-0005-0000-0000-0000880A0000}"/>
    <cellStyle name="Нейтральный 3" xfId="1640" xr:uid="{00000000-0005-0000-0000-0000890A0000}"/>
    <cellStyle name="Нейтральный 30" xfId="1641" xr:uid="{00000000-0005-0000-0000-00008A0A0000}"/>
    <cellStyle name="Нейтральный 31" xfId="1642" xr:uid="{00000000-0005-0000-0000-00008B0A0000}"/>
    <cellStyle name="Нейтральный 32" xfId="1643" xr:uid="{00000000-0005-0000-0000-00008C0A0000}"/>
    <cellStyle name="Нейтральный 33" xfId="1644" xr:uid="{00000000-0005-0000-0000-00008D0A0000}"/>
    <cellStyle name="Нейтральный 34" xfId="1645" xr:uid="{00000000-0005-0000-0000-00008E0A0000}"/>
    <cellStyle name="Нейтральный 35" xfId="1646" xr:uid="{00000000-0005-0000-0000-00008F0A0000}"/>
    <cellStyle name="Нейтральный 36" xfId="1647" xr:uid="{00000000-0005-0000-0000-0000900A0000}"/>
    <cellStyle name="Нейтральный 4" xfId="1648" xr:uid="{00000000-0005-0000-0000-0000910A0000}"/>
    <cellStyle name="Нейтральный 5" xfId="1649" xr:uid="{00000000-0005-0000-0000-0000920A0000}"/>
    <cellStyle name="Нейтральный 6" xfId="1650" xr:uid="{00000000-0005-0000-0000-0000930A0000}"/>
    <cellStyle name="Нейтральный 7" xfId="1651" xr:uid="{00000000-0005-0000-0000-0000940A0000}"/>
    <cellStyle name="Нейтральный 8" xfId="1652" xr:uid="{00000000-0005-0000-0000-0000950A0000}"/>
    <cellStyle name="Нейтральный 9" xfId="1653" xr:uid="{00000000-0005-0000-0000-0000960A0000}"/>
    <cellStyle name="Обычный 13" xfId="1654" xr:uid="{00000000-0005-0000-0000-0000970A0000}"/>
    <cellStyle name="Обычный 14" xfId="1655" xr:uid="{00000000-0005-0000-0000-0000980A0000}"/>
    <cellStyle name="Обычный 15" xfId="1656" xr:uid="{00000000-0005-0000-0000-0000990A0000}"/>
    <cellStyle name="Обычный 16" xfId="1657" xr:uid="{00000000-0005-0000-0000-00009A0A0000}"/>
    <cellStyle name="Обычный 17" xfId="1658" xr:uid="{00000000-0005-0000-0000-00009B0A0000}"/>
    <cellStyle name="Обычный 18" xfId="1659" xr:uid="{00000000-0005-0000-0000-00009C0A0000}"/>
    <cellStyle name="Обычный 19" xfId="1660" xr:uid="{00000000-0005-0000-0000-00009D0A0000}"/>
    <cellStyle name="Обычный 2" xfId="11" xr:uid="{00000000-0005-0000-0000-00009E0A0000}"/>
    <cellStyle name="Обычный 2 10" xfId="274" xr:uid="{00000000-0005-0000-0000-00009F0A0000}"/>
    <cellStyle name="Обычный 2 10 2" xfId="1661" xr:uid="{00000000-0005-0000-0000-0000A00A0000}"/>
    <cellStyle name="Обычный 2 11" xfId="275" xr:uid="{00000000-0005-0000-0000-0000A10A0000}"/>
    <cellStyle name="Обычный 2 11 2" xfId="1662" xr:uid="{00000000-0005-0000-0000-0000A20A0000}"/>
    <cellStyle name="Обычный 2 12" xfId="276" xr:uid="{00000000-0005-0000-0000-0000A30A0000}"/>
    <cellStyle name="Обычный 2 12 2" xfId="1663" xr:uid="{00000000-0005-0000-0000-0000A40A0000}"/>
    <cellStyle name="Обычный 2 13" xfId="277" xr:uid="{00000000-0005-0000-0000-0000A50A0000}"/>
    <cellStyle name="Обычный 2 13 2" xfId="1664" xr:uid="{00000000-0005-0000-0000-0000A60A0000}"/>
    <cellStyle name="Обычный 2 14" xfId="278" xr:uid="{00000000-0005-0000-0000-0000A70A0000}"/>
    <cellStyle name="Обычный 2 14 2" xfId="1665" xr:uid="{00000000-0005-0000-0000-0000A80A0000}"/>
    <cellStyle name="Обычный 2 14 2 2" xfId="2630" xr:uid="{00000000-0005-0000-0000-0000A90A0000}"/>
    <cellStyle name="Обычный 2 14 3" xfId="2175" xr:uid="{00000000-0005-0000-0000-0000AA0A0000}"/>
    <cellStyle name="Обычный 2 15" xfId="1666" xr:uid="{00000000-0005-0000-0000-0000AB0A0000}"/>
    <cellStyle name="Обычный 2 16" xfId="1667" xr:uid="{00000000-0005-0000-0000-0000AC0A0000}"/>
    <cellStyle name="Обычный 2 17" xfId="1668" xr:uid="{00000000-0005-0000-0000-0000AD0A0000}"/>
    <cellStyle name="Обычный 2 18" xfId="1669" xr:uid="{00000000-0005-0000-0000-0000AE0A0000}"/>
    <cellStyle name="Обычный 2 19" xfId="1670" xr:uid="{00000000-0005-0000-0000-0000AF0A0000}"/>
    <cellStyle name="Обычный 2 2" xfId="161" xr:uid="{00000000-0005-0000-0000-0000B00A0000}"/>
    <cellStyle name="Обычный 2 2 10" xfId="1671" xr:uid="{00000000-0005-0000-0000-0000B10A0000}"/>
    <cellStyle name="Обычный 2 2 11" xfId="1672" xr:uid="{00000000-0005-0000-0000-0000B20A0000}"/>
    <cellStyle name="Обычный 2 2 12" xfId="1673" xr:uid="{00000000-0005-0000-0000-0000B30A0000}"/>
    <cellStyle name="Обычный 2 2 13" xfId="1674" xr:uid="{00000000-0005-0000-0000-0000B40A0000}"/>
    <cellStyle name="Обычный 2 2 14" xfId="1675" xr:uid="{00000000-0005-0000-0000-0000B50A0000}"/>
    <cellStyle name="Обычный 2 2 15" xfId="1676" xr:uid="{00000000-0005-0000-0000-0000B60A0000}"/>
    <cellStyle name="Обычный 2 2 16" xfId="1677" xr:uid="{00000000-0005-0000-0000-0000B70A0000}"/>
    <cellStyle name="Обычный 2 2 17" xfId="1678" xr:uid="{00000000-0005-0000-0000-0000B80A0000}"/>
    <cellStyle name="Обычный 2 2 18" xfId="1679" xr:uid="{00000000-0005-0000-0000-0000B90A0000}"/>
    <cellStyle name="Обычный 2 2 19" xfId="1680" xr:uid="{00000000-0005-0000-0000-0000BA0A0000}"/>
    <cellStyle name="Обычный 2 2 2" xfId="279" xr:uid="{00000000-0005-0000-0000-0000BB0A0000}"/>
    <cellStyle name="Обычный 2 2 2 2" xfId="1681" xr:uid="{00000000-0005-0000-0000-0000BC0A0000}"/>
    <cellStyle name="Обычный 2 2 20" xfId="1682" xr:uid="{00000000-0005-0000-0000-0000BD0A0000}"/>
    <cellStyle name="Обычный 2 2 21" xfId="1683" xr:uid="{00000000-0005-0000-0000-0000BE0A0000}"/>
    <cellStyle name="Обычный 2 2 22" xfId="1684" xr:uid="{00000000-0005-0000-0000-0000BF0A0000}"/>
    <cellStyle name="Обычный 2 2 23" xfId="1685" xr:uid="{00000000-0005-0000-0000-0000C00A0000}"/>
    <cellStyle name="Обычный 2 2 24" xfId="1686" xr:uid="{00000000-0005-0000-0000-0000C10A0000}"/>
    <cellStyle name="Обычный 2 2 25" xfId="1687" xr:uid="{00000000-0005-0000-0000-0000C20A0000}"/>
    <cellStyle name="Обычный 2 2 26" xfId="1688" xr:uid="{00000000-0005-0000-0000-0000C30A0000}"/>
    <cellStyle name="Обычный 2 2 27" xfId="1689" xr:uid="{00000000-0005-0000-0000-0000C40A0000}"/>
    <cellStyle name="Обычный 2 2 28" xfId="1690" xr:uid="{00000000-0005-0000-0000-0000C50A0000}"/>
    <cellStyle name="Обычный 2 2 29" xfId="1691" xr:uid="{00000000-0005-0000-0000-0000C60A0000}"/>
    <cellStyle name="Обычный 2 2 3" xfId="280" xr:uid="{00000000-0005-0000-0000-0000C70A0000}"/>
    <cellStyle name="Обычный 2 2 3 2" xfId="1692" xr:uid="{00000000-0005-0000-0000-0000C80A0000}"/>
    <cellStyle name="Обычный 2 2 30" xfId="1693" xr:uid="{00000000-0005-0000-0000-0000C90A0000}"/>
    <cellStyle name="Обычный 2 2 31" xfId="1694" xr:uid="{00000000-0005-0000-0000-0000CA0A0000}"/>
    <cellStyle name="Обычный 2 2 32" xfId="1695" xr:uid="{00000000-0005-0000-0000-0000CB0A0000}"/>
    <cellStyle name="Обычный 2 2 33" xfId="1696" xr:uid="{00000000-0005-0000-0000-0000CC0A0000}"/>
    <cellStyle name="Обычный 2 2 34" xfId="1697" xr:uid="{00000000-0005-0000-0000-0000CD0A0000}"/>
    <cellStyle name="Обычный 2 2 35" xfId="1698" xr:uid="{00000000-0005-0000-0000-0000CE0A0000}"/>
    <cellStyle name="Обычный 2 2 36" xfId="1699" xr:uid="{00000000-0005-0000-0000-0000CF0A0000}"/>
    <cellStyle name="Обычный 2 2 4" xfId="1700" xr:uid="{00000000-0005-0000-0000-0000D00A0000}"/>
    <cellStyle name="Обычный 2 2 5" xfId="1701" xr:uid="{00000000-0005-0000-0000-0000D10A0000}"/>
    <cellStyle name="Обычный 2 2 6" xfId="1702" xr:uid="{00000000-0005-0000-0000-0000D20A0000}"/>
    <cellStyle name="Обычный 2 2 7" xfId="1703" xr:uid="{00000000-0005-0000-0000-0000D30A0000}"/>
    <cellStyle name="Обычный 2 2 8" xfId="1704" xr:uid="{00000000-0005-0000-0000-0000D40A0000}"/>
    <cellStyle name="Обычный 2 2 9" xfId="1705" xr:uid="{00000000-0005-0000-0000-0000D50A0000}"/>
    <cellStyle name="Обычный 2 20" xfId="1706" xr:uid="{00000000-0005-0000-0000-0000D60A0000}"/>
    <cellStyle name="Обычный 2 21" xfId="1707" xr:uid="{00000000-0005-0000-0000-0000D70A0000}"/>
    <cellStyle name="Обычный 2 22" xfId="1708" xr:uid="{00000000-0005-0000-0000-0000D80A0000}"/>
    <cellStyle name="Обычный 2 23" xfId="1709" xr:uid="{00000000-0005-0000-0000-0000D90A0000}"/>
    <cellStyle name="Обычный 2 24" xfId="1710" xr:uid="{00000000-0005-0000-0000-0000DA0A0000}"/>
    <cellStyle name="Обычный 2 25" xfId="1711" xr:uid="{00000000-0005-0000-0000-0000DB0A0000}"/>
    <cellStyle name="Обычный 2 26" xfId="1712" xr:uid="{00000000-0005-0000-0000-0000DC0A0000}"/>
    <cellStyle name="Обычный 2 27" xfId="1713" xr:uid="{00000000-0005-0000-0000-0000DD0A0000}"/>
    <cellStyle name="Обычный 2 28" xfId="1714" xr:uid="{00000000-0005-0000-0000-0000DE0A0000}"/>
    <cellStyle name="Обычный 2 29" xfId="1715" xr:uid="{00000000-0005-0000-0000-0000DF0A0000}"/>
    <cellStyle name="Обычный 2 3" xfId="160" xr:uid="{00000000-0005-0000-0000-0000E00A0000}"/>
    <cellStyle name="Обычный 2 30" xfId="1716" xr:uid="{00000000-0005-0000-0000-0000E10A0000}"/>
    <cellStyle name="Обычный 2 31" xfId="1717" xr:uid="{00000000-0005-0000-0000-0000E20A0000}"/>
    <cellStyle name="Обычный 2 32" xfId="1718" xr:uid="{00000000-0005-0000-0000-0000E30A0000}"/>
    <cellStyle name="Обычный 2 33" xfId="1719" xr:uid="{00000000-0005-0000-0000-0000E40A0000}"/>
    <cellStyle name="Обычный 2 34" xfId="1720" xr:uid="{00000000-0005-0000-0000-0000E50A0000}"/>
    <cellStyle name="Обычный 2 35" xfId="1721" xr:uid="{00000000-0005-0000-0000-0000E60A0000}"/>
    <cellStyle name="Обычный 2 36" xfId="1722" xr:uid="{00000000-0005-0000-0000-0000E70A0000}"/>
    <cellStyle name="Обычный 2 37" xfId="1723" xr:uid="{00000000-0005-0000-0000-0000E80A0000}"/>
    <cellStyle name="Обычный 2 4" xfId="281" xr:uid="{00000000-0005-0000-0000-0000E90A0000}"/>
    <cellStyle name="Обычный 2 4 2" xfId="282" xr:uid="{00000000-0005-0000-0000-0000EA0A0000}"/>
    <cellStyle name="Обычный 2 5" xfId="283" xr:uid="{00000000-0005-0000-0000-0000EB0A0000}"/>
    <cellStyle name="Обычный 2 5 2" xfId="284" xr:uid="{00000000-0005-0000-0000-0000EC0A0000}"/>
    <cellStyle name="Обычный 2 6" xfId="285" xr:uid="{00000000-0005-0000-0000-0000ED0A0000}"/>
    <cellStyle name="Обычный 2 6 2" xfId="286" xr:uid="{00000000-0005-0000-0000-0000EE0A0000}"/>
    <cellStyle name="Обычный 2 7" xfId="287" xr:uid="{00000000-0005-0000-0000-0000EF0A0000}"/>
    <cellStyle name="Обычный 2 7 2" xfId="288" xr:uid="{00000000-0005-0000-0000-0000F00A0000}"/>
    <cellStyle name="Обычный 2 8" xfId="289" xr:uid="{00000000-0005-0000-0000-0000F10A0000}"/>
    <cellStyle name="Обычный 2 8 2" xfId="290" xr:uid="{00000000-0005-0000-0000-0000F20A0000}"/>
    <cellStyle name="Обычный 2 9" xfId="291" xr:uid="{00000000-0005-0000-0000-0000F30A0000}"/>
    <cellStyle name="Обычный 2 9 2" xfId="1724" xr:uid="{00000000-0005-0000-0000-0000F40A0000}"/>
    <cellStyle name="Обычный 2 9 2 2" xfId="2631" xr:uid="{00000000-0005-0000-0000-0000F50A0000}"/>
    <cellStyle name="Обычный 2 9 3" xfId="2176" xr:uid="{00000000-0005-0000-0000-0000F60A0000}"/>
    <cellStyle name="Обычный 2_900005052015" xfId="292" xr:uid="{00000000-0005-0000-0000-0000F70A0000}"/>
    <cellStyle name="Обычный 23" xfId="1725" xr:uid="{00000000-0005-0000-0000-0000F80A0000}"/>
    <cellStyle name="Обычный 24" xfId="1726" xr:uid="{00000000-0005-0000-0000-0000F90A0000}"/>
    <cellStyle name="Обычный 25" xfId="1727" xr:uid="{00000000-0005-0000-0000-0000FA0A0000}"/>
    <cellStyle name="Обычный 27" xfId="1728" xr:uid="{00000000-0005-0000-0000-0000FB0A0000}"/>
    <cellStyle name="Обычный 28" xfId="1729" xr:uid="{00000000-0005-0000-0000-0000FC0A0000}"/>
    <cellStyle name="Обычный 29" xfId="1730" xr:uid="{00000000-0005-0000-0000-0000FD0A0000}"/>
    <cellStyle name="Обычный 3" xfId="293" xr:uid="{00000000-0005-0000-0000-0000FE0A0000}"/>
    <cellStyle name="Обычный 3 2" xfId="294" xr:uid="{00000000-0005-0000-0000-0000FF0A0000}"/>
    <cellStyle name="Обычный 3 2 2" xfId="1731" xr:uid="{00000000-0005-0000-0000-0000000B0000}"/>
    <cellStyle name="Обычный 3 3" xfId="2028" xr:uid="{00000000-0005-0000-0000-0000010B0000}"/>
    <cellStyle name="Обычный 30" xfId="1732" xr:uid="{00000000-0005-0000-0000-0000020B0000}"/>
    <cellStyle name="Обычный 31" xfId="1733" xr:uid="{00000000-0005-0000-0000-0000030B0000}"/>
    <cellStyle name="Обычный 32" xfId="1734" xr:uid="{00000000-0005-0000-0000-0000040B0000}"/>
    <cellStyle name="Обычный 34" xfId="1735" xr:uid="{00000000-0005-0000-0000-0000050B0000}"/>
    <cellStyle name="Обычный 35" xfId="1736" xr:uid="{00000000-0005-0000-0000-0000060B0000}"/>
    <cellStyle name="Обычный 36" xfId="1737" xr:uid="{00000000-0005-0000-0000-0000070B0000}"/>
    <cellStyle name="Обычный 4" xfId="295" xr:uid="{00000000-0005-0000-0000-0000080B0000}"/>
    <cellStyle name="Обычный 4 2" xfId="1738" xr:uid="{00000000-0005-0000-0000-0000090B0000}"/>
    <cellStyle name="Обычный 5" xfId="1739" xr:uid="{00000000-0005-0000-0000-00000A0B0000}"/>
    <cellStyle name="Обычный 6" xfId="1740" xr:uid="{00000000-0005-0000-0000-00000B0B0000}"/>
    <cellStyle name="Обычный 7" xfId="1741" xr:uid="{00000000-0005-0000-0000-00000C0B0000}"/>
    <cellStyle name="Обычный 8" xfId="2025" xr:uid="{00000000-0005-0000-0000-00000D0B0000}"/>
    <cellStyle name="Плохой 10" xfId="1742" xr:uid="{00000000-0005-0000-0000-00000E0B0000}"/>
    <cellStyle name="Плохой 11" xfId="1743" xr:uid="{00000000-0005-0000-0000-00000F0B0000}"/>
    <cellStyle name="Плохой 12" xfId="1744" xr:uid="{00000000-0005-0000-0000-0000100B0000}"/>
    <cellStyle name="Плохой 13" xfId="1745" xr:uid="{00000000-0005-0000-0000-0000110B0000}"/>
    <cellStyle name="Плохой 14" xfId="1746" xr:uid="{00000000-0005-0000-0000-0000120B0000}"/>
    <cellStyle name="Плохой 15" xfId="1747" xr:uid="{00000000-0005-0000-0000-0000130B0000}"/>
    <cellStyle name="Плохой 16" xfId="1748" xr:uid="{00000000-0005-0000-0000-0000140B0000}"/>
    <cellStyle name="Плохой 17" xfId="1749" xr:uid="{00000000-0005-0000-0000-0000150B0000}"/>
    <cellStyle name="Плохой 18" xfId="1750" xr:uid="{00000000-0005-0000-0000-0000160B0000}"/>
    <cellStyle name="Плохой 19" xfId="1751" xr:uid="{00000000-0005-0000-0000-0000170B0000}"/>
    <cellStyle name="Плохой 2" xfId="1752" xr:uid="{00000000-0005-0000-0000-0000180B0000}"/>
    <cellStyle name="Плохой 20" xfId="1753" xr:uid="{00000000-0005-0000-0000-0000190B0000}"/>
    <cellStyle name="Плохой 21" xfId="1754" xr:uid="{00000000-0005-0000-0000-00001A0B0000}"/>
    <cellStyle name="Плохой 22" xfId="1755" xr:uid="{00000000-0005-0000-0000-00001B0B0000}"/>
    <cellStyle name="Плохой 23" xfId="1756" xr:uid="{00000000-0005-0000-0000-00001C0B0000}"/>
    <cellStyle name="Плохой 24" xfId="1757" xr:uid="{00000000-0005-0000-0000-00001D0B0000}"/>
    <cellStyle name="Плохой 25" xfId="1758" xr:uid="{00000000-0005-0000-0000-00001E0B0000}"/>
    <cellStyle name="Плохой 26" xfId="1759" xr:uid="{00000000-0005-0000-0000-00001F0B0000}"/>
    <cellStyle name="Плохой 27" xfId="1760" xr:uid="{00000000-0005-0000-0000-0000200B0000}"/>
    <cellStyle name="Плохой 28" xfId="1761" xr:uid="{00000000-0005-0000-0000-0000210B0000}"/>
    <cellStyle name="Плохой 29" xfId="1762" xr:uid="{00000000-0005-0000-0000-0000220B0000}"/>
    <cellStyle name="Плохой 3" xfId="1763" xr:uid="{00000000-0005-0000-0000-0000230B0000}"/>
    <cellStyle name="Плохой 30" xfId="1764" xr:uid="{00000000-0005-0000-0000-0000240B0000}"/>
    <cellStyle name="Плохой 31" xfId="1765" xr:uid="{00000000-0005-0000-0000-0000250B0000}"/>
    <cellStyle name="Плохой 32" xfId="1766" xr:uid="{00000000-0005-0000-0000-0000260B0000}"/>
    <cellStyle name="Плохой 33" xfId="1767" xr:uid="{00000000-0005-0000-0000-0000270B0000}"/>
    <cellStyle name="Плохой 34" xfId="1768" xr:uid="{00000000-0005-0000-0000-0000280B0000}"/>
    <cellStyle name="Плохой 35" xfId="1769" xr:uid="{00000000-0005-0000-0000-0000290B0000}"/>
    <cellStyle name="Плохой 36" xfId="1770" xr:uid="{00000000-0005-0000-0000-00002A0B0000}"/>
    <cellStyle name="Плохой 4" xfId="1771" xr:uid="{00000000-0005-0000-0000-00002B0B0000}"/>
    <cellStyle name="Плохой 5" xfId="1772" xr:uid="{00000000-0005-0000-0000-00002C0B0000}"/>
    <cellStyle name="Плохой 6" xfId="1773" xr:uid="{00000000-0005-0000-0000-00002D0B0000}"/>
    <cellStyle name="Плохой 7" xfId="1774" xr:uid="{00000000-0005-0000-0000-00002E0B0000}"/>
    <cellStyle name="Плохой 8" xfId="1775" xr:uid="{00000000-0005-0000-0000-00002F0B0000}"/>
    <cellStyle name="Плохой 9" xfId="1776" xr:uid="{00000000-0005-0000-0000-0000300B0000}"/>
    <cellStyle name="Пояснение 10" xfId="1777" xr:uid="{00000000-0005-0000-0000-0000310B0000}"/>
    <cellStyle name="Пояснение 11" xfId="1778" xr:uid="{00000000-0005-0000-0000-0000320B0000}"/>
    <cellStyle name="Пояснение 12" xfId="1779" xr:uid="{00000000-0005-0000-0000-0000330B0000}"/>
    <cellStyle name="Пояснение 13" xfId="1780" xr:uid="{00000000-0005-0000-0000-0000340B0000}"/>
    <cellStyle name="Пояснение 14" xfId="1781" xr:uid="{00000000-0005-0000-0000-0000350B0000}"/>
    <cellStyle name="Пояснение 15" xfId="1782" xr:uid="{00000000-0005-0000-0000-0000360B0000}"/>
    <cellStyle name="Пояснение 16" xfId="1783" xr:uid="{00000000-0005-0000-0000-0000370B0000}"/>
    <cellStyle name="Пояснение 17" xfId="1784" xr:uid="{00000000-0005-0000-0000-0000380B0000}"/>
    <cellStyle name="Пояснение 18" xfId="1785" xr:uid="{00000000-0005-0000-0000-0000390B0000}"/>
    <cellStyle name="Пояснение 19" xfId="1786" xr:uid="{00000000-0005-0000-0000-00003A0B0000}"/>
    <cellStyle name="Пояснение 2" xfId="1787" xr:uid="{00000000-0005-0000-0000-00003B0B0000}"/>
    <cellStyle name="Пояснение 20" xfId="1788" xr:uid="{00000000-0005-0000-0000-00003C0B0000}"/>
    <cellStyle name="Пояснение 21" xfId="1789" xr:uid="{00000000-0005-0000-0000-00003D0B0000}"/>
    <cellStyle name="Пояснение 22" xfId="1790" xr:uid="{00000000-0005-0000-0000-00003E0B0000}"/>
    <cellStyle name="Пояснение 23" xfId="1791" xr:uid="{00000000-0005-0000-0000-00003F0B0000}"/>
    <cellStyle name="Пояснение 24" xfId="1792" xr:uid="{00000000-0005-0000-0000-0000400B0000}"/>
    <cellStyle name="Пояснение 25" xfId="1793" xr:uid="{00000000-0005-0000-0000-0000410B0000}"/>
    <cellStyle name="Пояснение 26" xfId="1794" xr:uid="{00000000-0005-0000-0000-0000420B0000}"/>
    <cellStyle name="Пояснение 27" xfId="1795" xr:uid="{00000000-0005-0000-0000-0000430B0000}"/>
    <cellStyle name="Пояснение 28" xfId="1796" xr:uid="{00000000-0005-0000-0000-0000440B0000}"/>
    <cellStyle name="Пояснение 29" xfId="1797" xr:uid="{00000000-0005-0000-0000-0000450B0000}"/>
    <cellStyle name="Пояснение 3" xfId="1798" xr:uid="{00000000-0005-0000-0000-0000460B0000}"/>
    <cellStyle name="Пояснение 30" xfId="1799" xr:uid="{00000000-0005-0000-0000-0000470B0000}"/>
    <cellStyle name="Пояснение 31" xfId="1800" xr:uid="{00000000-0005-0000-0000-0000480B0000}"/>
    <cellStyle name="Пояснение 32" xfId="1801" xr:uid="{00000000-0005-0000-0000-0000490B0000}"/>
    <cellStyle name="Пояснение 33" xfId="1802" xr:uid="{00000000-0005-0000-0000-00004A0B0000}"/>
    <cellStyle name="Пояснение 34" xfId="1803" xr:uid="{00000000-0005-0000-0000-00004B0B0000}"/>
    <cellStyle name="Пояснение 35" xfId="1804" xr:uid="{00000000-0005-0000-0000-00004C0B0000}"/>
    <cellStyle name="Пояснение 36" xfId="1805" xr:uid="{00000000-0005-0000-0000-00004D0B0000}"/>
    <cellStyle name="Пояснение 4" xfId="1806" xr:uid="{00000000-0005-0000-0000-00004E0B0000}"/>
    <cellStyle name="Пояснение 5" xfId="1807" xr:uid="{00000000-0005-0000-0000-00004F0B0000}"/>
    <cellStyle name="Пояснение 6" xfId="1808" xr:uid="{00000000-0005-0000-0000-0000500B0000}"/>
    <cellStyle name="Пояснение 7" xfId="1809" xr:uid="{00000000-0005-0000-0000-0000510B0000}"/>
    <cellStyle name="Пояснение 8" xfId="1810" xr:uid="{00000000-0005-0000-0000-0000520B0000}"/>
    <cellStyle name="Пояснение 9" xfId="1811" xr:uid="{00000000-0005-0000-0000-0000530B0000}"/>
    <cellStyle name="Примечание 10" xfId="1812" xr:uid="{00000000-0005-0000-0000-0000540B0000}"/>
    <cellStyle name="Примечание 11" xfId="1813" xr:uid="{00000000-0005-0000-0000-0000550B0000}"/>
    <cellStyle name="Примечание 12" xfId="1814" xr:uid="{00000000-0005-0000-0000-0000560B0000}"/>
    <cellStyle name="Примечание 13" xfId="1815" xr:uid="{00000000-0005-0000-0000-0000570B0000}"/>
    <cellStyle name="Примечание 14" xfId="1816" xr:uid="{00000000-0005-0000-0000-0000580B0000}"/>
    <cellStyle name="Примечание 15" xfId="1817" xr:uid="{00000000-0005-0000-0000-0000590B0000}"/>
    <cellStyle name="Примечание 16" xfId="1818" xr:uid="{00000000-0005-0000-0000-00005A0B0000}"/>
    <cellStyle name="Примечание 17" xfId="1819" xr:uid="{00000000-0005-0000-0000-00005B0B0000}"/>
    <cellStyle name="Примечание 18" xfId="1820" xr:uid="{00000000-0005-0000-0000-00005C0B0000}"/>
    <cellStyle name="Примечание 19" xfId="1821" xr:uid="{00000000-0005-0000-0000-00005D0B0000}"/>
    <cellStyle name="Примечание 2" xfId="1822" xr:uid="{00000000-0005-0000-0000-00005E0B0000}"/>
    <cellStyle name="Примечание 20" xfId="1823" xr:uid="{00000000-0005-0000-0000-00005F0B0000}"/>
    <cellStyle name="Примечание 21" xfId="1824" xr:uid="{00000000-0005-0000-0000-0000600B0000}"/>
    <cellStyle name="Примечание 22" xfId="1825" xr:uid="{00000000-0005-0000-0000-0000610B0000}"/>
    <cellStyle name="Примечание 23" xfId="1826" xr:uid="{00000000-0005-0000-0000-0000620B0000}"/>
    <cellStyle name="Примечание 24" xfId="1827" xr:uid="{00000000-0005-0000-0000-0000630B0000}"/>
    <cellStyle name="Примечание 25" xfId="1828" xr:uid="{00000000-0005-0000-0000-0000640B0000}"/>
    <cellStyle name="Примечание 26" xfId="1829" xr:uid="{00000000-0005-0000-0000-0000650B0000}"/>
    <cellStyle name="Примечание 27" xfId="1830" xr:uid="{00000000-0005-0000-0000-0000660B0000}"/>
    <cellStyle name="Примечание 28" xfId="1831" xr:uid="{00000000-0005-0000-0000-0000670B0000}"/>
    <cellStyle name="Примечание 29" xfId="1832" xr:uid="{00000000-0005-0000-0000-0000680B0000}"/>
    <cellStyle name="Примечание 3" xfId="1833" xr:uid="{00000000-0005-0000-0000-0000690B0000}"/>
    <cellStyle name="Примечание 30" xfId="1834" xr:uid="{00000000-0005-0000-0000-00006A0B0000}"/>
    <cellStyle name="Примечание 31" xfId="1835" xr:uid="{00000000-0005-0000-0000-00006B0B0000}"/>
    <cellStyle name="Примечание 32" xfId="1836" xr:uid="{00000000-0005-0000-0000-00006C0B0000}"/>
    <cellStyle name="Примечание 33" xfId="1837" xr:uid="{00000000-0005-0000-0000-00006D0B0000}"/>
    <cellStyle name="Примечание 34" xfId="1838" xr:uid="{00000000-0005-0000-0000-00006E0B0000}"/>
    <cellStyle name="Примечание 35" xfId="1839" xr:uid="{00000000-0005-0000-0000-00006F0B0000}"/>
    <cellStyle name="Примечание 36" xfId="1840" xr:uid="{00000000-0005-0000-0000-0000700B0000}"/>
    <cellStyle name="Примечание 4" xfId="1841" xr:uid="{00000000-0005-0000-0000-0000710B0000}"/>
    <cellStyle name="Примечание 5" xfId="1842" xr:uid="{00000000-0005-0000-0000-0000720B0000}"/>
    <cellStyle name="Примечание 6" xfId="1843" xr:uid="{00000000-0005-0000-0000-0000730B0000}"/>
    <cellStyle name="Примечание 7" xfId="1844" xr:uid="{00000000-0005-0000-0000-0000740B0000}"/>
    <cellStyle name="Примечание 8" xfId="1845" xr:uid="{00000000-0005-0000-0000-0000750B0000}"/>
    <cellStyle name="Примечание 9" xfId="1846" xr:uid="{00000000-0005-0000-0000-0000760B0000}"/>
    <cellStyle name="Связанная ячейка 10" xfId="1847" xr:uid="{00000000-0005-0000-0000-0000770B0000}"/>
    <cellStyle name="Связанная ячейка 11" xfId="1848" xr:uid="{00000000-0005-0000-0000-0000780B0000}"/>
    <cellStyle name="Связанная ячейка 12" xfId="1849" xr:uid="{00000000-0005-0000-0000-0000790B0000}"/>
    <cellStyle name="Связанная ячейка 13" xfId="1850" xr:uid="{00000000-0005-0000-0000-00007A0B0000}"/>
    <cellStyle name="Связанная ячейка 14" xfId="1851" xr:uid="{00000000-0005-0000-0000-00007B0B0000}"/>
    <cellStyle name="Связанная ячейка 15" xfId="1852" xr:uid="{00000000-0005-0000-0000-00007C0B0000}"/>
    <cellStyle name="Связанная ячейка 16" xfId="1853" xr:uid="{00000000-0005-0000-0000-00007D0B0000}"/>
    <cellStyle name="Связанная ячейка 17" xfId="1854" xr:uid="{00000000-0005-0000-0000-00007E0B0000}"/>
    <cellStyle name="Связанная ячейка 18" xfId="1855" xr:uid="{00000000-0005-0000-0000-00007F0B0000}"/>
    <cellStyle name="Связанная ячейка 19" xfId="1856" xr:uid="{00000000-0005-0000-0000-0000800B0000}"/>
    <cellStyle name="Связанная ячейка 2" xfId="1857" xr:uid="{00000000-0005-0000-0000-0000810B0000}"/>
    <cellStyle name="Связанная ячейка 20" xfId="1858" xr:uid="{00000000-0005-0000-0000-0000820B0000}"/>
    <cellStyle name="Связанная ячейка 21" xfId="1859" xr:uid="{00000000-0005-0000-0000-0000830B0000}"/>
    <cellStyle name="Связанная ячейка 22" xfId="1860" xr:uid="{00000000-0005-0000-0000-0000840B0000}"/>
    <cellStyle name="Связанная ячейка 23" xfId="1861" xr:uid="{00000000-0005-0000-0000-0000850B0000}"/>
    <cellStyle name="Связанная ячейка 24" xfId="1862" xr:uid="{00000000-0005-0000-0000-0000860B0000}"/>
    <cellStyle name="Связанная ячейка 25" xfId="1863" xr:uid="{00000000-0005-0000-0000-0000870B0000}"/>
    <cellStyle name="Связанная ячейка 26" xfId="1864" xr:uid="{00000000-0005-0000-0000-0000880B0000}"/>
    <cellStyle name="Связанная ячейка 27" xfId="1865" xr:uid="{00000000-0005-0000-0000-0000890B0000}"/>
    <cellStyle name="Связанная ячейка 28" xfId="1866" xr:uid="{00000000-0005-0000-0000-00008A0B0000}"/>
    <cellStyle name="Связанная ячейка 29" xfId="1867" xr:uid="{00000000-0005-0000-0000-00008B0B0000}"/>
    <cellStyle name="Связанная ячейка 3" xfId="1868" xr:uid="{00000000-0005-0000-0000-00008C0B0000}"/>
    <cellStyle name="Связанная ячейка 30" xfId="1869" xr:uid="{00000000-0005-0000-0000-00008D0B0000}"/>
    <cellStyle name="Связанная ячейка 31" xfId="1870" xr:uid="{00000000-0005-0000-0000-00008E0B0000}"/>
    <cellStyle name="Связанная ячейка 32" xfId="1871" xr:uid="{00000000-0005-0000-0000-00008F0B0000}"/>
    <cellStyle name="Связанная ячейка 33" xfId="1872" xr:uid="{00000000-0005-0000-0000-0000900B0000}"/>
    <cellStyle name="Связанная ячейка 34" xfId="1873" xr:uid="{00000000-0005-0000-0000-0000910B0000}"/>
    <cellStyle name="Связанная ячейка 35" xfId="1874" xr:uid="{00000000-0005-0000-0000-0000920B0000}"/>
    <cellStyle name="Связанная ячейка 36" xfId="1875" xr:uid="{00000000-0005-0000-0000-0000930B0000}"/>
    <cellStyle name="Связанная ячейка 4" xfId="1876" xr:uid="{00000000-0005-0000-0000-0000940B0000}"/>
    <cellStyle name="Связанная ячейка 5" xfId="1877" xr:uid="{00000000-0005-0000-0000-0000950B0000}"/>
    <cellStyle name="Связанная ячейка 6" xfId="1878" xr:uid="{00000000-0005-0000-0000-0000960B0000}"/>
    <cellStyle name="Связанная ячейка 7" xfId="1879" xr:uid="{00000000-0005-0000-0000-0000970B0000}"/>
    <cellStyle name="Связанная ячейка 8" xfId="1880" xr:uid="{00000000-0005-0000-0000-0000980B0000}"/>
    <cellStyle name="Связанная ячейка 9" xfId="1881" xr:uid="{00000000-0005-0000-0000-0000990B0000}"/>
    <cellStyle name="Стиль 1" xfId="296" xr:uid="{00000000-0005-0000-0000-00009A0B0000}"/>
    <cellStyle name="Текст предупреждения 10" xfId="1882" xr:uid="{00000000-0005-0000-0000-00009B0B0000}"/>
    <cellStyle name="Текст предупреждения 11" xfId="1883" xr:uid="{00000000-0005-0000-0000-00009C0B0000}"/>
    <cellStyle name="Текст предупреждения 12" xfId="1884" xr:uid="{00000000-0005-0000-0000-00009D0B0000}"/>
    <cellStyle name="Текст предупреждения 13" xfId="1885" xr:uid="{00000000-0005-0000-0000-00009E0B0000}"/>
    <cellStyle name="Текст предупреждения 14" xfId="1886" xr:uid="{00000000-0005-0000-0000-00009F0B0000}"/>
    <cellStyle name="Текст предупреждения 15" xfId="1887" xr:uid="{00000000-0005-0000-0000-0000A00B0000}"/>
    <cellStyle name="Текст предупреждения 16" xfId="1888" xr:uid="{00000000-0005-0000-0000-0000A10B0000}"/>
    <cellStyle name="Текст предупреждения 17" xfId="1889" xr:uid="{00000000-0005-0000-0000-0000A20B0000}"/>
    <cellStyle name="Текст предупреждения 18" xfId="1890" xr:uid="{00000000-0005-0000-0000-0000A30B0000}"/>
    <cellStyle name="Текст предупреждения 19" xfId="1891" xr:uid="{00000000-0005-0000-0000-0000A40B0000}"/>
    <cellStyle name="Текст предупреждения 2" xfId="1892" xr:uid="{00000000-0005-0000-0000-0000A50B0000}"/>
    <cellStyle name="Текст предупреждения 20" xfId="1893" xr:uid="{00000000-0005-0000-0000-0000A60B0000}"/>
    <cellStyle name="Текст предупреждения 21" xfId="1894" xr:uid="{00000000-0005-0000-0000-0000A70B0000}"/>
    <cellStyle name="Текст предупреждения 22" xfId="1895" xr:uid="{00000000-0005-0000-0000-0000A80B0000}"/>
    <cellStyle name="Текст предупреждения 23" xfId="1896" xr:uid="{00000000-0005-0000-0000-0000A90B0000}"/>
    <cellStyle name="Текст предупреждения 24" xfId="1897" xr:uid="{00000000-0005-0000-0000-0000AA0B0000}"/>
    <cellStyle name="Текст предупреждения 25" xfId="1898" xr:uid="{00000000-0005-0000-0000-0000AB0B0000}"/>
    <cellStyle name="Текст предупреждения 26" xfId="1899" xr:uid="{00000000-0005-0000-0000-0000AC0B0000}"/>
    <cellStyle name="Текст предупреждения 27" xfId="1900" xr:uid="{00000000-0005-0000-0000-0000AD0B0000}"/>
    <cellStyle name="Текст предупреждения 28" xfId="1901" xr:uid="{00000000-0005-0000-0000-0000AE0B0000}"/>
    <cellStyle name="Текст предупреждения 29" xfId="1902" xr:uid="{00000000-0005-0000-0000-0000AF0B0000}"/>
    <cellStyle name="Текст предупреждения 3" xfId="1903" xr:uid="{00000000-0005-0000-0000-0000B00B0000}"/>
    <cellStyle name="Текст предупреждения 30" xfId="1904" xr:uid="{00000000-0005-0000-0000-0000B10B0000}"/>
    <cellStyle name="Текст предупреждения 31" xfId="1905" xr:uid="{00000000-0005-0000-0000-0000B20B0000}"/>
    <cellStyle name="Текст предупреждения 32" xfId="1906" xr:uid="{00000000-0005-0000-0000-0000B30B0000}"/>
    <cellStyle name="Текст предупреждения 33" xfId="1907" xr:uid="{00000000-0005-0000-0000-0000B40B0000}"/>
    <cellStyle name="Текст предупреждения 34" xfId="1908" xr:uid="{00000000-0005-0000-0000-0000B50B0000}"/>
    <cellStyle name="Текст предупреждения 35" xfId="1909" xr:uid="{00000000-0005-0000-0000-0000B60B0000}"/>
    <cellStyle name="Текст предупреждения 36" xfId="1910" xr:uid="{00000000-0005-0000-0000-0000B70B0000}"/>
    <cellStyle name="Текст предупреждения 4" xfId="1911" xr:uid="{00000000-0005-0000-0000-0000B80B0000}"/>
    <cellStyle name="Текст предупреждения 5" xfId="1912" xr:uid="{00000000-0005-0000-0000-0000B90B0000}"/>
    <cellStyle name="Текст предупреждения 6" xfId="1913" xr:uid="{00000000-0005-0000-0000-0000BA0B0000}"/>
    <cellStyle name="Текст предупреждения 7" xfId="1914" xr:uid="{00000000-0005-0000-0000-0000BB0B0000}"/>
    <cellStyle name="Текст предупреждения 8" xfId="1915" xr:uid="{00000000-0005-0000-0000-0000BC0B0000}"/>
    <cellStyle name="Текст предупреждения 9" xfId="1916" xr:uid="{00000000-0005-0000-0000-0000BD0B0000}"/>
    <cellStyle name="Финансовый 16" xfId="300" xr:uid="{00000000-0005-0000-0000-0000BE0B0000}"/>
    <cellStyle name="Финансовый 2" xfId="214" xr:uid="{00000000-0005-0000-0000-0000BF0B0000}"/>
    <cellStyle name="Финансовый 2 10" xfId="1917" xr:uid="{00000000-0005-0000-0000-0000C00B0000}"/>
    <cellStyle name="Финансовый 2 11" xfId="1918" xr:uid="{00000000-0005-0000-0000-0000C10B0000}"/>
    <cellStyle name="Финансовый 2 12" xfId="1919" xr:uid="{00000000-0005-0000-0000-0000C20B0000}"/>
    <cellStyle name="Финансовый 2 13" xfId="1920" xr:uid="{00000000-0005-0000-0000-0000C30B0000}"/>
    <cellStyle name="Финансовый 2 14" xfId="1921" xr:uid="{00000000-0005-0000-0000-0000C40B0000}"/>
    <cellStyle name="Финансовый 2 15" xfId="1922" xr:uid="{00000000-0005-0000-0000-0000C50B0000}"/>
    <cellStyle name="Финансовый 2 16" xfId="1923" xr:uid="{00000000-0005-0000-0000-0000C60B0000}"/>
    <cellStyle name="Финансовый 2 17" xfId="1924" xr:uid="{00000000-0005-0000-0000-0000C70B0000}"/>
    <cellStyle name="Финансовый 2 18" xfId="1925" xr:uid="{00000000-0005-0000-0000-0000C80B0000}"/>
    <cellStyle name="Финансовый 2 19" xfId="1926" xr:uid="{00000000-0005-0000-0000-0000C90B0000}"/>
    <cellStyle name="Финансовый 2 2" xfId="215" xr:uid="{00000000-0005-0000-0000-0000CA0B0000}"/>
    <cellStyle name="Финансовый 2 2 10" xfId="1927" xr:uid="{00000000-0005-0000-0000-0000CB0B0000}"/>
    <cellStyle name="Финансовый 2 2 11" xfId="1928" xr:uid="{00000000-0005-0000-0000-0000CC0B0000}"/>
    <cellStyle name="Финансовый 2 2 12" xfId="1929" xr:uid="{00000000-0005-0000-0000-0000CD0B0000}"/>
    <cellStyle name="Финансовый 2 2 13" xfId="1930" xr:uid="{00000000-0005-0000-0000-0000CE0B0000}"/>
    <cellStyle name="Финансовый 2 2 14" xfId="1931" xr:uid="{00000000-0005-0000-0000-0000CF0B0000}"/>
    <cellStyle name="Финансовый 2 2 15" xfId="1932" xr:uid="{00000000-0005-0000-0000-0000D00B0000}"/>
    <cellStyle name="Финансовый 2 2 16" xfId="1933" xr:uid="{00000000-0005-0000-0000-0000D10B0000}"/>
    <cellStyle name="Финансовый 2 2 17" xfId="1934" xr:uid="{00000000-0005-0000-0000-0000D20B0000}"/>
    <cellStyle name="Финансовый 2 2 18" xfId="1935" xr:uid="{00000000-0005-0000-0000-0000D30B0000}"/>
    <cellStyle name="Финансовый 2 2 19" xfId="1936" xr:uid="{00000000-0005-0000-0000-0000D40B0000}"/>
    <cellStyle name="Финансовый 2 2 2" xfId="1937" xr:uid="{00000000-0005-0000-0000-0000D50B0000}"/>
    <cellStyle name="Финансовый 2 2 20" xfId="1938" xr:uid="{00000000-0005-0000-0000-0000D60B0000}"/>
    <cellStyle name="Финансовый 2 2 21" xfId="1939" xr:uid="{00000000-0005-0000-0000-0000D70B0000}"/>
    <cellStyle name="Финансовый 2 2 22" xfId="1940" xr:uid="{00000000-0005-0000-0000-0000D80B0000}"/>
    <cellStyle name="Финансовый 2 2 23" xfId="1941" xr:uid="{00000000-0005-0000-0000-0000D90B0000}"/>
    <cellStyle name="Финансовый 2 2 24" xfId="1942" xr:uid="{00000000-0005-0000-0000-0000DA0B0000}"/>
    <cellStyle name="Финансовый 2 2 25" xfId="1943" xr:uid="{00000000-0005-0000-0000-0000DB0B0000}"/>
    <cellStyle name="Финансовый 2 2 26" xfId="1944" xr:uid="{00000000-0005-0000-0000-0000DC0B0000}"/>
    <cellStyle name="Финансовый 2 2 27" xfId="1945" xr:uid="{00000000-0005-0000-0000-0000DD0B0000}"/>
    <cellStyle name="Финансовый 2 2 28" xfId="1946" xr:uid="{00000000-0005-0000-0000-0000DE0B0000}"/>
    <cellStyle name="Финансовый 2 2 29" xfId="1947" xr:uid="{00000000-0005-0000-0000-0000DF0B0000}"/>
    <cellStyle name="Финансовый 2 2 3" xfId="1948" xr:uid="{00000000-0005-0000-0000-0000E00B0000}"/>
    <cellStyle name="Финансовый 2 2 30" xfId="1949" xr:uid="{00000000-0005-0000-0000-0000E10B0000}"/>
    <cellStyle name="Финансовый 2 2 31" xfId="1950" xr:uid="{00000000-0005-0000-0000-0000E20B0000}"/>
    <cellStyle name="Финансовый 2 2 32" xfId="1951" xr:uid="{00000000-0005-0000-0000-0000E30B0000}"/>
    <cellStyle name="Финансовый 2 2 33" xfId="1952" xr:uid="{00000000-0005-0000-0000-0000E40B0000}"/>
    <cellStyle name="Финансовый 2 2 34" xfId="1953" xr:uid="{00000000-0005-0000-0000-0000E50B0000}"/>
    <cellStyle name="Финансовый 2 2 35" xfId="1954" xr:uid="{00000000-0005-0000-0000-0000E60B0000}"/>
    <cellStyle name="Финансовый 2 2 36" xfId="1955" xr:uid="{00000000-0005-0000-0000-0000E70B0000}"/>
    <cellStyle name="Финансовый 2 2 4" xfId="1956" xr:uid="{00000000-0005-0000-0000-0000E80B0000}"/>
    <cellStyle name="Финансовый 2 2 5" xfId="1957" xr:uid="{00000000-0005-0000-0000-0000E90B0000}"/>
    <cellStyle name="Финансовый 2 2 6" xfId="1958" xr:uid="{00000000-0005-0000-0000-0000EA0B0000}"/>
    <cellStyle name="Финансовый 2 2 7" xfId="1959" xr:uid="{00000000-0005-0000-0000-0000EB0B0000}"/>
    <cellStyle name="Финансовый 2 2 8" xfId="1960" xr:uid="{00000000-0005-0000-0000-0000EC0B0000}"/>
    <cellStyle name="Финансовый 2 2 9" xfId="1961" xr:uid="{00000000-0005-0000-0000-0000ED0B0000}"/>
    <cellStyle name="Финансовый 2 20" xfId="1962" xr:uid="{00000000-0005-0000-0000-0000EE0B0000}"/>
    <cellStyle name="Финансовый 2 21" xfId="1963" xr:uid="{00000000-0005-0000-0000-0000EF0B0000}"/>
    <cellStyle name="Финансовый 2 22" xfId="1964" xr:uid="{00000000-0005-0000-0000-0000F00B0000}"/>
    <cellStyle name="Финансовый 2 23" xfId="1965" xr:uid="{00000000-0005-0000-0000-0000F10B0000}"/>
    <cellStyle name="Финансовый 2 24" xfId="1966" xr:uid="{00000000-0005-0000-0000-0000F20B0000}"/>
    <cellStyle name="Финансовый 2 25" xfId="1967" xr:uid="{00000000-0005-0000-0000-0000F30B0000}"/>
    <cellStyle name="Финансовый 2 26" xfId="1968" xr:uid="{00000000-0005-0000-0000-0000F40B0000}"/>
    <cellStyle name="Финансовый 2 27" xfId="1969" xr:uid="{00000000-0005-0000-0000-0000F50B0000}"/>
    <cellStyle name="Финансовый 2 28" xfId="1970" xr:uid="{00000000-0005-0000-0000-0000F60B0000}"/>
    <cellStyle name="Финансовый 2 29" xfId="1971" xr:uid="{00000000-0005-0000-0000-0000F70B0000}"/>
    <cellStyle name="Финансовый 2 3" xfId="1972" xr:uid="{00000000-0005-0000-0000-0000F80B0000}"/>
    <cellStyle name="Финансовый 2 30" xfId="1973" xr:uid="{00000000-0005-0000-0000-0000F90B0000}"/>
    <cellStyle name="Финансовый 2 31" xfId="1974" xr:uid="{00000000-0005-0000-0000-0000FA0B0000}"/>
    <cellStyle name="Финансовый 2 32" xfId="1975" xr:uid="{00000000-0005-0000-0000-0000FB0B0000}"/>
    <cellStyle name="Финансовый 2 33" xfId="1976" xr:uid="{00000000-0005-0000-0000-0000FC0B0000}"/>
    <cellStyle name="Финансовый 2 34" xfId="1977" xr:uid="{00000000-0005-0000-0000-0000FD0B0000}"/>
    <cellStyle name="Финансовый 2 35" xfId="1978" xr:uid="{00000000-0005-0000-0000-0000FE0B0000}"/>
    <cellStyle name="Финансовый 2 36" xfId="1979" xr:uid="{00000000-0005-0000-0000-0000FF0B0000}"/>
    <cellStyle name="Финансовый 2 4" xfId="1980" xr:uid="{00000000-0005-0000-0000-0000000C0000}"/>
    <cellStyle name="Финансовый 2 5" xfId="1981" xr:uid="{00000000-0005-0000-0000-0000010C0000}"/>
    <cellStyle name="Финансовый 2 6" xfId="1982" xr:uid="{00000000-0005-0000-0000-0000020C0000}"/>
    <cellStyle name="Финансовый 2 7" xfId="1983" xr:uid="{00000000-0005-0000-0000-0000030C0000}"/>
    <cellStyle name="Финансовый 2 8" xfId="1984" xr:uid="{00000000-0005-0000-0000-0000040C0000}"/>
    <cellStyle name="Финансовый 2 9" xfId="1985" xr:uid="{00000000-0005-0000-0000-0000050C0000}"/>
    <cellStyle name="Финансовый 3" xfId="216" xr:uid="{00000000-0005-0000-0000-0000060C0000}"/>
    <cellStyle name="Финансовый 4" xfId="297" xr:uid="{00000000-0005-0000-0000-0000070C0000}"/>
    <cellStyle name="Финансовый 4 2" xfId="298" xr:uid="{00000000-0005-0000-0000-0000080C0000}"/>
    <cellStyle name="Финансовый 5" xfId="2026" xr:uid="{00000000-0005-0000-0000-0000090C0000}"/>
    <cellStyle name="Хороший 10" xfId="1986" xr:uid="{00000000-0005-0000-0000-00000A0C0000}"/>
    <cellStyle name="Хороший 11" xfId="1987" xr:uid="{00000000-0005-0000-0000-00000B0C0000}"/>
    <cellStyle name="Хороший 12" xfId="1988" xr:uid="{00000000-0005-0000-0000-00000C0C0000}"/>
    <cellStyle name="Хороший 13" xfId="1989" xr:uid="{00000000-0005-0000-0000-00000D0C0000}"/>
    <cellStyle name="Хороший 14" xfId="1990" xr:uid="{00000000-0005-0000-0000-00000E0C0000}"/>
    <cellStyle name="Хороший 15" xfId="1991" xr:uid="{00000000-0005-0000-0000-00000F0C0000}"/>
    <cellStyle name="Хороший 16" xfId="1992" xr:uid="{00000000-0005-0000-0000-0000100C0000}"/>
    <cellStyle name="Хороший 17" xfId="1993" xr:uid="{00000000-0005-0000-0000-0000110C0000}"/>
    <cellStyle name="Хороший 18" xfId="1994" xr:uid="{00000000-0005-0000-0000-0000120C0000}"/>
    <cellStyle name="Хороший 19" xfId="1995" xr:uid="{00000000-0005-0000-0000-0000130C0000}"/>
    <cellStyle name="Хороший 2" xfId="1996" xr:uid="{00000000-0005-0000-0000-0000140C0000}"/>
    <cellStyle name="Хороший 20" xfId="1997" xr:uid="{00000000-0005-0000-0000-0000150C0000}"/>
    <cellStyle name="Хороший 21" xfId="1998" xr:uid="{00000000-0005-0000-0000-0000160C0000}"/>
    <cellStyle name="Хороший 22" xfId="1999" xr:uid="{00000000-0005-0000-0000-0000170C0000}"/>
    <cellStyle name="Хороший 23" xfId="2000" xr:uid="{00000000-0005-0000-0000-0000180C0000}"/>
    <cellStyle name="Хороший 24" xfId="2001" xr:uid="{00000000-0005-0000-0000-0000190C0000}"/>
    <cellStyle name="Хороший 25" xfId="2002" xr:uid="{00000000-0005-0000-0000-00001A0C0000}"/>
    <cellStyle name="Хороший 26" xfId="2003" xr:uid="{00000000-0005-0000-0000-00001B0C0000}"/>
    <cellStyle name="Хороший 27" xfId="2004" xr:uid="{00000000-0005-0000-0000-00001C0C0000}"/>
    <cellStyle name="Хороший 28" xfId="2005" xr:uid="{00000000-0005-0000-0000-00001D0C0000}"/>
    <cellStyle name="Хороший 29" xfId="2006" xr:uid="{00000000-0005-0000-0000-00001E0C0000}"/>
    <cellStyle name="Хороший 3" xfId="2007" xr:uid="{00000000-0005-0000-0000-00001F0C0000}"/>
    <cellStyle name="Хороший 30" xfId="2008" xr:uid="{00000000-0005-0000-0000-0000200C0000}"/>
    <cellStyle name="Хороший 31" xfId="2009" xr:uid="{00000000-0005-0000-0000-0000210C0000}"/>
    <cellStyle name="Хороший 32" xfId="2010" xr:uid="{00000000-0005-0000-0000-0000220C0000}"/>
    <cellStyle name="Хороший 33" xfId="2011" xr:uid="{00000000-0005-0000-0000-0000230C0000}"/>
    <cellStyle name="Хороший 34" xfId="2012" xr:uid="{00000000-0005-0000-0000-0000240C0000}"/>
    <cellStyle name="Хороший 35" xfId="2013" xr:uid="{00000000-0005-0000-0000-0000250C0000}"/>
    <cellStyle name="Хороший 36" xfId="2014" xr:uid="{00000000-0005-0000-0000-0000260C0000}"/>
    <cellStyle name="Хороший 4" xfId="2015" xr:uid="{00000000-0005-0000-0000-0000270C0000}"/>
    <cellStyle name="Хороший 5" xfId="2016" xr:uid="{00000000-0005-0000-0000-0000280C0000}"/>
    <cellStyle name="Хороший 6" xfId="2017" xr:uid="{00000000-0005-0000-0000-0000290C0000}"/>
    <cellStyle name="Хороший 7" xfId="2018" xr:uid="{00000000-0005-0000-0000-00002A0C0000}"/>
    <cellStyle name="Хороший 8" xfId="2019" xr:uid="{00000000-0005-0000-0000-00002B0C0000}"/>
    <cellStyle name="Хороший 9" xfId="2020" xr:uid="{00000000-0005-0000-0000-00002C0C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212DE-E2B6-4172-9BC2-B91E0521F6C0}">
  <sheetPr>
    <tabColor rgb="FF92D050"/>
  </sheetPr>
  <dimension ref="A1:G19"/>
  <sheetViews>
    <sheetView topLeftCell="A4" workbookViewId="0">
      <selection activeCell="B15" sqref="B15"/>
    </sheetView>
  </sheetViews>
  <sheetFormatPr defaultColWidth="9.109375" defaultRowHeight="17.399999999999999"/>
  <cols>
    <col min="1" max="1" width="64" style="165" customWidth="1"/>
    <col min="2" max="3" width="22.6640625" style="186" customWidth="1"/>
    <col min="4" max="4" width="23.88671875" style="165" customWidth="1"/>
    <col min="5" max="5" width="15.88671875" style="165" customWidth="1"/>
    <col min="6" max="6" width="18.33203125" style="165" customWidth="1"/>
    <col min="7" max="7" width="17.5546875" style="165" customWidth="1"/>
    <col min="8" max="9" width="15.88671875" style="165" customWidth="1"/>
    <col min="10" max="16384" width="9.109375" style="165"/>
  </cols>
  <sheetData>
    <row r="1" spans="1:7" ht="31.2" customHeight="1">
      <c r="B1" s="165"/>
      <c r="C1" s="165"/>
      <c r="D1" s="166" t="s">
        <v>17</v>
      </c>
    </row>
    <row r="2" spans="1:7">
      <c r="B2" s="165"/>
      <c r="C2" s="165"/>
      <c r="D2" s="167" t="s">
        <v>200</v>
      </c>
    </row>
    <row r="3" spans="1:7">
      <c r="B3" s="165"/>
      <c r="C3" s="165"/>
      <c r="D3" s="167" t="s">
        <v>0</v>
      </c>
    </row>
    <row r="4" spans="1:7">
      <c r="B4" s="2"/>
      <c r="C4" s="2"/>
      <c r="D4" s="168"/>
    </row>
    <row r="5" spans="1:7" ht="99.3" customHeight="1">
      <c r="A5" s="263" t="s">
        <v>371</v>
      </c>
      <c r="B5" s="263"/>
      <c r="C5" s="263"/>
      <c r="D5" s="263"/>
    </row>
    <row r="6" spans="1:7">
      <c r="B6" s="169"/>
      <c r="C6" s="169"/>
    </row>
    <row r="7" spans="1:7">
      <c r="A7" s="170"/>
      <c r="B7" s="170"/>
      <c r="C7" s="170"/>
      <c r="D7" s="171" t="s">
        <v>192</v>
      </c>
    </row>
    <row r="8" spans="1:7" ht="37.049999999999997" customHeight="1">
      <c r="A8" s="264" t="s">
        <v>193</v>
      </c>
      <c r="B8" s="266" t="s">
        <v>194</v>
      </c>
      <c r="C8" s="267"/>
      <c r="D8" s="268"/>
    </row>
    <row r="9" spans="1:7">
      <c r="A9" s="265"/>
      <c r="B9" s="31" t="s">
        <v>24</v>
      </c>
      <c r="C9" s="31" t="s">
        <v>2</v>
      </c>
      <c r="D9" s="31" t="s">
        <v>3</v>
      </c>
    </row>
    <row r="10" spans="1:7" s="174" customFormat="1" ht="18">
      <c r="A10" s="172" t="s">
        <v>8</v>
      </c>
      <c r="B10" s="173">
        <f t="shared" ref="B10:D10" si="0">+B12</f>
        <v>973786.10000000009</v>
      </c>
      <c r="C10" s="173">
        <f t="shared" si="0"/>
        <v>967965.90000000037</v>
      </c>
      <c r="D10" s="173">
        <f t="shared" si="0"/>
        <v>4.6566128730773926E-10</v>
      </c>
      <c r="G10" s="175"/>
    </row>
    <row r="11" spans="1:7">
      <c r="A11" s="176" t="s">
        <v>31</v>
      </c>
      <c r="B11" s="177"/>
      <c r="C11" s="177"/>
      <c r="D11" s="177"/>
    </row>
    <row r="12" spans="1:7" s="180" customFormat="1" ht="18">
      <c r="A12" s="178" t="s">
        <v>195</v>
      </c>
      <c r="B12" s="179">
        <f t="shared" ref="B12:D12" si="1">+B14</f>
        <v>973786.10000000009</v>
      </c>
      <c r="C12" s="179">
        <f t="shared" si="1"/>
        <v>967965.90000000037</v>
      </c>
      <c r="D12" s="179">
        <f t="shared" si="1"/>
        <v>4.6566128730773926E-10</v>
      </c>
    </row>
    <row r="13" spans="1:7" s="182" customFormat="1">
      <c r="A13" s="176" t="s">
        <v>31</v>
      </c>
      <c r="B13" s="181"/>
      <c r="C13" s="181"/>
      <c r="D13" s="181"/>
    </row>
    <row r="14" spans="1:7" s="182" customFormat="1">
      <c r="A14" s="176" t="s">
        <v>196</v>
      </c>
      <c r="B14" s="181">
        <f t="shared" ref="B14:D14" si="2">+B16</f>
        <v>973786.10000000009</v>
      </c>
      <c r="C14" s="181">
        <f t="shared" si="2"/>
        <v>967965.90000000037</v>
      </c>
      <c r="D14" s="181">
        <f t="shared" si="2"/>
        <v>4.6566128730773926E-10</v>
      </c>
    </row>
    <row r="15" spans="1:7" s="182" customFormat="1">
      <c r="A15" s="176" t="s">
        <v>31</v>
      </c>
      <c r="B15" s="181"/>
      <c r="C15" s="181"/>
      <c r="D15" s="181"/>
    </row>
    <row r="16" spans="1:7" s="182" customFormat="1">
      <c r="A16" s="176" t="s">
        <v>197</v>
      </c>
      <c r="B16" s="181">
        <f t="shared" ref="B16:D16" si="3">+B18</f>
        <v>973786.10000000009</v>
      </c>
      <c r="C16" s="181">
        <f t="shared" si="3"/>
        <v>967965.90000000037</v>
      </c>
      <c r="D16" s="181">
        <f t="shared" si="3"/>
        <v>4.6566128730773926E-10</v>
      </c>
    </row>
    <row r="17" spans="1:4" s="182" customFormat="1">
      <c r="A17" s="176" t="s">
        <v>198</v>
      </c>
      <c r="B17" s="181"/>
      <c r="C17" s="181"/>
      <c r="D17" s="181"/>
    </row>
    <row r="18" spans="1:4" s="185" customFormat="1">
      <c r="A18" s="183" t="s">
        <v>199</v>
      </c>
      <c r="B18" s="184">
        <f>+'Հավելված N 2'!G13</f>
        <v>973786.10000000009</v>
      </c>
      <c r="C18" s="184">
        <f>+'Հավելված N 2'!H13</f>
        <v>967965.90000000037</v>
      </c>
      <c r="D18" s="184">
        <f>+'Հավելված N 2'!I13</f>
        <v>4.6566128730773926E-10</v>
      </c>
    </row>
    <row r="19" spans="1:4">
      <c r="C19" s="224"/>
    </row>
  </sheetData>
  <mergeCells count="3">
    <mergeCell ref="A5:D5"/>
    <mergeCell ref="A8:A9"/>
    <mergeCell ref="B8:D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AX25"/>
  <sheetViews>
    <sheetView tabSelected="1" topLeftCell="A4" zoomScale="70" zoomScaleNormal="70" zoomScaleSheetLayoutView="100" workbookViewId="0">
      <selection activeCell="E18" sqref="E18"/>
    </sheetView>
  </sheetViews>
  <sheetFormatPr defaultColWidth="9.109375" defaultRowHeight="17.399999999999999"/>
  <cols>
    <col min="1" max="1" width="6.77734375" style="15" customWidth="1"/>
    <col min="2" max="2" width="10.44140625" style="15" customWidth="1"/>
    <col min="3" max="3" width="15.21875" style="15" customWidth="1"/>
    <col min="4" max="6" width="46.33203125" style="15" customWidth="1"/>
    <col min="7" max="9" width="16.44140625" style="15" customWidth="1"/>
    <col min="10" max="11" width="12.21875" style="15" customWidth="1"/>
    <col min="12" max="16384" width="9.109375" style="15"/>
  </cols>
  <sheetData>
    <row r="1" spans="1:50" ht="37.35" customHeight="1">
      <c r="F1" s="271" t="s">
        <v>18</v>
      </c>
      <c r="G1" s="271"/>
      <c r="H1" s="271"/>
      <c r="I1" s="271"/>
    </row>
    <row r="2" spans="1:50" ht="17.55" customHeight="1">
      <c r="F2" s="271" t="s">
        <v>53</v>
      </c>
      <c r="G2" s="271"/>
      <c r="H2" s="271"/>
      <c r="I2" s="271"/>
    </row>
    <row r="3" spans="1:50" ht="17.55" customHeight="1">
      <c r="F3" s="271" t="s">
        <v>0</v>
      </c>
      <c r="G3" s="271"/>
      <c r="H3" s="271"/>
      <c r="I3" s="271"/>
    </row>
    <row r="6" spans="1:50" ht="75.900000000000006" customHeight="1">
      <c r="A6" s="272" t="s">
        <v>303</v>
      </c>
      <c r="B6" s="272"/>
      <c r="C6" s="272"/>
      <c r="D6" s="272"/>
      <c r="E6" s="272"/>
      <c r="F6" s="272"/>
      <c r="G6" s="272"/>
      <c r="H6" s="272"/>
      <c r="I6" s="272"/>
    </row>
    <row r="7" spans="1:50" ht="18">
      <c r="A7" s="36"/>
      <c r="B7" s="36"/>
      <c r="C7" s="36"/>
      <c r="D7" s="36"/>
      <c r="E7" s="36"/>
      <c r="F7" s="36"/>
    </row>
    <row r="9" spans="1:50">
      <c r="D9" s="35"/>
      <c r="E9" s="35"/>
      <c r="F9" s="35"/>
      <c r="I9" s="35" t="s">
        <v>9</v>
      </c>
    </row>
    <row r="10" spans="1:50" ht="54.6" customHeight="1">
      <c r="A10" s="273" t="s">
        <v>32</v>
      </c>
      <c r="B10" s="273" t="s">
        <v>1</v>
      </c>
      <c r="C10" s="273"/>
      <c r="D10" s="273" t="s">
        <v>33</v>
      </c>
      <c r="E10" s="273" t="s">
        <v>34</v>
      </c>
      <c r="F10" s="273" t="s">
        <v>35</v>
      </c>
      <c r="G10" s="274" t="s">
        <v>23</v>
      </c>
      <c r="H10" s="275"/>
      <c r="I10" s="276"/>
    </row>
    <row r="11" spans="1:50" ht="17.7" customHeight="1">
      <c r="A11" s="273"/>
      <c r="B11" s="273"/>
      <c r="C11" s="273"/>
      <c r="D11" s="273"/>
      <c r="E11" s="273"/>
      <c r="F11" s="273"/>
      <c r="G11" s="273" t="s">
        <v>36</v>
      </c>
      <c r="H11" s="273" t="s">
        <v>2</v>
      </c>
      <c r="I11" s="273" t="s">
        <v>3</v>
      </c>
    </row>
    <row r="12" spans="1:50" ht="18">
      <c r="A12" s="273"/>
      <c r="B12" s="32" t="s">
        <v>13</v>
      </c>
      <c r="C12" s="32" t="s">
        <v>14</v>
      </c>
      <c r="D12" s="273"/>
      <c r="E12" s="273"/>
      <c r="F12" s="273"/>
      <c r="G12" s="273"/>
      <c r="H12" s="273"/>
      <c r="I12" s="273"/>
    </row>
    <row r="13" spans="1:50" s="37" customFormat="1" ht="25.05" customHeight="1">
      <c r="A13" s="269" t="s">
        <v>37</v>
      </c>
      <c r="B13" s="269"/>
      <c r="C13" s="269"/>
      <c r="D13" s="269"/>
      <c r="E13" s="269"/>
      <c r="F13" s="269"/>
      <c r="G13" s="1">
        <f t="shared" ref="G13:I13" si="0">+G15</f>
        <v>973786.10000000009</v>
      </c>
      <c r="H13" s="1">
        <f t="shared" si="0"/>
        <v>967965.90000000037</v>
      </c>
      <c r="I13" s="1">
        <f t="shared" si="0"/>
        <v>4.6566128730773926E-10</v>
      </c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5"/>
      <c r="AI13" s="45"/>
      <c r="AJ13" s="45"/>
      <c r="AK13" s="45"/>
      <c r="AL13" s="45"/>
      <c r="AM13" s="45"/>
      <c r="AN13" s="45"/>
      <c r="AO13" s="45"/>
      <c r="AP13" s="45"/>
      <c r="AQ13" s="45"/>
      <c r="AR13" s="45"/>
      <c r="AS13" s="45"/>
      <c r="AT13" s="45"/>
      <c r="AU13" s="45"/>
      <c r="AV13" s="45"/>
      <c r="AW13" s="45"/>
      <c r="AX13" s="45"/>
    </row>
    <row r="14" spans="1:50" s="37" customFormat="1" ht="18">
      <c r="A14" s="270" t="s">
        <v>31</v>
      </c>
      <c r="B14" s="270"/>
      <c r="C14" s="270"/>
      <c r="D14" s="270"/>
      <c r="E14" s="270"/>
      <c r="F14" s="270"/>
      <c r="G14" s="1"/>
      <c r="H14" s="1"/>
      <c r="I14" s="1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</row>
    <row r="15" spans="1:50" s="37" customFormat="1" ht="18">
      <c r="A15" s="269" t="s">
        <v>16</v>
      </c>
      <c r="B15" s="269"/>
      <c r="C15" s="269"/>
      <c r="D15" s="269"/>
      <c r="E15" s="269"/>
      <c r="F15" s="269"/>
      <c r="G15" s="1">
        <f>+G16+G18+G20</f>
        <v>973786.10000000009</v>
      </c>
      <c r="H15" s="1">
        <f t="shared" ref="H15:I15" si="1">+H16+H18+H20</f>
        <v>967965.90000000037</v>
      </c>
      <c r="I15" s="1">
        <f t="shared" si="1"/>
        <v>4.6566128730773926E-10</v>
      </c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</row>
    <row r="16" spans="1:50" ht="72">
      <c r="A16" s="33"/>
      <c r="B16" s="47" t="s">
        <v>345</v>
      </c>
      <c r="C16" s="47"/>
      <c r="D16" s="34" t="s">
        <v>346</v>
      </c>
      <c r="E16" s="34" t="s">
        <v>347</v>
      </c>
      <c r="F16" s="34" t="s">
        <v>348</v>
      </c>
      <c r="G16" s="215">
        <f>+G17</f>
        <v>8400</v>
      </c>
      <c r="H16" s="215">
        <f t="shared" ref="G16:I18" si="2">+H17</f>
        <v>0</v>
      </c>
      <c r="I16" s="215">
        <f t="shared" si="2"/>
        <v>0</v>
      </c>
    </row>
    <row r="17" spans="1:9" ht="87">
      <c r="A17" s="33"/>
      <c r="B17" s="31"/>
      <c r="C17" s="31" t="s">
        <v>349</v>
      </c>
      <c r="D17" s="33" t="s">
        <v>323</v>
      </c>
      <c r="E17" s="33" t="s">
        <v>350</v>
      </c>
      <c r="F17" s="33" t="s">
        <v>351</v>
      </c>
      <c r="G17" s="216">
        <f>+'Հավելված N 3'!G26</f>
        <v>8400</v>
      </c>
      <c r="H17" s="216">
        <f>+'Հավելված N 3'!H26</f>
        <v>0</v>
      </c>
      <c r="I17" s="216">
        <f>+'Հավելված N 3'!I26</f>
        <v>0</v>
      </c>
    </row>
    <row r="18" spans="1:9" ht="144.6" customHeight="1">
      <c r="A18" s="33"/>
      <c r="B18" s="47" t="s">
        <v>276</v>
      </c>
      <c r="C18" s="47"/>
      <c r="D18" s="34" t="s">
        <v>277</v>
      </c>
      <c r="E18" s="34" t="s">
        <v>278</v>
      </c>
      <c r="F18" s="34" t="s">
        <v>279</v>
      </c>
      <c r="G18" s="215">
        <f t="shared" si="2"/>
        <v>12676.5</v>
      </c>
      <c r="H18" s="215">
        <f t="shared" si="2"/>
        <v>12676.5</v>
      </c>
      <c r="I18" s="215">
        <f t="shared" si="2"/>
        <v>12676.5</v>
      </c>
    </row>
    <row r="19" spans="1:9" ht="69.599999999999994">
      <c r="A19" s="33"/>
      <c r="B19" s="31"/>
      <c r="C19" s="31" t="s">
        <v>280</v>
      </c>
      <c r="D19" s="33" t="s">
        <v>281</v>
      </c>
      <c r="E19" s="33" t="s">
        <v>282</v>
      </c>
      <c r="F19" s="33" t="s">
        <v>283</v>
      </c>
      <c r="G19" s="216">
        <f>+'Հավելված N 3'!G212</f>
        <v>12676.5</v>
      </c>
      <c r="H19" s="216">
        <f>+'Հավելված N 3'!H212</f>
        <v>12676.5</v>
      </c>
      <c r="I19" s="216">
        <f>+'Հավելված N 3'!I212</f>
        <v>12676.5</v>
      </c>
    </row>
    <row r="20" spans="1:9" ht="90">
      <c r="A20" s="33"/>
      <c r="B20" s="47">
        <v>1236</v>
      </c>
      <c r="C20" s="47"/>
      <c r="D20" s="34" t="s">
        <v>187</v>
      </c>
      <c r="E20" s="34" t="s">
        <v>188</v>
      </c>
      <c r="F20" s="34" t="s">
        <v>189</v>
      </c>
      <c r="G20" s="215">
        <f>SUM(G21:G25)</f>
        <v>952709.60000000009</v>
      </c>
      <c r="H20" s="215">
        <f t="shared" ref="H20:I20" si="3">SUM(H21:H25)</f>
        <v>955289.40000000037</v>
      </c>
      <c r="I20" s="215">
        <f t="shared" si="3"/>
        <v>-12676.499999999534</v>
      </c>
    </row>
    <row r="21" spans="1:9" ht="87">
      <c r="A21" s="33"/>
      <c r="B21" s="31"/>
      <c r="C21" s="31" t="s">
        <v>364</v>
      </c>
      <c r="D21" s="33" t="s">
        <v>365</v>
      </c>
      <c r="E21" s="33" t="s">
        <v>366</v>
      </c>
      <c r="F21" s="33" t="s">
        <v>283</v>
      </c>
      <c r="G21" s="216">
        <f>+'Հավելված N 3'!G166</f>
        <v>379124.9</v>
      </c>
      <c r="H21" s="216">
        <f>+'Հավելված N 3'!H166</f>
        <v>509124.89999999997</v>
      </c>
      <c r="I21" s="216">
        <f>+'Հավելված N 3'!I166</f>
        <v>509124.89999999997</v>
      </c>
    </row>
    <row r="22" spans="1:9" ht="104.4">
      <c r="A22" s="33"/>
      <c r="B22" s="31"/>
      <c r="C22" s="31" t="s">
        <v>270</v>
      </c>
      <c r="D22" s="33" t="s">
        <v>233</v>
      </c>
      <c r="E22" s="33" t="s">
        <v>271</v>
      </c>
      <c r="F22" s="33" t="s">
        <v>65</v>
      </c>
      <c r="G22" s="216">
        <f>+'Հավելված N 3'!G52</f>
        <v>1600000</v>
      </c>
      <c r="H22" s="216">
        <f>+'Հավելված N 3'!H52</f>
        <v>2600000</v>
      </c>
      <c r="I22" s="216">
        <f>+'Հավելված N 3'!I52</f>
        <v>3500000</v>
      </c>
    </row>
    <row r="23" spans="1:9" ht="104.4">
      <c r="A23" s="33"/>
      <c r="B23" s="31"/>
      <c r="C23" s="31" t="s">
        <v>186</v>
      </c>
      <c r="D23" s="33" t="s">
        <v>190</v>
      </c>
      <c r="E23" s="33" t="s">
        <v>191</v>
      </c>
      <c r="F23" s="33" t="s">
        <v>65</v>
      </c>
      <c r="G23" s="216">
        <f>+'Հավելված N 3'!G68</f>
        <v>952709.6</v>
      </c>
      <c r="H23" s="216">
        <f>+'Հավելված N 3'!H68</f>
        <v>955289.40000000037</v>
      </c>
      <c r="I23" s="216">
        <f>+'Հավելված N 3'!I68</f>
        <v>-12676.499999999534</v>
      </c>
    </row>
    <row r="24" spans="1:9" ht="121.8">
      <c r="A24" s="33"/>
      <c r="B24" s="31"/>
      <c r="C24" s="31" t="s">
        <v>272</v>
      </c>
      <c r="D24" s="33" t="s">
        <v>238</v>
      </c>
      <c r="E24" s="33" t="s">
        <v>273</v>
      </c>
      <c r="F24" s="33" t="s">
        <v>65</v>
      </c>
      <c r="G24" s="216">
        <f>+'Հավելված N 3'!G175</f>
        <v>-600000</v>
      </c>
      <c r="H24" s="216">
        <f>+'Հավելված N 3'!H175</f>
        <v>-1000000</v>
      </c>
      <c r="I24" s="216">
        <f>+'Հավելված N 3'!I175</f>
        <v>-1250000</v>
      </c>
    </row>
    <row r="25" spans="1:9" ht="104.4">
      <c r="A25" s="33"/>
      <c r="B25" s="31"/>
      <c r="C25" s="31" t="s">
        <v>274</v>
      </c>
      <c r="D25" s="33" t="s">
        <v>234</v>
      </c>
      <c r="E25" s="33" t="s">
        <v>275</v>
      </c>
      <c r="F25" s="33" t="s">
        <v>65</v>
      </c>
      <c r="G25" s="216">
        <f>+'Հավելված N 3'!G184</f>
        <v>-1379124.9</v>
      </c>
      <c r="H25" s="216">
        <f>+'Հավելված N 3'!H184</f>
        <v>-2109124.9</v>
      </c>
      <c r="I25" s="216">
        <f>+'Հավելված N 3'!I184</f>
        <v>-2759124.9</v>
      </c>
    </row>
  </sheetData>
  <mergeCells count="16">
    <mergeCell ref="A15:F15"/>
    <mergeCell ref="A14:F14"/>
    <mergeCell ref="F1:I1"/>
    <mergeCell ref="F3:I3"/>
    <mergeCell ref="F2:I2"/>
    <mergeCell ref="A13:F13"/>
    <mergeCell ref="A6:I6"/>
    <mergeCell ref="D10:D12"/>
    <mergeCell ref="E10:E12"/>
    <mergeCell ref="F10:F12"/>
    <mergeCell ref="B10:C11"/>
    <mergeCell ref="A10:A12"/>
    <mergeCell ref="G11:G12"/>
    <mergeCell ref="H11:H12"/>
    <mergeCell ref="G10:I10"/>
    <mergeCell ref="I11:I12"/>
  </mergeCells>
  <pageMargins left="0" right="0" top="0" bottom="0" header="0.3" footer="0.3"/>
  <pageSetup paperSize="9" scale="7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J220"/>
  <sheetViews>
    <sheetView topLeftCell="A208" zoomScale="70" zoomScaleNormal="70" zoomScaleSheetLayoutView="100" workbookViewId="0">
      <selection activeCell="F220" sqref="F220"/>
    </sheetView>
  </sheetViews>
  <sheetFormatPr defaultColWidth="9.109375" defaultRowHeight="17.399999999999999"/>
  <cols>
    <col min="1" max="3" width="8.109375" style="2" customWidth="1"/>
    <col min="4" max="4" width="11.5546875" style="2" customWidth="1"/>
    <col min="5" max="5" width="13.88671875" style="2" customWidth="1"/>
    <col min="6" max="6" width="62.109375" style="2" customWidth="1"/>
    <col min="7" max="9" width="19.6640625" style="2" customWidth="1"/>
    <col min="10" max="12" width="15" style="2" customWidth="1"/>
    <col min="13" max="16384" width="9.109375" style="2"/>
  </cols>
  <sheetData>
    <row r="1" spans="1:9" s="52" customFormat="1" ht="37.5" customHeight="1">
      <c r="F1" s="277" t="s">
        <v>20</v>
      </c>
      <c r="G1" s="277"/>
      <c r="H1" s="277"/>
      <c r="I1" s="277"/>
    </row>
    <row r="2" spans="1:9" s="53" customFormat="1" ht="17.55" customHeight="1">
      <c r="F2" s="278" t="s">
        <v>53</v>
      </c>
      <c r="G2" s="278"/>
      <c r="H2" s="278"/>
      <c r="I2" s="278"/>
    </row>
    <row r="3" spans="1:9" s="53" customFormat="1" ht="17.55" customHeight="1">
      <c r="F3" s="278" t="s">
        <v>0</v>
      </c>
      <c r="G3" s="278"/>
      <c r="H3" s="278"/>
      <c r="I3" s="278"/>
    </row>
    <row r="4" spans="1:9" ht="13.65" customHeight="1"/>
    <row r="5" spans="1:9" ht="13.65" customHeight="1"/>
    <row r="6" spans="1:9" ht="13.65" customHeight="1"/>
    <row r="7" spans="1:9" ht="52.5" customHeight="1">
      <c r="A7" s="279" t="s">
        <v>284</v>
      </c>
      <c r="B7" s="279"/>
      <c r="C7" s="279"/>
      <c r="D7" s="279"/>
      <c r="E7" s="279"/>
      <c r="F7" s="279"/>
      <c r="G7" s="279"/>
      <c r="H7" s="279"/>
      <c r="I7" s="279"/>
    </row>
    <row r="8" spans="1:9" ht="18">
      <c r="A8" s="54"/>
      <c r="B8" s="54"/>
      <c r="C8" s="54"/>
      <c r="D8" s="54"/>
      <c r="E8" s="54"/>
      <c r="F8" s="54"/>
      <c r="G8" s="54"/>
      <c r="H8" s="54"/>
      <c r="I8" s="54"/>
    </row>
    <row r="10" spans="1:9">
      <c r="G10" s="53"/>
      <c r="I10" s="53" t="s">
        <v>9</v>
      </c>
    </row>
    <row r="11" spans="1:9" s="9" customFormat="1" ht="55.2" customHeight="1">
      <c r="A11" s="280" t="s">
        <v>10</v>
      </c>
      <c r="B11" s="280"/>
      <c r="C11" s="280"/>
      <c r="D11" s="280" t="s">
        <v>1</v>
      </c>
      <c r="E11" s="280"/>
      <c r="F11" s="280" t="s">
        <v>5</v>
      </c>
      <c r="G11" s="274" t="s">
        <v>23</v>
      </c>
      <c r="H11" s="275"/>
      <c r="I11" s="276"/>
    </row>
    <row r="12" spans="1:9" s="9" customFormat="1" ht="34.799999999999997">
      <c r="A12" s="55" t="s">
        <v>21</v>
      </c>
      <c r="B12" s="55" t="s">
        <v>22</v>
      </c>
      <c r="C12" s="55" t="s">
        <v>11</v>
      </c>
      <c r="D12" s="55" t="s">
        <v>4</v>
      </c>
      <c r="E12" s="55" t="s">
        <v>14</v>
      </c>
      <c r="F12" s="280"/>
      <c r="G12" s="55" t="s">
        <v>24</v>
      </c>
      <c r="H12" s="55" t="s">
        <v>2</v>
      </c>
      <c r="I12" s="55" t="s">
        <v>3</v>
      </c>
    </row>
    <row r="13" spans="1:9" s="9" customFormat="1" ht="34.950000000000003" customHeight="1">
      <c r="A13" s="8"/>
      <c r="B13" s="8"/>
      <c r="C13" s="8"/>
      <c r="D13" s="55"/>
      <c r="E13" s="55"/>
      <c r="F13" s="14" t="s">
        <v>8</v>
      </c>
      <c r="G13" s="7">
        <f t="shared" ref="G13:I13" si="0">+G15</f>
        <v>973786.10000000009</v>
      </c>
      <c r="H13" s="7">
        <f t="shared" si="0"/>
        <v>967965.90000000037</v>
      </c>
      <c r="I13" s="7">
        <f t="shared" si="0"/>
        <v>4.6566128730773926E-10</v>
      </c>
    </row>
    <row r="14" spans="1:9" s="9" customFormat="1" ht="18">
      <c r="A14" s="8"/>
      <c r="B14" s="8"/>
      <c r="C14" s="8"/>
      <c r="D14" s="55"/>
      <c r="E14" s="55"/>
      <c r="F14" s="8" t="s">
        <v>26</v>
      </c>
      <c r="G14" s="1"/>
      <c r="H14" s="1"/>
      <c r="I14" s="1"/>
    </row>
    <row r="15" spans="1:9" s="9" customFormat="1" ht="36">
      <c r="A15" s="8"/>
      <c r="B15" s="8"/>
      <c r="C15" s="8"/>
      <c r="D15" s="55"/>
      <c r="E15" s="55"/>
      <c r="F15" s="3" t="s">
        <v>16</v>
      </c>
      <c r="G15" s="1">
        <f>+G16+G42</f>
        <v>973786.10000000009</v>
      </c>
      <c r="H15" s="1">
        <f t="shared" ref="H15:I15" si="1">+H16+H42</f>
        <v>967965.90000000037</v>
      </c>
      <c r="I15" s="1">
        <f t="shared" si="1"/>
        <v>4.6566128730773926E-10</v>
      </c>
    </row>
    <row r="16" spans="1:9" s="9" customFormat="1" ht="17.55" customHeight="1">
      <c r="A16" s="290" t="s">
        <v>339</v>
      </c>
      <c r="B16" s="293"/>
      <c r="C16" s="20"/>
      <c r="D16" s="23"/>
      <c r="E16" s="20"/>
      <c r="F16" s="226" t="s">
        <v>340</v>
      </c>
      <c r="G16" s="1">
        <f>+G18</f>
        <v>8400</v>
      </c>
      <c r="H16" s="1">
        <f t="shared" ref="H16:I16" si="2">+H18</f>
        <v>0</v>
      </c>
      <c r="I16" s="1">
        <f t="shared" si="2"/>
        <v>0</v>
      </c>
    </row>
    <row r="17" spans="1:9" s="9" customFormat="1" ht="16.95" customHeight="1">
      <c r="A17" s="291"/>
      <c r="B17" s="293"/>
      <c r="C17" s="21"/>
      <c r="D17" s="24"/>
      <c r="E17" s="21"/>
      <c r="F17" s="49" t="s">
        <v>6</v>
      </c>
      <c r="G17" s="4"/>
      <c r="H17" s="5"/>
      <c r="I17" s="4"/>
    </row>
    <row r="18" spans="1:9" s="9" customFormat="1" ht="18">
      <c r="A18" s="291"/>
      <c r="B18" s="290" t="s">
        <v>28</v>
      </c>
      <c r="C18" s="162"/>
      <c r="D18" s="24"/>
      <c r="E18" s="21"/>
      <c r="F18" s="226" t="s">
        <v>341</v>
      </c>
      <c r="G18" s="5">
        <f t="shared" ref="G18:I18" si="3">+G20</f>
        <v>8400</v>
      </c>
      <c r="H18" s="5">
        <f t="shared" si="3"/>
        <v>0</v>
      </c>
      <c r="I18" s="5">
        <f t="shared" si="3"/>
        <v>0</v>
      </c>
    </row>
    <row r="19" spans="1:9" s="9" customFormat="1" ht="18">
      <c r="A19" s="291"/>
      <c r="B19" s="291"/>
      <c r="C19" s="162"/>
      <c r="D19" s="24"/>
      <c r="E19" s="21"/>
      <c r="F19" s="49" t="s">
        <v>6</v>
      </c>
      <c r="G19" s="4"/>
      <c r="H19" s="5"/>
      <c r="I19" s="4"/>
    </row>
    <row r="20" spans="1:9" s="9" customFormat="1" ht="18">
      <c r="A20" s="291"/>
      <c r="B20" s="291"/>
      <c r="C20" s="290" t="s">
        <v>28</v>
      </c>
      <c r="D20" s="163"/>
      <c r="E20" s="21"/>
      <c r="F20" s="226" t="s">
        <v>341</v>
      </c>
      <c r="G20" s="5">
        <f>+G22</f>
        <v>8400</v>
      </c>
      <c r="H20" s="5">
        <f t="shared" ref="H20:I20" si="4">+H22</f>
        <v>0</v>
      </c>
      <c r="I20" s="5">
        <f t="shared" si="4"/>
        <v>0</v>
      </c>
    </row>
    <row r="21" spans="1:9" s="9" customFormat="1" ht="16.95" customHeight="1">
      <c r="A21" s="291"/>
      <c r="B21" s="291"/>
      <c r="C21" s="291"/>
      <c r="D21" s="163"/>
      <c r="E21" s="21"/>
      <c r="F21" s="49" t="s">
        <v>6</v>
      </c>
      <c r="G21" s="10"/>
      <c r="H21" s="5"/>
      <c r="I21" s="10"/>
    </row>
    <row r="22" spans="1:9" s="9" customFormat="1" ht="34.799999999999997">
      <c r="A22" s="291"/>
      <c r="B22" s="291"/>
      <c r="C22" s="291"/>
      <c r="D22" s="163"/>
      <c r="E22" s="21"/>
      <c r="F22" s="50" t="s">
        <v>12</v>
      </c>
      <c r="G22" s="5">
        <f>+G24</f>
        <v>8400</v>
      </c>
      <c r="H22" s="5">
        <f t="shared" ref="H22:I22" si="5">+H24</f>
        <v>0</v>
      </c>
      <c r="I22" s="5">
        <f t="shared" si="5"/>
        <v>0</v>
      </c>
    </row>
    <row r="23" spans="1:9" s="9" customFormat="1" ht="16.95" customHeight="1">
      <c r="A23" s="291"/>
      <c r="B23" s="291"/>
      <c r="C23" s="291"/>
      <c r="D23" s="164"/>
      <c r="E23" s="25"/>
      <c r="F23" s="49" t="s">
        <v>6</v>
      </c>
      <c r="G23" s="5"/>
      <c r="H23" s="5"/>
      <c r="I23" s="5"/>
    </row>
    <row r="24" spans="1:9" s="9" customFormat="1" ht="18">
      <c r="A24" s="291"/>
      <c r="B24" s="291"/>
      <c r="C24" s="291"/>
      <c r="D24" s="58">
        <v>1041</v>
      </c>
      <c r="E24" s="281" t="s">
        <v>342</v>
      </c>
      <c r="F24" s="281"/>
      <c r="G24" s="1">
        <f>+G26</f>
        <v>8400</v>
      </c>
      <c r="H24" s="1">
        <f t="shared" ref="H24:I24" si="6">+H26</f>
        <v>0</v>
      </c>
      <c r="I24" s="1">
        <f t="shared" si="6"/>
        <v>0</v>
      </c>
    </row>
    <row r="25" spans="1:9" s="9" customFormat="1" ht="16.95" customHeight="1">
      <c r="A25" s="291"/>
      <c r="B25" s="291"/>
      <c r="C25" s="291"/>
      <c r="D25" s="231"/>
      <c r="E25" s="46"/>
      <c r="F25" s="49" t="s">
        <v>6</v>
      </c>
      <c r="G25" s="1"/>
      <c r="H25" s="1"/>
      <c r="I25" s="1"/>
    </row>
    <row r="26" spans="1:9" s="9" customFormat="1" ht="37.799999999999997" customHeight="1">
      <c r="A26" s="291"/>
      <c r="B26" s="291"/>
      <c r="C26" s="291"/>
      <c r="D26" s="303"/>
      <c r="E26" s="65">
        <v>21001</v>
      </c>
      <c r="F26" s="48" t="s">
        <v>323</v>
      </c>
      <c r="G26" s="11">
        <f>+G28+G35</f>
        <v>8400</v>
      </c>
      <c r="H26" s="11">
        <f t="shared" ref="H26:I26" si="7">+H28+H35</f>
        <v>0</v>
      </c>
      <c r="I26" s="11">
        <f t="shared" si="7"/>
        <v>0</v>
      </c>
    </row>
    <row r="27" spans="1:9" s="9" customFormat="1" ht="16.2" customHeight="1">
      <c r="A27" s="291"/>
      <c r="B27" s="291"/>
      <c r="C27" s="291"/>
      <c r="D27" s="304"/>
      <c r="E27" s="161"/>
      <c r="F27" s="49" t="s">
        <v>15</v>
      </c>
      <c r="G27" s="4"/>
      <c r="H27" s="5"/>
      <c r="I27" s="4"/>
    </row>
    <row r="28" spans="1:9" s="12" customFormat="1" ht="36.6" customHeight="1">
      <c r="A28" s="291"/>
      <c r="B28" s="291"/>
      <c r="C28" s="291"/>
      <c r="D28" s="304"/>
      <c r="E28" s="159"/>
      <c r="F28" s="29" t="s">
        <v>12</v>
      </c>
      <c r="G28" s="26">
        <f t="shared" ref="G28:I28" si="8">+G30</f>
        <v>0</v>
      </c>
      <c r="H28" s="26">
        <f t="shared" si="8"/>
        <v>-8400</v>
      </c>
      <c r="I28" s="26">
        <f t="shared" si="8"/>
        <v>-8400</v>
      </c>
    </row>
    <row r="29" spans="1:9" s="9" customFormat="1" ht="34.799999999999997">
      <c r="A29" s="291"/>
      <c r="B29" s="291"/>
      <c r="C29" s="291"/>
      <c r="D29" s="304"/>
      <c r="E29" s="159"/>
      <c r="F29" s="49" t="s">
        <v>63</v>
      </c>
      <c r="G29" s="4"/>
      <c r="H29" s="27"/>
      <c r="I29" s="4"/>
    </row>
    <row r="30" spans="1:9" s="9" customFormat="1" ht="16.95" customHeight="1">
      <c r="A30" s="291"/>
      <c r="B30" s="291"/>
      <c r="C30" s="291"/>
      <c r="D30" s="304"/>
      <c r="E30" s="159"/>
      <c r="F30" s="57" t="s">
        <v>7</v>
      </c>
      <c r="G30" s="5">
        <f t="shared" ref="G30:I30" si="9">G31</f>
        <v>0</v>
      </c>
      <c r="H30" s="5">
        <f t="shared" si="9"/>
        <v>-8400</v>
      </c>
      <c r="I30" s="5">
        <f t="shared" si="9"/>
        <v>-8400</v>
      </c>
    </row>
    <row r="31" spans="1:9" s="9" customFormat="1" ht="16.95" customHeight="1">
      <c r="A31" s="291"/>
      <c r="B31" s="291"/>
      <c r="C31" s="291"/>
      <c r="D31" s="304"/>
      <c r="E31" s="159"/>
      <c r="F31" s="49" t="s">
        <v>61</v>
      </c>
      <c r="G31" s="6">
        <f t="shared" ref="G31:I33" si="10">+G32</f>
        <v>0</v>
      </c>
      <c r="H31" s="6">
        <f t="shared" si="10"/>
        <v>-8400</v>
      </c>
      <c r="I31" s="6">
        <f t="shared" si="10"/>
        <v>-8400</v>
      </c>
    </row>
    <row r="32" spans="1:9" s="9" customFormat="1" ht="16.2" customHeight="1">
      <c r="A32" s="291"/>
      <c r="B32" s="291"/>
      <c r="C32" s="291"/>
      <c r="D32" s="304"/>
      <c r="E32" s="159"/>
      <c r="F32" s="49" t="s">
        <v>62</v>
      </c>
      <c r="G32" s="6">
        <f t="shared" si="10"/>
        <v>0</v>
      </c>
      <c r="H32" s="6">
        <f t="shared" si="10"/>
        <v>-8400</v>
      </c>
      <c r="I32" s="6">
        <f t="shared" si="10"/>
        <v>-8400</v>
      </c>
    </row>
    <row r="33" spans="1:10" s="9" customFormat="1" ht="16.2" customHeight="1">
      <c r="A33" s="291"/>
      <c r="B33" s="291"/>
      <c r="C33" s="291"/>
      <c r="D33" s="304"/>
      <c r="E33" s="159"/>
      <c r="F33" s="49" t="s">
        <v>343</v>
      </c>
      <c r="G33" s="22">
        <f t="shared" si="10"/>
        <v>0</v>
      </c>
      <c r="H33" s="22">
        <f t="shared" si="10"/>
        <v>-8400</v>
      </c>
      <c r="I33" s="22">
        <f t="shared" si="10"/>
        <v>-8400</v>
      </c>
      <c r="J33" s="13"/>
    </row>
    <row r="34" spans="1:10" s="9" customFormat="1" ht="18">
      <c r="A34" s="291"/>
      <c r="B34" s="291"/>
      <c r="C34" s="291"/>
      <c r="D34" s="304"/>
      <c r="E34" s="160"/>
      <c r="F34" s="51" t="s">
        <v>344</v>
      </c>
      <c r="G34" s="22">
        <f>+'Հավելված N 5'!E15</f>
        <v>0</v>
      </c>
      <c r="H34" s="22">
        <f>+'Հավելված N 5'!F15</f>
        <v>-8400</v>
      </c>
      <c r="I34" s="22">
        <f>+'Հավելված N 5'!G15</f>
        <v>-8400</v>
      </c>
      <c r="J34" s="13"/>
    </row>
    <row r="35" spans="1:10" s="12" customFormat="1" ht="36.6" customHeight="1">
      <c r="A35" s="291"/>
      <c r="B35" s="291"/>
      <c r="C35" s="291"/>
      <c r="D35" s="304"/>
      <c r="E35" s="159"/>
      <c r="F35" s="29" t="s">
        <v>237</v>
      </c>
      <c r="G35" s="26">
        <f t="shared" ref="G35:I35" si="11">+G37</f>
        <v>8400</v>
      </c>
      <c r="H35" s="26">
        <f t="shared" si="11"/>
        <v>8400</v>
      </c>
      <c r="I35" s="26">
        <f t="shared" si="11"/>
        <v>8400</v>
      </c>
    </row>
    <row r="36" spans="1:10" s="9" customFormat="1" ht="34.799999999999997">
      <c r="A36" s="291"/>
      <c r="B36" s="291"/>
      <c r="C36" s="291"/>
      <c r="D36" s="304"/>
      <c r="E36" s="159"/>
      <c r="F36" s="49" t="s">
        <v>63</v>
      </c>
      <c r="G36" s="4"/>
      <c r="H36" s="27"/>
      <c r="I36" s="4"/>
    </row>
    <row r="37" spans="1:10" s="9" customFormat="1" ht="16.95" customHeight="1">
      <c r="A37" s="291"/>
      <c r="B37" s="291"/>
      <c r="C37" s="291"/>
      <c r="D37" s="304"/>
      <c r="E37" s="159"/>
      <c r="F37" s="57" t="s">
        <v>7</v>
      </c>
      <c r="G37" s="5">
        <f t="shared" ref="G37:I37" si="12">G38</f>
        <v>8400</v>
      </c>
      <c r="H37" s="5">
        <f t="shared" si="12"/>
        <v>8400</v>
      </c>
      <c r="I37" s="5">
        <f t="shared" si="12"/>
        <v>8400</v>
      </c>
    </row>
    <row r="38" spans="1:10" s="9" customFormat="1" ht="16.95" customHeight="1">
      <c r="A38" s="291"/>
      <c r="B38" s="291"/>
      <c r="C38" s="291"/>
      <c r="D38" s="304"/>
      <c r="E38" s="159"/>
      <c r="F38" s="49" t="s">
        <v>256</v>
      </c>
      <c r="G38" s="6">
        <f t="shared" ref="G38:I40" si="13">+G39</f>
        <v>8400</v>
      </c>
      <c r="H38" s="6">
        <f t="shared" si="13"/>
        <v>8400</v>
      </c>
      <c r="I38" s="6">
        <f t="shared" si="13"/>
        <v>8400</v>
      </c>
    </row>
    <row r="39" spans="1:10" s="9" customFormat="1" ht="16.2" customHeight="1">
      <c r="A39" s="291"/>
      <c r="B39" s="291"/>
      <c r="C39" s="291"/>
      <c r="D39" s="304"/>
      <c r="E39" s="159"/>
      <c r="F39" s="49" t="s">
        <v>315</v>
      </c>
      <c r="G39" s="6">
        <f t="shared" si="13"/>
        <v>8400</v>
      </c>
      <c r="H39" s="6">
        <f t="shared" si="13"/>
        <v>8400</v>
      </c>
      <c r="I39" s="6">
        <f t="shared" si="13"/>
        <v>8400</v>
      </c>
    </row>
    <row r="40" spans="1:10" s="9" customFormat="1" ht="16.2" customHeight="1">
      <c r="A40" s="291"/>
      <c r="B40" s="291"/>
      <c r="C40" s="291"/>
      <c r="D40" s="304"/>
      <c r="E40" s="159"/>
      <c r="F40" s="49" t="s">
        <v>316</v>
      </c>
      <c r="G40" s="22">
        <f t="shared" si="13"/>
        <v>8400</v>
      </c>
      <c r="H40" s="22">
        <f t="shared" si="13"/>
        <v>8400</v>
      </c>
      <c r="I40" s="22">
        <f t="shared" si="13"/>
        <v>8400</v>
      </c>
      <c r="J40" s="13"/>
    </row>
    <row r="41" spans="1:10" s="9" customFormat="1" ht="18">
      <c r="A41" s="292"/>
      <c r="B41" s="292"/>
      <c r="C41" s="292"/>
      <c r="D41" s="305"/>
      <c r="E41" s="160"/>
      <c r="F41" s="51" t="s">
        <v>317</v>
      </c>
      <c r="G41" s="22">
        <f>+I41</f>
        <v>8400</v>
      </c>
      <c r="H41" s="22">
        <f>+I41</f>
        <v>8400</v>
      </c>
      <c r="I41" s="22">
        <f>+'Հավելված N 9'!I33</f>
        <v>8400</v>
      </c>
      <c r="J41" s="13"/>
    </row>
    <row r="42" spans="1:10" s="9" customFormat="1" ht="17.55" customHeight="1">
      <c r="A42" s="282" t="s">
        <v>27</v>
      </c>
      <c r="B42" s="293"/>
      <c r="C42" s="20"/>
      <c r="D42" s="23"/>
      <c r="E42" s="20"/>
      <c r="F42" s="56" t="s">
        <v>29</v>
      </c>
      <c r="G42" s="1">
        <f>+G44+G158+G204</f>
        <v>965386.10000000009</v>
      </c>
      <c r="H42" s="1">
        <f>+H44+H158+H204</f>
        <v>967965.90000000037</v>
      </c>
      <c r="I42" s="1">
        <f>+I44+I158+I204</f>
        <v>4.6566128730773926E-10</v>
      </c>
    </row>
    <row r="43" spans="1:10" s="9" customFormat="1" ht="16.95" customHeight="1">
      <c r="A43" s="282"/>
      <c r="B43" s="293"/>
      <c r="C43" s="21"/>
      <c r="D43" s="24"/>
      <c r="E43" s="21"/>
      <c r="F43" s="49" t="s">
        <v>6</v>
      </c>
      <c r="G43" s="4"/>
      <c r="H43" s="5"/>
      <c r="I43" s="4"/>
    </row>
    <row r="44" spans="1:10" s="9" customFormat="1" ht="36">
      <c r="A44" s="282"/>
      <c r="B44" s="297" t="s">
        <v>28</v>
      </c>
      <c r="C44" s="162"/>
      <c r="D44" s="24"/>
      <c r="E44" s="21"/>
      <c r="F44" s="56" t="s">
        <v>97</v>
      </c>
      <c r="G44" s="5">
        <f t="shared" ref="G44:I44" si="14">+G46</f>
        <v>2552709.6</v>
      </c>
      <c r="H44" s="5">
        <f t="shared" si="14"/>
        <v>3555289.4000000004</v>
      </c>
      <c r="I44" s="5">
        <f t="shared" si="14"/>
        <v>3487323.5000000005</v>
      </c>
    </row>
    <row r="45" spans="1:10" s="9" customFormat="1" ht="18">
      <c r="A45" s="282"/>
      <c r="B45" s="298"/>
      <c r="C45" s="162"/>
      <c r="D45" s="24"/>
      <c r="E45" s="21"/>
      <c r="F45" s="49" t="s">
        <v>6</v>
      </c>
      <c r="G45" s="4"/>
      <c r="H45" s="5"/>
      <c r="I45" s="4"/>
    </row>
    <row r="46" spans="1:10" s="9" customFormat="1" ht="18">
      <c r="A46" s="282"/>
      <c r="B46" s="298"/>
      <c r="C46" s="290" t="s">
        <v>28</v>
      </c>
      <c r="D46" s="163"/>
      <c r="E46" s="21"/>
      <c r="F46" s="56" t="s">
        <v>98</v>
      </c>
      <c r="G46" s="5">
        <f t="shared" ref="G46:I46" si="15">+G48</f>
        <v>2552709.6</v>
      </c>
      <c r="H46" s="5">
        <f t="shared" si="15"/>
        <v>3555289.4000000004</v>
      </c>
      <c r="I46" s="5">
        <f t="shared" si="15"/>
        <v>3487323.5000000005</v>
      </c>
    </row>
    <row r="47" spans="1:10" s="9" customFormat="1" ht="16.95" customHeight="1">
      <c r="A47" s="282"/>
      <c r="B47" s="298"/>
      <c r="C47" s="291"/>
      <c r="D47" s="163"/>
      <c r="E47" s="21"/>
      <c r="F47" s="49" t="s">
        <v>6</v>
      </c>
      <c r="G47" s="10"/>
      <c r="H47" s="5"/>
      <c r="I47" s="10"/>
    </row>
    <row r="48" spans="1:10" s="9" customFormat="1" ht="34.799999999999997">
      <c r="A48" s="282"/>
      <c r="B48" s="298"/>
      <c r="C48" s="291"/>
      <c r="D48" s="163"/>
      <c r="E48" s="21"/>
      <c r="F48" s="50" t="s">
        <v>12</v>
      </c>
      <c r="G48" s="5">
        <f t="shared" ref="G48:I48" si="16">+G50</f>
        <v>2552709.6</v>
      </c>
      <c r="H48" s="5">
        <f t="shared" si="16"/>
        <v>3555289.4000000004</v>
      </c>
      <c r="I48" s="5">
        <f t="shared" si="16"/>
        <v>3487323.5000000005</v>
      </c>
    </row>
    <row r="49" spans="1:10" s="9" customFormat="1" ht="16.95" customHeight="1">
      <c r="A49" s="282"/>
      <c r="B49" s="298"/>
      <c r="C49" s="291"/>
      <c r="D49" s="164"/>
      <c r="E49" s="25"/>
      <c r="F49" s="49" t="s">
        <v>6</v>
      </c>
      <c r="G49" s="5"/>
      <c r="H49" s="5"/>
      <c r="I49" s="5"/>
    </row>
    <row r="50" spans="1:10" s="9" customFormat="1" ht="36.6" customHeight="1">
      <c r="A50" s="282"/>
      <c r="B50" s="298"/>
      <c r="C50" s="291"/>
      <c r="D50" s="58">
        <v>1236</v>
      </c>
      <c r="E50" s="281" t="s">
        <v>99</v>
      </c>
      <c r="F50" s="281"/>
      <c r="G50" s="1">
        <f t="shared" ref="G50:I50" si="17">+G52+G68</f>
        <v>2552709.6</v>
      </c>
      <c r="H50" s="1">
        <f t="shared" si="17"/>
        <v>3555289.4000000004</v>
      </c>
      <c r="I50" s="1">
        <f t="shared" si="17"/>
        <v>3487323.5000000005</v>
      </c>
    </row>
    <row r="51" spans="1:10" s="9" customFormat="1" ht="16.95" customHeight="1">
      <c r="A51" s="282"/>
      <c r="B51" s="298"/>
      <c r="C51" s="291"/>
      <c r="D51" s="294"/>
      <c r="E51" s="46"/>
      <c r="F51" s="49" t="s">
        <v>6</v>
      </c>
      <c r="G51" s="1"/>
      <c r="H51" s="1"/>
      <c r="I51" s="1"/>
    </row>
    <row r="52" spans="1:10" s="9" customFormat="1" ht="18">
      <c r="A52" s="282"/>
      <c r="B52" s="298"/>
      <c r="C52" s="291"/>
      <c r="D52" s="295"/>
      <c r="E52" s="65">
        <v>32001</v>
      </c>
      <c r="F52" s="48" t="s">
        <v>236</v>
      </c>
      <c r="G52" s="11">
        <f t="shared" ref="G52:I52" si="18">+G54+G61</f>
        <v>1600000</v>
      </c>
      <c r="H52" s="11">
        <f t="shared" si="18"/>
        <v>2600000</v>
      </c>
      <c r="I52" s="11">
        <f t="shared" si="18"/>
        <v>3500000</v>
      </c>
    </row>
    <row r="53" spans="1:10" s="9" customFormat="1" ht="16.2" customHeight="1">
      <c r="A53" s="282"/>
      <c r="B53" s="298"/>
      <c r="C53" s="291"/>
      <c r="D53" s="295"/>
      <c r="E53" s="161"/>
      <c r="F53" s="49" t="s">
        <v>15</v>
      </c>
      <c r="G53" s="4"/>
      <c r="H53" s="5"/>
      <c r="I53" s="4"/>
    </row>
    <row r="54" spans="1:10" s="12" customFormat="1" ht="36.6" customHeight="1">
      <c r="A54" s="282"/>
      <c r="B54" s="298"/>
      <c r="C54" s="291"/>
      <c r="D54" s="295"/>
      <c r="E54" s="159"/>
      <c r="F54" s="29" t="s">
        <v>12</v>
      </c>
      <c r="G54" s="26">
        <f t="shared" ref="G54:I54" si="19">+G56</f>
        <v>1000000</v>
      </c>
      <c r="H54" s="26">
        <f t="shared" si="19"/>
        <v>1600000</v>
      </c>
      <c r="I54" s="26">
        <f t="shared" si="19"/>
        <v>2000000</v>
      </c>
    </row>
    <row r="55" spans="1:10" s="9" customFormat="1" ht="34.799999999999997">
      <c r="A55" s="282"/>
      <c r="B55" s="298"/>
      <c r="C55" s="291"/>
      <c r="D55" s="295"/>
      <c r="E55" s="159"/>
      <c r="F55" s="49" t="s">
        <v>63</v>
      </c>
      <c r="G55" s="4"/>
      <c r="H55" s="27"/>
      <c r="I55" s="4"/>
    </row>
    <row r="56" spans="1:10" s="9" customFormat="1" ht="16.95" customHeight="1">
      <c r="A56" s="282"/>
      <c r="B56" s="298"/>
      <c r="C56" s="291"/>
      <c r="D56" s="295"/>
      <c r="E56" s="159"/>
      <c r="F56" s="57" t="s">
        <v>7</v>
      </c>
      <c r="G56" s="5">
        <f t="shared" ref="G56:I56" si="20">G57</f>
        <v>1000000</v>
      </c>
      <c r="H56" s="5">
        <f t="shared" si="20"/>
        <v>1600000</v>
      </c>
      <c r="I56" s="5">
        <f t="shared" si="20"/>
        <v>2000000</v>
      </c>
    </row>
    <row r="57" spans="1:10" s="9" customFormat="1" ht="16.95" customHeight="1">
      <c r="A57" s="282"/>
      <c r="B57" s="298"/>
      <c r="C57" s="291"/>
      <c r="D57" s="295"/>
      <c r="E57" s="159"/>
      <c r="F57" s="49" t="s">
        <v>61</v>
      </c>
      <c r="G57" s="6">
        <f t="shared" ref="G57:I59" si="21">+G58</f>
        <v>1000000</v>
      </c>
      <c r="H57" s="6">
        <f t="shared" si="21"/>
        <v>1600000</v>
      </c>
      <c r="I57" s="6">
        <f t="shared" si="21"/>
        <v>2000000</v>
      </c>
    </row>
    <row r="58" spans="1:10" s="9" customFormat="1" ht="16.2" customHeight="1">
      <c r="A58" s="282"/>
      <c r="B58" s="298"/>
      <c r="C58" s="291"/>
      <c r="D58" s="295"/>
      <c r="E58" s="159"/>
      <c r="F58" s="49" t="s">
        <v>62</v>
      </c>
      <c r="G58" s="6">
        <f t="shared" si="21"/>
        <v>1000000</v>
      </c>
      <c r="H58" s="6">
        <f t="shared" si="21"/>
        <v>1600000</v>
      </c>
      <c r="I58" s="6">
        <f t="shared" si="21"/>
        <v>2000000</v>
      </c>
    </row>
    <row r="59" spans="1:10" s="9" customFormat="1" ht="16.2" customHeight="1">
      <c r="A59" s="282"/>
      <c r="B59" s="298"/>
      <c r="C59" s="291"/>
      <c r="D59" s="295"/>
      <c r="E59" s="159"/>
      <c r="F59" s="49" t="s">
        <v>64</v>
      </c>
      <c r="G59" s="22">
        <f t="shared" si="21"/>
        <v>1000000</v>
      </c>
      <c r="H59" s="22">
        <f t="shared" si="21"/>
        <v>1600000</v>
      </c>
      <c r="I59" s="22">
        <f t="shared" si="21"/>
        <v>2000000</v>
      </c>
      <c r="J59" s="13"/>
    </row>
    <row r="60" spans="1:10" s="9" customFormat="1" ht="18">
      <c r="A60" s="282"/>
      <c r="B60" s="298"/>
      <c r="C60" s="291"/>
      <c r="D60" s="295"/>
      <c r="E60" s="160"/>
      <c r="F60" s="51" t="s">
        <v>264</v>
      </c>
      <c r="G60" s="22">
        <f>+'Հավելված N 5'!E18</f>
        <v>1000000</v>
      </c>
      <c r="H60" s="22">
        <f>+'Հավելված N 5'!F18</f>
        <v>1600000</v>
      </c>
      <c r="I60" s="22">
        <f>+'Հավելված N 5'!G18</f>
        <v>2000000</v>
      </c>
      <c r="J60" s="13"/>
    </row>
    <row r="61" spans="1:10" s="12" customFormat="1" ht="36.6" customHeight="1">
      <c r="A61" s="282"/>
      <c r="B61" s="298"/>
      <c r="C61" s="291"/>
      <c r="D61" s="295"/>
      <c r="E61" s="159"/>
      <c r="F61" s="29" t="s">
        <v>237</v>
      </c>
      <c r="G61" s="26">
        <f t="shared" ref="G61:I61" si="22">+G63</f>
        <v>600000</v>
      </c>
      <c r="H61" s="26">
        <f t="shared" si="22"/>
        <v>1000000</v>
      </c>
      <c r="I61" s="26">
        <f t="shared" si="22"/>
        <v>1500000</v>
      </c>
    </row>
    <row r="62" spans="1:10" s="9" customFormat="1" ht="34.799999999999997">
      <c r="A62" s="282"/>
      <c r="B62" s="298"/>
      <c r="C62" s="291"/>
      <c r="D62" s="295"/>
      <c r="E62" s="159"/>
      <c r="F62" s="49" t="s">
        <v>63</v>
      </c>
      <c r="G62" s="4"/>
      <c r="H62" s="27"/>
      <c r="I62" s="4"/>
    </row>
    <row r="63" spans="1:10" s="9" customFormat="1" ht="16.95" customHeight="1">
      <c r="A63" s="282"/>
      <c r="B63" s="298"/>
      <c r="C63" s="291"/>
      <c r="D63" s="295"/>
      <c r="E63" s="159"/>
      <c r="F63" s="57" t="s">
        <v>7</v>
      </c>
      <c r="G63" s="5">
        <f t="shared" ref="G63:I63" si="23">G64</f>
        <v>600000</v>
      </c>
      <c r="H63" s="5">
        <f t="shared" si="23"/>
        <v>1000000</v>
      </c>
      <c r="I63" s="5">
        <f t="shared" si="23"/>
        <v>1500000</v>
      </c>
    </row>
    <row r="64" spans="1:10" s="9" customFormat="1" ht="16.95" customHeight="1">
      <c r="A64" s="282"/>
      <c r="B64" s="298"/>
      <c r="C64" s="291"/>
      <c r="D64" s="295"/>
      <c r="E64" s="159"/>
      <c r="F64" s="49" t="s">
        <v>61</v>
      </c>
      <c r="G64" s="6">
        <f t="shared" ref="G64:I66" si="24">+G65</f>
        <v>600000</v>
      </c>
      <c r="H64" s="6">
        <f t="shared" si="24"/>
        <v>1000000</v>
      </c>
      <c r="I64" s="6">
        <f t="shared" si="24"/>
        <v>1500000</v>
      </c>
    </row>
    <row r="65" spans="1:10" s="9" customFormat="1" ht="16.2" customHeight="1">
      <c r="A65" s="282"/>
      <c r="B65" s="298"/>
      <c r="C65" s="291"/>
      <c r="D65" s="295"/>
      <c r="E65" s="159"/>
      <c r="F65" s="49" t="s">
        <v>62</v>
      </c>
      <c r="G65" s="6">
        <f t="shared" si="24"/>
        <v>600000</v>
      </c>
      <c r="H65" s="6">
        <f t="shared" si="24"/>
        <v>1000000</v>
      </c>
      <c r="I65" s="6">
        <f t="shared" si="24"/>
        <v>1500000</v>
      </c>
    </row>
    <row r="66" spans="1:10" s="9" customFormat="1" ht="16.2" customHeight="1">
      <c r="A66" s="282"/>
      <c r="B66" s="298"/>
      <c r="C66" s="291"/>
      <c r="D66" s="295"/>
      <c r="E66" s="159"/>
      <c r="F66" s="49" t="s">
        <v>64</v>
      </c>
      <c r="G66" s="22">
        <f t="shared" si="24"/>
        <v>600000</v>
      </c>
      <c r="H66" s="22">
        <f t="shared" si="24"/>
        <v>1000000</v>
      </c>
      <c r="I66" s="22">
        <f t="shared" si="24"/>
        <v>1500000</v>
      </c>
      <c r="J66" s="13"/>
    </row>
    <row r="67" spans="1:10" s="9" customFormat="1" ht="18">
      <c r="A67" s="282"/>
      <c r="B67" s="298"/>
      <c r="C67" s="291"/>
      <c r="D67" s="295"/>
      <c r="E67" s="160"/>
      <c r="F67" s="51" t="s">
        <v>264</v>
      </c>
      <c r="G67" s="22">
        <f>+'Հավելված N 5'!E21</f>
        <v>600000</v>
      </c>
      <c r="H67" s="22">
        <f>+'Հավելված N 5'!F21</f>
        <v>1000000</v>
      </c>
      <c r="I67" s="22">
        <f>+'Հավելված N 5'!G21</f>
        <v>1500000</v>
      </c>
      <c r="J67" s="13"/>
    </row>
    <row r="68" spans="1:10" s="9" customFormat="1" ht="36">
      <c r="A68" s="282"/>
      <c r="B68" s="298"/>
      <c r="C68" s="291"/>
      <c r="D68" s="295"/>
      <c r="E68" s="47">
        <v>32002</v>
      </c>
      <c r="F68" s="48" t="s">
        <v>83</v>
      </c>
      <c r="G68" s="11">
        <f>+G70+G77+G84+G91+G98+G109+G116+G123+G130+G137+G144+G151</f>
        <v>952709.6</v>
      </c>
      <c r="H68" s="11">
        <f t="shared" ref="H68" si="25">+H70+H77+H84+H91+H98+H109+H116+H123+H130+H137+H144+H151</f>
        <v>955289.40000000037</v>
      </c>
      <c r="I68" s="11">
        <f>+I70+I77+I84+I91+I98+I109+I116+I123+I130+I137+I144+I151</f>
        <v>-12676.499999999534</v>
      </c>
    </row>
    <row r="69" spans="1:10" s="9" customFormat="1" ht="16.2" customHeight="1">
      <c r="A69" s="282"/>
      <c r="B69" s="298"/>
      <c r="C69" s="291"/>
      <c r="D69" s="295"/>
      <c r="E69" s="161"/>
      <c r="F69" s="49" t="s">
        <v>15</v>
      </c>
      <c r="G69" s="4"/>
      <c r="H69" s="5"/>
      <c r="I69" s="4"/>
    </row>
    <row r="70" spans="1:10" s="12" customFormat="1" ht="36.6" customHeight="1">
      <c r="A70" s="282"/>
      <c r="B70" s="298"/>
      <c r="C70" s="291"/>
      <c r="D70" s="295"/>
      <c r="E70" s="159"/>
      <c r="F70" s="29" t="s">
        <v>12</v>
      </c>
      <c r="G70" s="26">
        <f t="shared" ref="G70:I70" si="26">+G72</f>
        <v>1870</v>
      </c>
      <c r="H70" s="26">
        <f t="shared" si="26"/>
        <v>1870</v>
      </c>
      <c r="I70" s="26">
        <f t="shared" si="26"/>
        <v>1870</v>
      </c>
    </row>
    <row r="71" spans="1:10" s="9" customFormat="1" ht="34.799999999999997">
      <c r="A71" s="282"/>
      <c r="B71" s="298"/>
      <c r="C71" s="291"/>
      <c r="D71" s="295"/>
      <c r="E71" s="159"/>
      <c r="F71" s="49" t="s">
        <v>63</v>
      </c>
      <c r="G71" s="4"/>
      <c r="H71" s="27"/>
      <c r="I71" s="4"/>
    </row>
    <row r="72" spans="1:10" s="9" customFormat="1" ht="16.95" customHeight="1">
      <c r="A72" s="282"/>
      <c r="B72" s="298"/>
      <c r="C72" s="291"/>
      <c r="D72" s="295"/>
      <c r="E72" s="159"/>
      <c r="F72" s="57" t="s">
        <v>7</v>
      </c>
      <c r="G72" s="5">
        <f t="shared" ref="G72:I72" si="27">G73</f>
        <v>1870</v>
      </c>
      <c r="H72" s="5">
        <f t="shared" si="27"/>
        <v>1870</v>
      </c>
      <c r="I72" s="5">
        <f t="shared" si="27"/>
        <v>1870</v>
      </c>
    </row>
    <row r="73" spans="1:10" s="9" customFormat="1" ht="16.95" customHeight="1">
      <c r="A73" s="282"/>
      <c r="B73" s="298"/>
      <c r="C73" s="291"/>
      <c r="D73" s="295"/>
      <c r="E73" s="159"/>
      <c r="F73" s="49" t="s">
        <v>61</v>
      </c>
      <c r="G73" s="6">
        <f t="shared" ref="G73:I75" si="28">+G74</f>
        <v>1870</v>
      </c>
      <c r="H73" s="6">
        <f t="shared" si="28"/>
        <v>1870</v>
      </c>
      <c r="I73" s="6">
        <f t="shared" si="28"/>
        <v>1870</v>
      </c>
    </row>
    <row r="74" spans="1:10" s="9" customFormat="1" ht="16.2" customHeight="1">
      <c r="A74" s="282"/>
      <c r="B74" s="298"/>
      <c r="C74" s="291"/>
      <c r="D74" s="295"/>
      <c r="E74" s="159"/>
      <c r="F74" s="49" t="s">
        <v>62</v>
      </c>
      <c r="G74" s="6">
        <f t="shared" si="28"/>
        <v>1870</v>
      </c>
      <c r="H74" s="6">
        <f t="shared" si="28"/>
        <v>1870</v>
      </c>
      <c r="I74" s="6">
        <f t="shared" si="28"/>
        <v>1870</v>
      </c>
    </row>
    <row r="75" spans="1:10" s="9" customFormat="1" ht="16.2" customHeight="1">
      <c r="A75" s="282"/>
      <c r="B75" s="298"/>
      <c r="C75" s="291"/>
      <c r="D75" s="295"/>
      <c r="E75" s="159"/>
      <c r="F75" s="49" t="s">
        <v>313</v>
      </c>
      <c r="G75" s="22">
        <f t="shared" si="28"/>
        <v>1870</v>
      </c>
      <c r="H75" s="22">
        <f t="shared" si="28"/>
        <v>1870</v>
      </c>
      <c r="I75" s="22">
        <f t="shared" si="28"/>
        <v>1870</v>
      </c>
      <c r="J75" s="13"/>
    </row>
    <row r="76" spans="1:10" s="9" customFormat="1" ht="18">
      <c r="A76" s="282"/>
      <c r="B76" s="298"/>
      <c r="C76" s="291"/>
      <c r="D76" s="295"/>
      <c r="E76" s="160"/>
      <c r="F76" s="51" t="s">
        <v>314</v>
      </c>
      <c r="G76" s="22">
        <f>+'Հավելված N 5'!E27</f>
        <v>1870</v>
      </c>
      <c r="H76" s="22">
        <f>+'Հավելված N 5'!F27</f>
        <v>1870</v>
      </c>
      <c r="I76" s="22">
        <f>+'Հավելված N 5'!G27</f>
        <v>1870</v>
      </c>
      <c r="J76" s="13"/>
    </row>
    <row r="77" spans="1:10" s="12" customFormat="1" ht="36.6" customHeight="1">
      <c r="A77" s="282"/>
      <c r="B77" s="298"/>
      <c r="C77" s="291"/>
      <c r="D77" s="295"/>
      <c r="E77" s="159"/>
      <c r="F77" s="29" t="s">
        <v>114</v>
      </c>
      <c r="G77" s="26">
        <f t="shared" ref="G77:I77" si="29">+G79</f>
        <v>-1091682.6000000001</v>
      </c>
      <c r="H77" s="26">
        <f t="shared" si="29"/>
        <v>-2183365.2999999998</v>
      </c>
      <c r="I77" s="26">
        <f t="shared" si="29"/>
        <v>-3531957.9</v>
      </c>
    </row>
    <row r="78" spans="1:10" s="9" customFormat="1" ht="34.799999999999997">
      <c r="A78" s="282"/>
      <c r="B78" s="298"/>
      <c r="C78" s="291"/>
      <c r="D78" s="295"/>
      <c r="E78" s="159"/>
      <c r="F78" s="49" t="s">
        <v>63</v>
      </c>
      <c r="G78" s="4"/>
      <c r="H78" s="27"/>
      <c r="I78" s="4"/>
    </row>
    <row r="79" spans="1:10" s="9" customFormat="1" ht="16.95" customHeight="1">
      <c r="A79" s="282"/>
      <c r="B79" s="298"/>
      <c r="C79" s="291"/>
      <c r="D79" s="295"/>
      <c r="E79" s="159"/>
      <c r="F79" s="57" t="s">
        <v>7</v>
      </c>
      <c r="G79" s="5">
        <f t="shared" ref="G79:I79" si="30">G80</f>
        <v>-1091682.6000000001</v>
      </c>
      <c r="H79" s="5">
        <f t="shared" si="30"/>
        <v>-2183365.2999999998</v>
      </c>
      <c r="I79" s="5">
        <f t="shared" si="30"/>
        <v>-3531957.9</v>
      </c>
    </row>
    <row r="80" spans="1:10" s="9" customFormat="1" ht="16.95" customHeight="1">
      <c r="A80" s="282"/>
      <c r="B80" s="298"/>
      <c r="C80" s="291"/>
      <c r="D80" s="295"/>
      <c r="E80" s="159"/>
      <c r="F80" s="49" t="s">
        <v>61</v>
      </c>
      <c r="G80" s="6">
        <f t="shared" ref="G80:I82" si="31">+G81</f>
        <v>-1091682.6000000001</v>
      </c>
      <c r="H80" s="6">
        <f t="shared" si="31"/>
        <v>-2183365.2999999998</v>
      </c>
      <c r="I80" s="6">
        <f t="shared" si="31"/>
        <v>-3531957.9</v>
      </c>
    </row>
    <row r="81" spans="1:10" s="9" customFormat="1" ht="16.2" customHeight="1">
      <c r="A81" s="282"/>
      <c r="B81" s="298"/>
      <c r="C81" s="291"/>
      <c r="D81" s="295"/>
      <c r="E81" s="159"/>
      <c r="F81" s="49" t="s">
        <v>62</v>
      </c>
      <c r="G81" s="6">
        <f t="shared" si="31"/>
        <v>-1091682.6000000001</v>
      </c>
      <c r="H81" s="6">
        <f t="shared" si="31"/>
        <v>-2183365.2999999998</v>
      </c>
      <c r="I81" s="6">
        <f t="shared" si="31"/>
        <v>-3531957.9</v>
      </c>
    </row>
    <row r="82" spans="1:10" s="9" customFormat="1" ht="16.2" customHeight="1">
      <c r="A82" s="282"/>
      <c r="B82" s="298"/>
      <c r="C82" s="291"/>
      <c r="D82" s="295"/>
      <c r="E82" s="159"/>
      <c r="F82" s="49" t="s">
        <v>64</v>
      </c>
      <c r="G82" s="22">
        <f t="shared" si="31"/>
        <v>-1091682.6000000001</v>
      </c>
      <c r="H82" s="22">
        <f t="shared" si="31"/>
        <v>-2183365.2999999998</v>
      </c>
      <c r="I82" s="22">
        <f t="shared" si="31"/>
        <v>-3531957.9</v>
      </c>
      <c r="J82" s="13"/>
    </row>
    <row r="83" spans="1:10" s="9" customFormat="1" ht="18">
      <c r="A83" s="282"/>
      <c r="B83" s="298"/>
      <c r="C83" s="291"/>
      <c r="D83" s="295"/>
      <c r="E83" s="160"/>
      <c r="F83" s="51" t="s">
        <v>185</v>
      </c>
      <c r="G83" s="22">
        <f>+'Հավելված N 5'!E26</f>
        <v>-1091682.6000000001</v>
      </c>
      <c r="H83" s="22">
        <f>+'Հավելված N 5'!F26</f>
        <v>-2183365.2999999998</v>
      </c>
      <c r="I83" s="22">
        <f>+'Հավելված N 5'!G26</f>
        <v>-3531957.9</v>
      </c>
      <c r="J83" s="13"/>
    </row>
    <row r="84" spans="1:10" s="12" customFormat="1" ht="36.6" customHeight="1">
      <c r="A84" s="282"/>
      <c r="B84" s="298"/>
      <c r="C84" s="291"/>
      <c r="D84" s="295"/>
      <c r="E84" s="159"/>
      <c r="F84" s="29" t="s">
        <v>84</v>
      </c>
      <c r="G84" s="26">
        <f t="shared" ref="G84:I84" si="32">+G86</f>
        <v>195098.4</v>
      </c>
      <c r="H84" s="26">
        <f t="shared" si="32"/>
        <v>277831.09999999998</v>
      </c>
      <c r="I84" s="26">
        <f t="shared" si="32"/>
        <v>296331.7</v>
      </c>
    </row>
    <row r="85" spans="1:10" s="9" customFormat="1" ht="34.799999999999997">
      <c r="A85" s="282"/>
      <c r="B85" s="298"/>
      <c r="C85" s="291"/>
      <c r="D85" s="295"/>
      <c r="E85" s="159"/>
      <c r="F85" s="49" t="s">
        <v>63</v>
      </c>
      <c r="G85" s="4"/>
      <c r="H85" s="27"/>
      <c r="I85" s="4"/>
    </row>
    <row r="86" spans="1:10" s="9" customFormat="1" ht="16.95" customHeight="1">
      <c r="A86" s="282"/>
      <c r="B86" s="298"/>
      <c r="C86" s="291"/>
      <c r="D86" s="295"/>
      <c r="E86" s="159"/>
      <c r="F86" s="57" t="s">
        <v>7</v>
      </c>
      <c r="G86" s="5">
        <f t="shared" ref="G86:I86" si="33">G87</f>
        <v>195098.4</v>
      </c>
      <c r="H86" s="5">
        <f t="shared" si="33"/>
        <v>277831.09999999998</v>
      </c>
      <c r="I86" s="5">
        <f t="shared" si="33"/>
        <v>296331.7</v>
      </c>
    </row>
    <row r="87" spans="1:10" s="9" customFormat="1" ht="16.95" customHeight="1">
      <c r="A87" s="282"/>
      <c r="B87" s="298"/>
      <c r="C87" s="291"/>
      <c r="D87" s="295"/>
      <c r="E87" s="159"/>
      <c r="F87" s="49" t="s">
        <v>61</v>
      </c>
      <c r="G87" s="6">
        <f t="shared" ref="G87:I89" si="34">+G88</f>
        <v>195098.4</v>
      </c>
      <c r="H87" s="6">
        <f t="shared" si="34"/>
        <v>277831.09999999998</v>
      </c>
      <c r="I87" s="6">
        <f t="shared" si="34"/>
        <v>296331.7</v>
      </c>
    </row>
    <row r="88" spans="1:10" s="9" customFormat="1" ht="16.2" customHeight="1">
      <c r="A88" s="282"/>
      <c r="B88" s="298"/>
      <c r="C88" s="291"/>
      <c r="D88" s="295"/>
      <c r="E88" s="159"/>
      <c r="F88" s="49" t="s">
        <v>62</v>
      </c>
      <c r="G88" s="6">
        <f t="shared" si="34"/>
        <v>195098.4</v>
      </c>
      <c r="H88" s="6">
        <f t="shared" si="34"/>
        <v>277831.09999999998</v>
      </c>
      <c r="I88" s="6">
        <f t="shared" si="34"/>
        <v>296331.7</v>
      </c>
    </row>
    <row r="89" spans="1:10" s="9" customFormat="1" ht="16.2" customHeight="1">
      <c r="A89" s="282"/>
      <c r="B89" s="298"/>
      <c r="C89" s="291"/>
      <c r="D89" s="295"/>
      <c r="E89" s="159"/>
      <c r="F89" s="49" t="s">
        <v>64</v>
      </c>
      <c r="G89" s="22">
        <f t="shared" si="34"/>
        <v>195098.4</v>
      </c>
      <c r="H89" s="22">
        <f t="shared" si="34"/>
        <v>277831.09999999998</v>
      </c>
      <c r="I89" s="22">
        <f t="shared" si="34"/>
        <v>296331.7</v>
      </c>
      <c r="J89" s="13"/>
    </row>
    <row r="90" spans="1:10" s="9" customFormat="1" ht="18">
      <c r="A90" s="282"/>
      <c r="B90" s="298"/>
      <c r="C90" s="291"/>
      <c r="D90" s="295"/>
      <c r="E90" s="160"/>
      <c r="F90" s="51" t="s">
        <v>185</v>
      </c>
      <c r="G90" s="22">
        <f>+'Հավելված N 5'!E31</f>
        <v>195098.4</v>
      </c>
      <c r="H90" s="22">
        <f>+'Հավելված N 5'!F31</f>
        <v>277831.09999999998</v>
      </c>
      <c r="I90" s="22">
        <f>+'Հավելված N 5'!G31</f>
        <v>296331.7</v>
      </c>
      <c r="J90" s="13"/>
    </row>
    <row r="91" spans="1:10" s="12" customFormat="1" ht="36.6" customHeight="1">
      <c r="A91" s="282"/>
      <c r="B91" s="298"/>
      <c r="C91" s="291"/>
      <c r="D91" s="295"/>
      <c r="E91" s="159"/>
      <c r="F91" s="29" t="s">
        <v>115</v>
      </c>
      <c r="G91" s="26">
        <f t="shared" ref="G91:I91" si="35">+G93</f>
        <v>370059.6</v>
      </c>
      <c r="H91" s="26">
        <f t="shared" si="35"/>
        <v>524791.80000000005</v>
      </c>
      <c r="I91" s="26">
        <f t="shared" si="35"/>
        <v>605952.5</v>
      </c>
    </row>
    <row r="92" spans="1:10" s="9" customFormat="1" ht="34.799999999999997">
      <c r="A92" s="282"/>
      <c r="B92" s="298"/>
      <c r="C92" s="291"/>
      <c r="D92" s="295"/>
      <c r="E92" s="159"/>
      <c r="F92" s="49" t="s">
        <v>63</v>
      </c>
      <c r="G92" s="4"/>
      <c r="H92" s="27"/>
      <c r="I92" s="4"/>
    </row>
    <row r="93" spans="1:10" s="9" customFormat="1" ht="16.95" customHeight="1">
      <c r="A93" s="282"/>
      <c r="B93" s="298"/>
      <c r="C93" s="291"/>
      <c r="D93" s="295"/>
      <c r="E93" s="159"/>
      <c r="F93" s="57" t="s">
        <v>7</v>
      </c>
      <c r="G93" s="5">
        <f t="shared" ref="G93:I93" si="36">G94</f>
        <v>370059.6</v>
      </c>
      <c r="H93" s="5">
        <f t="shared" si="36"/>
        <v>524791.80000000005</v>
      </c>
      <c r="I93" s="5">
        <f t="shared" si="36"/>
        <v>605952.5</v>
      </c>
    </row>
    <row r="94" spans="1:10" s="9" customFormat="1" ht="16.95" customHeight="1">
      <c r="A94" s="282"/>
      <c r="B94" s="298"/>
      <c r="C94" s="291"/>
      <c r="D94" s="295"/>
      <c r="E94" s="159"/>
      <c r="F94" s="49" t="s">
        <v>61</v>
      </c>
      <c r="G94" s="6">
        <f t="shared" ref="G94:I96" si="37">+G95</f>
        <v>370059.6</v>
      </c>
      <c r="H94" s="6">
        <f t="shared" si="37"/>
        <v>524791.80000000005</v>
      </c>
      <c r="I94" s="6">
        <f t="shared" si="37"/>
        <v>605952.5</v>
      </c>
    </row>
    <row r="95" spans="1:10" s="9" customFormat="1" ht="16.2" customHeight="1">
      <c r="A95" s="282"/>
      <c r="B95" s="298"/>
      <c r="C95" s="291"/>
      <c r="D95" s="295"/>
      <c r="E95" s="159"/>
      <c r="F95" s="49" t="s">
        <v>62</v>
      </c>
      <c r="G95" s="6">
        <f t="shared" si="37"/>
        <v>370059.6</v>
      </c>
      <c r="H95" s="6">
        <f t="shared" si="37"/>
        <v>524791.80000000005</v>
      </c>
      <c r="I95" s="6">
        <f t="shared" si="37"/>
        <v>605952.5</v>
      </c>
    </row>
    <row r="96" spans="1:10" s="9" customFormat="1" ht="16.2" customHeight="1">
      <c r="A96" s="282"/>
      <c r="B96" s="298"/>
      <c r="C96" s="291"/>
      <c r="D96" s="295"/>
      <c r="E96" s="159"/>
      <c r="F96" s="49" t="s">
        <v>64</v>
      </c>
      <c r="G96" s="22">
        <f t="shared" si="37"/>
        <v>370059.6</v>
      </c>
      <c r="H96" s="22">
        <f t="shared" si="37"/>
        <v>524791.80000000005</v>
      </c>
      <c r="I96" s="22">
        <f t="shared" si="37"/>
        <v>605952.5</v>
      </c>
      <c r="J96" s="13"/>
    </row>
    <row r="97" spans="1:10" s="9" customFormat="1" ht="18">
      <c r="A97" s="282"/>
      <c r="B97" s="298"/>
      <c r="C97" s="291"/>
      <c r="D97" s="295"/>
      <c r="E97" s="160"/>
      <c r="F97" s="51" t="s">
        <v>185</v>
      </c>
      <c r="G97" s="22">
        <f>+'Հավելված N 5'!E39</f>
        <v>370059.6</v>
      </c>
      <c r="H97" s="22">
        <f>+'Հավելված N 5'!F39</f>
        <v>524791.80000000005</v>
      </c>
      <c r="I97" s="22">
        <f>+'Հավելված N 5'!G39</f>
        <v>605952.5</v>
      </c>
      <c r="J97" s="13"/>
    </row>
    <row r="98" spans="1:10" s="12" customFormat="1" ht="36.6" customHeight="1">
      <c r="A98" s="282"/>
      <c r="B98" s="298"/>
      <c r="C98" s="291"/>
      <c r="D98" s="295"/>
      <c r="E98" s="300"/>
      <c r="F98" s="29" t="s">
        <v>129</v>
      </c>
      <c r="G98" s="26">
        <f t="shared" ref="G98:I98" si="38">+G100</f>
        <v>67911.600000000006</v>
      </c>
      <c r="H98" s="26">
        <f t="shared" si="38"/>
        <v>155911.6</v>
      </c>
      <c r="I98" s="26">
        <f t="shared" si="38"/>
        <v>221911.6</v>
      </c>
    </row>
    <row r="99" spans="1:10" s="9" customFormat="1" ht="34.799999999999997">
      <c r="A99" s="282"/>
      <c r="B99" s="298"/>
      <c r="C99" s="291"/>
      <c r="D99" s="295"/>
      <c r="E99" s="301"/>
      <c r="F99" s="49" t="s">
        <v>63</v>
      </c>
      <c r="G99" s="4"/>
      <c r="H99" s="27"/>
      <c r="I99" s="4"/>
    </row>
    <row r="100" spans="1:10" s="9" customFormat="1" ht="16.8" customHeight="1">
      <c r="A100" s="282"/>
      <c r="B100" s="298"/>
      <c r="C100" s="291"/>
      <c r="D100" s="295"/>
      <c r="E100" s="301"/>
      <c r="F100" s="57" t="s">
        <v>7</v>
      </c>
      <c r="G100" s="5">
        <f>G101+G105</f>
        <v>67911.600000000006</v>
      </c>
      <c r="H100" s="5">
        <f t="shared" ref="H100" si="39">H101+H105</f>
        <v>155911.6</v>
      </c>
      <c r="I100" s="5">
        <f>I101+I105</f>
        <v>221911.6</v>
      </c>
    </row>
    <row r="101" spans="1:10" s="9" customFormat="1" ht="16.95" customHeight="1">
      <c r="A101" s="282"/>
      <c r="B101" s="298"/>
      <c r="C101" s="291"/>
      <c r="D101" s="295"/>
      <c r="E101" s="301"/>
      <c r="F101" s="49" t="s">
        <v>256</v>
      </c>
      <c r="G101" s="6">
        <f>+G102</f>
        <v>1911.6</v>
      </c>
      <c r="H101" s="6">
        <f t="shared" ref="G101:I103" si="40">+H102</f>
        <v>1911.6</v>
      </c>
      <c r="I101" s="6">
        <f t="shared" si="40"/>
        <v>1911.6</v>
      </c>
    </row>
    <row r="102" spans="1:10" s="9" customFormat="1" ht="16.2" customHeight="1">
      <c r="A102" s="282"/>
      <c r="B102" s="298"/>
      <c r="C102" s="291"/>
      <c r="D102" s="295"/>
      <c r="E102" s="301"/>
      <c r="F102" s="49" t="s">
        <v>315</v>
      </c>
      <c r="G102" s="6">
        <f t="shared" si="40"/>
        <v>1911.6</v>
      </c>
      <c r="H102" s="6">
        <f t="shared" si="40"/>
        <v>1911.6</v>
      </c>
      <c r="I102" s="6">
        <f t="shared" si="40"/>
        <v>1911.6</v>
      </c>
    </row>
    <row r="103" spans="1:10" s="9" customFormat="1" ht="16.2" customHeight="1">
      <c r="A103" s="282"/>
      <c r="B103" s="298"/>
      <c r="C103" s="291"/>
      <c r="D103" s="295"/>
      <c r="E103" s="301"/>
      <c r="F103" s="49" t="s">
        <v>316</v>
      </c>
      <c r="G103" s="22">
        <f t="shared" si="40"/>
        <v>1911.6</v>
      </c>
      <c r="H103" s="22">
        <f t="shared" si="40"/>
        <v>1911.6</v>
      </c>
      <c r="I103" s="22">
        <f t="shared" si="40"/>
        <v>1911.6</v>
      </c>
      <c r="J103" s="13"/>
    </row>
    <row r="104" spans="1:10" s="9" customFormat="1" ht="18" customHeight="1">
      <c r="A104" s="282"/>
      <c r="B104" s="298"/>
      <c r="C104" s="291"/>
      <c r="D104" s="295"/>
      <c r="E104" s="301"/>
      <c r="F104" s="51" t="s">
        <v>317</v>
      </c>
      <c r="G104" s="22">
        <f>+I104</f>
        <v>1911.6</v>
      </c>
      <c r="H104" s="22">
        <f>+I104</f>
        <v>1911.6</v>
      </c>
      <c r="I104" s="22">
        <f>+'Հավելված N 9'!I73</f>
        <v>1911.6</v>
      </c>
      <c r="J104" s="13"/>
    </row>
    <row r="105" spans="1:10" s="9" customFormat="1" ht="16.95" customHeight="1">
      <c r="A105" s="282"/>
      <c r="B105" s="298"/>
      <c r="C105" s="291"/>
      <c r="D105" s="295"/>
      <c r="E105" s="301"/>
      <c r="F105" s="49" t="s">
        <v>61</v>
      </c>
      <c r="G105" s="6">
        <f t="shared" ref="G105:I107" si="41">+G106</f>
        <v>66000</v>
      </c>
      <c r="H105" s="6">
        <f t="shared" si="41"/>
        <v>154000</v>
      </c>
      <c r="I105" s="6">
        <f t="shared" si="41"/>
        <v>220000</v>
      </c>
    </row>
    <row r="106" spans="1:10" s="9" customFormat="1" ht="16.2" customHeight="1">
      <c r="A106" s="282"/>
      <c r="B106" s="298"/>
      <c r="C106" s="291"/>
      <c r="D106" s="295"/>
      <c r="E106" s="301"/>
      <c r="F106" s="49" t="s">
        <v>62</v>
      </c>
      <c r="G106" s="6">
        <f t="shared" si="41"/>
        <v>66000</v>
      </c>
      <c r="H106" s="6">
        <f t="shared" si="41"/>
        <v>154000</v>
      </c>
      <c r="I106" s="6">
        <f t="shared" si="41"/>
        <v>220000</v>
      </c>
    </row>
    <row r="107" spans="1:10" s="9" customFormat="1" ht="16.2" customHeight="1">
      <c r="A107" s="282"/>
      <c r="B107" s="298"/>
      <c r="C107" s="291"/>
      <c r="D107" s="295"/>
      <c r="E107" s="301"/>
      <c r="F107" s="49" t="s">
        <v>64</v>
      </c>
      <c r="G107" s="22">
        <f t="shared" si="41"/>
        <v>66000</v>
      </c>
      <c r="H107" s="22">
        <f t="shared" si="41"/>
        <v>154000</v>
      </c>
      <c r="I107" s="22">
        <f t="shared" si="41"/>
        <v>220000</v>
      </c>
      <c r="J107" s="13"/>
    </row>
    <row r="108" spans="1:10" s="9" customFormat="1" ht="18" customHeight="1">
      <c r="A108" s="282"/>
      <c r="B108" s="298"/>
      <c r="C108" s="291"/>
      <c r="D108" s="295"/>
      <c r="E108" s="302"/>
      <c r="F108" s="51" t="s">
        <v>185</v>
      </c>
      <c r="G108" s="22">
        <f>+'Հավելված N 5'!E47</f>
        <v>66000</v>
      </c>
      <c r="H108" s="22">
        <f>+'Հավելված N 5'!F47</f>
        <v>154000</v>
      </c>
      <c r="I108" s="22">
        <f>+'Հավելված N 5'!G47</f>
        <v>220000</v>
      </c>
      <c r="J108" s="13"/>
    </row>
    <row r="109" spans="1:10" s="12" customFormat="1" ht="36.6" customHeight="1">
      <c r="A109" s="282"/>
      <c r="B109" s="298"/>
      <c r="C109" s="291"/>
      <c r="D109" s="295"/>
      <c r="E109" s="159"/>
      <c r="F109" s="29" t="s">
        <v>130</v>
      </c>
      <c r="G109" s="26">
        <f t="shared" ref="G109:I109" si="42">+G111</f>
        <v>311312.10000000003</v>
      </c>
      <c r="H109" s="26">
        <f t="shared" si="42"/>
        <v>441025.5</v>
      </c>
      <c r="I109" s="26">
        <f t="shared" si="42"/>
        <v>518853.5</v>
      </c>
    </row>
    <row r="110" spans="1:10" s="9" customFormat="1" ht="34.799999999999997">
      <c r="A110" s="282"/>
      <c r="B110" s="298"/>
      <c r="C110" s="291"/>
      <c r="D110" s="295"/>
      <c r="E110" s="159"/>
      <c r="F110" s="49" t="s">
        <v>63</v>
      </c>
      <c r="G110" s="4"/>
      <c r="H110" s="27"/>
      <c r="I110" s="4"/>
    </row>
    <row r="111" spans="1:10" s="9" customFormat="1" ht="16.95" customHeight="1">
      <c r="A111" s="282"/>
      <c r="B111" s="298"/>
      <c r="C111" s="291"/>
      <c r="D111" s="295"/>
      <c r="E111" s="159"/>
      <c r="F111" s="57" t="s">
        <v>7</v>
      </c>
      <c r="G111" s="5">
        <f t="shared" ref="G111:I111" si="43">G112</f>
        <v>311312.10000000003</v>
      </c>
      <c r="H111" s="5">
        <f t="shared" si="43"/>
        <v>441025.5</v>
      </c>
      <c r="I111" s="5">
        <f t="shared" si="43"/>
        <v>518853.5</v>
      </c>
    </row>
    <row r="112" spans="1:10" s="9" customFormat="1" ht="16.95" customHeight="1">
      <c r="A112" s="282"/>
      <c r="B112" s="298"/>
      <c r="C112" s="291"/>
      <c r="D112" s="295"/>
      <c r="E112" s="159"/>
      <c r="F112" s="49" t="s">
        <v>61</v>
      </c>
      <c r="G112" s="6">
        <f t="shared" ref="G112:I114" si="44">+G113</f>
        <v>311312.10000000003</v>
      </c>
      <c r="H112" s="6">
        <f t="shared" si="44"/>
        <v>441025.5</v>
      </c>
      <c r="I112" s="6">
        <f t="shared" si="44"/>
        <v>518853.5</v>
      </c>
    </row>
    <row r="113" spans="1:10" s="9" customFormat="1" ht="16.2" customHeight="1">
      <c r="A113" s="282"/>
      <c r="B113" s="298"/>
      <c r="C113" s="291"/>
      <c r="D113" s="295"/>
      <c r="E113" s="159"/>
      <c r="F113" s="49" t="s">
        <v>62</v>
      </c>
      <c r="G113" s="6">
        <f t="shared" si="44"/>
        <v>311312.10000000003</v>
      </c>
      <c r="H113" s="6">
        <f t="shared" si="44"/>
        <v>441025.5</v>
      </c>
      <c r="I113" s="6">
        <f t="shared" si="44"/>
        <v>518853.5</v>
      </c>
    </row>
    <row r="114" spans="1:10" s="9" customFormat="1" ht="16.2" customHeight="1">
      <c r="A114" s="282"/>
      <c r="B114" s="298"/>
      <c r="C114" s="291"/>
      <c r="D114" s="295"/>
      <c r="E114" s="159"/>
      <c r="F114" s="49" t="s">
        <v>64</v>
      </c>
      <c r="G114" s="22">
        <f t="shared" si="44"/>
        <v>311312.10000000003</v>
      </c>
      <c r="H114" s="22">
        <f t="shared" si="44"/>
        <v>441025.5</v>
      </c>
      <c r="I114" s="22">
        <f t="shared" si="44"/>
        <v>518853.5</v>
      </c>
      <c r="J114" s="13"/>
    </row>
    <row r="115" spans="1:10" s="9" customFormat="1" ht="18">
      <c r="A115" s="282"/>
      <c r="B115" s="298"/>
      <c r="C115" s="291"/>
      <c r="D115" s="295"/>
      <c r="E115" s="160"/>
      <c r="F115" s="51" t="s">
        <v>185</v>
      </c>
      <c r="G115" s="22">
        <f>+'Հավելված N 5'!E50</f>
        <v>311312.10000000003</v>
      </c>
      <c r="H115" s="22">
        <f>+'Հավելված N 5'!F50</f>
        <v>441025.5</v>
      </c>
      <c r="I115" s="22">
        <f>+'Հավելված N 5'!G50</f>
        <v>518853.5</v>
      </c>
      <c r="J115" s="13"/>
    </row>
    <row r="116" spans="1:10" s="12" customFormat="1" ht="36.6" customHeight="1">
      <c r="A116" s="282"/>
      <c r="B116" s="298"/>
      <c r="C116" s="291"/>
      <c r="D116" s="295"/>
      <c r="E116" s="159"/>
      <c r="F116" s="29" t="s">
        <v>139</v>
      </c>
      <c r="G116" s="26">
        <f t="shared" ref="G116:I116" si="45">+G118</f>
        <v>265676.59999999998</v>
      </c>
      <c r="H116" s="26">
        <f t="shared" si="45"/>
        <v>566344.19999999995</v>
      </c>
      <c r="I116" s="26">
        <f t="shared" si="45"/>
        <v>566344.19999999995</v>
      </c>
    </row>
    <row r="117" spans="1:10" s="9" customFormat="1" ht="34.799999999999997">
      <c r="A117" s="282"/>
      <c r="B117" s="298"/>
      <c r="C117" s="291"/>
      <c r="D117" s="295"/>
      <c r="E117" s="159"/>
      <c r="F117" s="49" t="s">
        <v>63</v>
      </c>
      <c r="G117" s="4"/>
      <c r="H117" s="27"/>
      <c r="I117" s="4"/>
    </row>
    <row r="118" spans="1:10" s="9" customFormat="1" ht="16.95" customHeight="1">
      <c r="A118" s="282"/>
      <c r="B118" s="298"/>
      <c r="C118" s="291"/>
      <c r="D118" s="295"/>
      <c r="E118" s="159"/>
      <c r="F118" s="57" t="s">
        <v>7</v>
      </c>
      <c r="G118" s="5">
        <f t="shared" ref="G118:I118" si="46">G119</f>
        <v>265676.59999999998</v>
      </c>
      <c r="H118" s="5">
        <f t="shared" si="46"/>
        <v>566344.19999999995</v>
      </c>
      <c r="I118" s="5">
        <f t="shared" si="46"/>
        <v>566344.19999999995</v>
      </c>
    </row>
    <row r="119" spans="1:10" s="9" customFormat="1" ht="16.95" customHeight="1">
      <c r="A119" s="282"/>
      <c r="B119" s="298"/>
      <c r="C119" s="291"/>
      <c r="D119" s="295"/>
      <c r="E119" s="159"/>
      <c r="F119" s="49" t="s">
        <v>61</v>
      </c>
      <c r="G119" s="6">
        <f t="shared" ref="G119:I121" si="47">+G120</f>
        <v>265676.59999999998</v>
      </c>
      <c r="H119" s="6">
        <f t="shared" si="47"/>
        <v>566344.19999999995</v>
      </c>
      <c r="I119" s="6">
        <f t="shared" si="47"/>
        <v>566344.19999999995</v>
      </c>
    </row>
    <row r="120" spans="1:10" s="9" customFormat="1" ht="16.2" customHeight="1">
      <c r="A120" s="282"/>
      <c r="B120" s="298"/>
      <c r="C120" s="291"/>
      <c r="D120" s="295"/>
      <c r="E120" s="159"/>
      <c r="F120" s="49" t="s">
        <v>62</v>
      </c>
      <c r="G120" s="6">
        <f t="shared" si="47"/>
        <v>265676.59999999998</v>
      </c>
      <c r="H120" s="6">
        <f t="shared" si="47"/>
        <v>566344.19999999995</v>
      </c>
      <c r="I120" s="6">
        <f t="shared" si="47"/>
        <v>566344.19999999995</v>
      </c>
    </row>
    <row r="121" spans="1:10" s="9" customFormat="1" ht="16.2" customHeight="1">
      <c r="A121" s="282"/>
      <c r="B121" s="298"/>
      <c r="C121" s="291"/>
      <c r="D121" s="295"/>
      <c r="E121" s="159"/>
      <c r="F121" s="49" t="s">
        <v>64</v>
      </c>
      <c r="G121" s="22">
        <f t="shared" si="47"/>
        <v>265676.59999999998</v>
      </c>
      <c r="H121" s="22">
        <f t="shared" si="47"/>
        <v>566344.19999999995</v>
      </c>
      <c r="I121" s="22">
        <f t="shared" si="47"/>
        <v>566344.19999999995</v>
      </c>
      <c r="J121" s="13"/>
    </row>
    <row r="122" spans="1:10" s="9" customFormat="1" ht="18">
      <c r="A122" s="282"/>
      <c r="B122" s="298"/>
      <c r="C122" s="291"/>
      <c r="D122" s="295"/>
      <c r="E122" s="160"/>
      <c r="F122" s="51" t="s">
        <v>185</v>
      </c>
      <c r="G122" s="22">
        <f>+'Հավելված N 5'!E58</f>
        <v>265676.59999999998</v>
      </c>
      <c r="H122" s="22">
        <f>+'Հավելված N 5'!F58</f>
        <v>566344.19999999995</v>
      </c>
      <c r="I122" s="22">
        <f>+'Հավելված N 5'!G58</f>
        <v>566344.19999999995</v>
      </c>
      <c r="J122" s="13"/>
    </row>
    <row r="123" spans="1:10" s="12" customFormat="1" ht="36.6" customHeight="1">
      <c r="A123" s="282"/>
      <c r="B123" s="298"/>
      <c r="C123" s="291"/>
      <c r="D123" s="295"/>
      <c r="E123" s="159"/>
      <c r="F123" s="29" t="s">
        <v>146</v>
      </c>
      <c r="G123" s="26">
        <f t="shared" ref="G123:I123" si="48">+G125</f>
        <v>134650.1</v>
      </c>
      <c r="H123" s="26">
        <f t="shared" si="48"/>
        <v>191736</v>
      </c>
      <c r="I123" s="26">
        <f t="shared" si="48"/>
        <v>204784.1</v>
      </c>
    </row>
    <row r="124" spans="1:10" s="9" customFormat="1" ht="34.799999999999997">
      <c r="A124" s="282"/>
      <c r="B124" s="298"/>
      <c r="C124" s="291"/>
      <c r="D124" s="295"/>
      <c r="E124" s="159"/>
      <c r="F124" s="49" t="s">
        <v>63</v>
      </c>
      <c r="G124" s="4"/>
      <c r="H124" s="27"/>
      <c r="I124" s="4"/>
    </row>
    <row r="125" spans="1:10" s="9" customFormat="1" ht="16.95" customHeight="1">
      <c r="A125" s="282"/>
      <c r="B125" s="298"/>
      <c r="C125" s="291"/>
      <c r="D125" s="295"/>
      <c r="E125" s="159"/>
      <c r="F125" s="57" t="s">
        <v>7</v>
      </c>
      <c r="G125" s="5">
        <f t="shared" ref="G125:I125" si="49">G126</f>
        <v>134650.1</v>
      </c>
      <c r="H125" s="5">
        <f t="shared" si="49"/>
        <v>191736</v>
      </c>
      <c r="I125" s="5">
        <f t="shared" si="49"/>
        <v>204784.1</v>
      </c>
    </row>
    <row r="126" spans="1:10" s="9" customFormat="1" ht="16.95" customHeight="1">
      <c r="A126" s="282"/>
      <c r="B126" s="298"/>
      <c r="C126" s="291"/>
      <c r="D126" s="295"/>
      <c r="E126" s="159"/>
      <c r="F126" s="49" t="s">
        <v>61</v>
      </c>
      <c r="G126" s="6">
        <f t="shared" ref="G126:I128" si="50">+G127</f>
        <v>134650.1</v>
      </c>
      <c r="H126" s="6">
        <f t="shared" si="50"/>
        <v>191736</v>
      </c>
      <c r="I126" s="6">
        <f t="shared" si="50"/>
        <v>204784.1</v>
      </c>
    </row>
    <row r="127" spans="1:10" s="9" customFormat="1" ht="16.2" customHeight="1">
      <c r="A127" s="282"/>
      <c r="B127" s="298"/>
      <c r="C127" s="291"/>
      <c r="D127" s="295"/>
      <c r="E127" s="159"/>
      <c r="F127" s="49" t="s">
        <v>62</v>
      </c>
      <c r="G127" s="6">
        <f t="shared" si="50"/>
        <v>134650.1</v>
      </c>
      <c r="H127" s="6">
        <f t="shared" si="50"/>
        <v>191736</v>
      </c>
      <c r="I127" s="6">
        <f t="shared" si="50"/>
        <v>204784.1</v>
      </c>
    </row>
    <row r="128" spans="1:10" s="9" customFormat="1" ht="16.2" customHeight="1">
      <c r="A128" s="282"/>
      <c r="B128" s="298"/>
      <c r="C128" s="291"/>
      <c r="D128" s="295"/>
      <c r="E128" s="159"/>
      <c r="F128" s="49" t="s">
        <v>64</v>
      </c>
      <c r="G128" s="22">
        <f t="shared" si="50"/>
        <v>134650.1</v>
      </c>
      <c r="H128" s="22">
        <f t="shared" si="50"/>
        <v>191736</v>
      </c>
      <c r="I128" s="22">
        <f t="shared" si="50"/>
        <v>204784.1</v>
      </c>
      <c r="J128" s="13"/>
    </row>
    <row r="129" spans="1:10" s="9" customFormat="1" ht="18">
      <c r="A129" s="282"/>
      <c r="B129" s="298"/>
      <c r="C129" s="291"/>
      <c r="D129" s="295"/>
      <c r="E129" s="160"/>
      <c r="F129" s="51" t="s">
        <v>185</v>
      </c>
      <c r="G129" s="22">
        <f>+'Հավելված N 5'!E65</f>
        <v>134650.1</v>
      </c>
      <c r="H129" s="22">
        <f>+'Հավելված N 5'!F65</f>
        <v>191736</v>
      </c>
      <c r="I129" s="22">
        <f>+'Հավելված N 5'!G65</f>
        <v>204784.1</v>
      </c>
      <c r="J129" s="13"/>
    </row>
    <row r="130" spans="1:10" s="12" customFormat="1" ht="36.6" customHeight="1">
      <c r="A130" s="282"/>
      <c r="B130" s="298"/>
      <c r="C130" s="291"/>
      <c r="D130" s="295"/>
      <c r="E130" s="159"/>
      <c r="F130" s="29" t="s">
        <v>154</v>
      </c>
      <c r="G130" s="26">
        <f t="shared" ref="G130:I130" si="51">+G132</f>
        <v>119021</v>
      </c>
      <c r="H130" s="26">
        <f t="shared" si="51"/>
        <v>170029.9</v>
      </c>
      <c r="I130" s="26">
        <f t="shared" si="51"/>
        <v>170029.9</v>
      </c>
    </row>
    <row r="131" spans="1:10" s="9" customFormat="1" ht="34.799999999999997">
      <c r="A131" s="282"/>
      <c r="B131" s="298"/>
      <c r="C131" s="291"/>
      <c r="D131" s="295"/>
      <c r="E131" s="159"/>
      <c r="F131" s="49" t="s">
        <v>63</v>
      </c>
      <c r="G131" s="4"/>
      <c r="H131" s="27"/>
      <c r="I131" s="4"/>
    </row>
    <row r="132" spans="1:10" s="9" customFormat="1" ht="16.95" customHeight="1">
      <c r="A132" s="282"/>
      <c r="B132" s="298"/>
      <c r="C132" s="291"/>
      <c r="D132" s="295"/>
      <c r="E132" s="159"/>
      <c r="F132" s="57" t="s">
        <v>7</v>
      </c>
      <c r="G132" s="5">
        <f t="shared" ref="G132:I132" si="52">G133</f>
        <v>119021</v>
      </c>
      <c r="H132" s="5">
        <f t="shared" si="52"/>
        <v>170029.9</v>
      </c>
      <c r="I132" s="5">
        <f t="shared" si="52"/>
        <v>170029.9</v>
      </c>
    </row>
    <row r="133" spans="1:10" s="9" customFormat="1" ht="16.95" customHeight="1">
      <c r="A133" s="282"/>
      <c r="B133" s="298"/>
      <c r="C133" s="291"/>
      <c r="D133" s="295"/>
      <c r="E133" s="159"/>
      <c r="F133" s="49" t="s">
        <v>61</v>
      </c>
      <c r="G133" s="6">
        <f t="shared" ref="G133:I135" si="53">+G134</f>
        <v>119021</v>
      </c>
      <c r="H133" s="6">
        <f t="shared" si="53"/>
        <v>170029.9</v>
      </c>
      <c r="I133" s="6">
        <f t="shared" si="53"/>
        <v>170029.9</v>
      </c>
    </row>
    <row r="134" spans="1:10" s="9" customFormat="1" ht="16.2" customHeight="1">
      <c r="A134" s="282"/>
      <c r="B134" s="298"/>
      <c r="C134" s="291"/>
      <c r="D134" s="295"/>
      <c r="E134" s="159"/>
      <c r="F134" s="49" t="s">
        <v>62</v>
      </c>
      <c r="G134" s="6">
        <f t="shared" si="53"/>
        <v>119021</v>
      </c>
      <c r="H134" s="6">
        <f t="shared" si="53"/>
        <v>170029.9</v>
      </c>
      <c r="I134" s="6">
        <f t="shared" si="53"/>
        <v>170029.9</v>
      </c>
    </row>
    <row r="135" spans="1:10" s="9" customFormat="1" ht="16.2" customHeight="1">
      <c r="A135" s="282"/>
      <c r="B135" s="298"/>
      <c r="C135" s="291"/>
      <c r="D135" s="295"/>
      <c r="E135" s="159"/>
      <c r="F135" s="49" t="s">
        <v>64</v>
      </c>
      <c r="G135" s="22">
        <f t="shared" si="53"/>
        <v>119021</v>
      </c>
      <c r="H135" s="22">
        <f t="shared" si="53"/>
        <v>170029.9</v>
      </c>
      <c r="I135" s="22">
        <f t="shared" si="53"/>
        <v>170029.9</v>
      </c>
      <c r="J135" s="13"/>
    </row>
    <row r="136" spans="1:10" s="9" customFormat="1" ht="18">
      <c r="A136" s="282"/>
      <c r="B136" s="298"/>
      <c r="C136" s="291"/>
      <c r="D136" s="295"/>
      <c r="E136" s="160"/>
      <c r="F136" s="51" t="s">
        <v>185</v>
      </c>
      <c r="G136" s="22">
        <f>+'Հավելված N 5'!E71</f>
        <v>119021</v>
      </c>
      <c r="H136" s="22">
        <f>+'Հավելված N 5'!F71</f>
        <v>170029.9</v>
      </c>
      <c r="I136" s="22">
        <f>+'Հավելված N 5'!G71</f>
        <v>170029.9</v>
      </c>
      <c r="J136" s="13"/>
    </row>
    <row r="137" spans="1:10" s="12" customFormat="1" ht="36.6" customHeight="1">
      <c r="A137" s="282"/>
      <c r="B137" s="298"/>
      <c r="C137" s="291"/>
      <c r="D137" s="295"/>
      <c r="E137" s="159"/>
      <c r="F137" s="29" t="s">
        <v>163</v>
      </c>
      <c r="G137" s="26">
        <f t="shared" ref="G137:I137" si="54">+G139</f>
        <v>102798.39999999999</v>
      </c>
      <c r="H137" s="26">
        <f t="shared" si="54"/>
        <v>146138.29999999999</v>
      </c>
      <c r="I137" s="26">
        <f t="shared" si="54"/>
        <v>161185.5</v>
      </c>
    </row>
    <row r="138" spans="1:10" s="9" customFormat="1" ht="34.799999999999997">
      <c r="A138" s="282"/>
      <c r="B138" s="298"/>
      <c r="C138" s="291"/>
      <c r="D138" s="295"/>
      <c r="E138" s="159"/>
      <c r="F138" s="49" t="s">
        <v>63</v>
      </c>
      <c r="G138" s="4"/>
      <c r="H138" s="27"/>
      <c r="I138" s="4"/>
    </row>
    <row r="139" spans="1:10" s="9" customFormat="1" ht="16.95" customHeight="1">
      <c r="A139" s="282"/>
      <c r="B139" s="298"/>
      <c r="C139" s="291"/>
      <c r="D139" s="295"/>
      <c r="E139" s="159"/>
      <c r="F139" s="57" t="s">
        <v>7</v>
      </c>
      <c r="G139" s="5">
        <f t="shared" ref="G139:I139" si="55">G140</f>
        <v>102798.39999999999</v>
      </c>
      <c r="H139" s="5">
        <f t="shared" si="55"/>
        <v>146138.29999999999</v>
      </c>
      <c r="I139" s="5">
        <f t="shared" si="55"/>
        <v>161185.5</v>
      </c>
    </row>
    <row r="140" spans="1:10" s="9" customFormat="1" ht="16.95" customHeight="1">
      <c r="A140" s="282"/>
      <c r="B140" s="298"/>
      <c r="C140" s="291"/>
      <c r="D140" s="295"/>
      <c r="E140" s="159"/>
      <c r="F140" s="49" t="s">
        <v>61</v>
      </c>
      <c r="G140" s="6">
        <f t="shared" ref="G140:I142" si="56">+G141</f>
        <v>102798.39999999999</v>
      </c>
      <c r="H140" s="6">
        <f t="shared" si="56"/>
        <v>146138.29999999999</v>
      </c>
      <c r="I140" s="6">
        <f t="shared" si="56"/>
        <v>161185.5</v>
      </c>
    </row>
    <row r="141" spans="1:10" s="9" customFormat="1" ht="16.2" customHeight="1">
      <c r="A141" s="282"/>
      <c r="B141" s="298"/>
      <c r="C141" s="291"/>
      <c r="D141" s="295"/>
      <c r="E141" s="159"/>
      <c r="F141" s="49" t="s">
        <v>62</v>
      </c>
      <c r="G141" s="6">
        <f t="shared" si="56"/>
        <v>102798.39999999999</v>
      </c>
      <c r="H141" s="6">
        <f t="shared" si="56"/>
        <v>146138.29999999999</v>
      </c>
      <c r="I141" s="6">
        <f t="shared" si="56"/>
        <v>161185.5</v>
      </c>
    </row>
    <row r="142" spans="1:10" s="9" customFormat="1" ht="16.2" customHeight="1">
      <c r="A142" s="282"/>
      <c r="B142" s="298"/>
      <c r="C142" s="291"/>
      <c r="D142" s="295"/>
      <c r="E142" s="159"/>
      <c r="F142" s="49" t="s">
        <v>64</v>
      </c>
      <c r="G142" s="22">
        <f t="shared" si="56"/>
        <v>102798.39999999999</v>
      </c>
      <c r="H142" s="22">
        <f t="shared" si="56"/>
        <v>146138.29999999999</v>
      </c>
      <c r="I142" s="22">
        <f t="shared" si="56"/>
        <v>161185.5</v>
      </c>
      <c r="J142" s="13"/>
    </row>
    <row r="143" spans="1:10" s="9" customFormat="1" ht="18">
      <c r="A143" s="282"/>
      <c r="B143" s="298"/>
      <c r="C143" s="291"/>
      <c r="D143" s="295"/>
      <c r="E143" s="160"/>
      <c r="F143" s="51" t="s">
        <v>185</v>
      </c>
      <c r="G143" s="22">
        <f>+'Հավելված N 5'!E77</f>
        <v>102798.39999999999</v>
      </c>
      <c r="H143" s="22">
        <f>+'Հավելված N 5'!F77</f>
        <v>146138.29999999999</v>
      </c>
      <c r="I143" s="22">
        <f>+'Հավելված N 5'!G77</f>
        <v>161185.5</v>
      </c>
      <c r="J143" s="13"/>
    </row>
    <row r="144" spans="1:10" s="12" customFormat="1" ht="36.6" customHeight="1">
      <c r="A144" s="282"/>
      <c r="B144" s="298"/>
      <c r="C144" s="291"/>
      <c r="D144" s="295"/>
      <c r="E144" s="159"/>
      <c r="F144" s="29" t="s">
        <v>169</v>
      </c>
      <c r="G144" s="26">
        <f t="shared" ref="G144:I144" si="57">+G146</f>
        <v>209564.9</v>
      </c>
      <c r="H144" s="26">
        <f t="shared" si="57"/>
        <v>284469.3</v>
      </c>
      <c r="I144" s="26">
        <f t="shared" si="57"/>
        <v>349274.8</v>
      </c>
    </row>
    <row r="145" spans="1:10" s="9" customFormat="1" ht="34.799999999999997">
      <c r="A145" s="282"/>
      <c r="B145" s="298"/>
      <c r="C145" s="291"/>
      <c r="D145" s="295"/>
      <c r="E145" s="159"/>
      <c r="F145" s="49" t="s">
        <v>63</v>
      </c>
      <c r="G145" s="4"/>
      <c r="H145" s="27"/>
      <c r="I145" s="4"/>
    </row>
    <row r="146" spans="1:10" s="9" customFormat="1" ht="16.95" customHeight="1">
      <c r="A146" s="282"/>
      <c r="B146" s="298"/>
      <c r="C146" s="291"/>
      <c r="D146" s="295"/>
      <c r="E146" s="159"/>
      <c r="F146" s="57" t="s">
        <v>7</v>
      </c>
      <c r="G146" s="5">
        <f t="shared" ref="G146:I146" si="58">G147</f>
        <v>209564.9</v>
      </c>
      <c r="H146" s="5">
        <f t="shared" si="58"/>
        <v>284469.3</v>
      </c>
      <c r="I146" s="5">
        <f t="shared" si="58"/>
        <v>349274.8</v>
      </c>
    </row>
    <row r="147" spans="1:10" s="9" customFormat="1" ht="16.95" customHeight="1">
      <c r="A147" s="282"/>
      <c r="B147" s="298"/>
      <c r="C147" s="291"/>
      <c r="D147" s="295"/>
      <c r="E147" s="159"/>
      <c r="F147" s="49" t="s">
        <v>61</v>
      </c>
      <c r="G147" s="6">
        <f t="shared" ref="G147:I149" si="59">+G148</f>
        <v>209564.9</v>
      </c>
      <c r="H147" s="6">
        <f t="shared" si="59"/>
        <v>284469.3</v>
      </c>
      <c r="I147" s="6">
        <f t="shared" si="59"/>
        <v>349274.8</v>
      </c>
    </row>
    <row r="148" spans="1:10" s="9" customFormat="1" ht="16.2" customHeight="1">
      <c r="A148" s="282"/>
      <c r="B148" s="298"/>
      <c r="C148" s="291"/>
      <c r="D148" s="295"/>
      <c r="E148" s="159"/>
      <c r="F148" s="49" t="s">
        <v>62</v>
      </c>
      <c r="G148" s="6">
        <f t="shared" si="59"/>
        <v>209564.9</v>
      </c>
      <c r="H148" s="6">
        <f t="shared" si="59"/>
        <v>284469.3</v>
      </c>
      <c r="I148" s="6">
        <f t="shared" si="59"/>
        <v>349274.8</v>
      </c>
    </row>
    <row r="149" spans="1:10" s="9" customFormat="1" ht="16.2" customHeight="1">
      <c r="A149" s="282"/>
      <c r="B149" s="298"/>
      <c r="C149" s="291"/>
      <c r="D149" s="295"/>
      <c r="E149" s="159"/>
      <c r="F149" s="49" t="s">
        <v>64</v>
      </c>
      <c r="G149" s="22">
        <f t="shared" si="59"/>
        <v>209564.9</v>
      </c>
      <c r="H149" s="22">
        <f t="shared" si="59"/>
        <v>284469.3</v>
      </c>
      <c r="I149" s="22">
        <f t="shared" si="59"/>
        <v>349274.8</v>
      </c>
      <c r="J149" s="13"/>
    </row>
    <row r="150" spans="1:10" s="9" customFormat="1" ht="18">
      <c r="A150" s="282"/>
      <c r="B150" s="298"/>
      <c r="C150" s="291"/>
      <c r="D150" s="295"/>
      <c r="E150" s="160"/>
      <c r="F150" s="51" t="s">
        <v>185</v>
      </c>
      <c r="G150" s="22">
        <f>+'Հավելված N 5'!E82</f>
        <v>209564.9</v>
      </c>
      <c r="H150" s="22">
        <f>+'Հավելված N 5'!F82</f>
        <v>284469.3</v>
      </c>
      <c r="I150" s="22">
        <f>+'Հավելված N 5'!G82</f>
        <v>349274.8</v>
      </c>
      <c r="J150" s="13"/>
    </row>
    <row r="151" spans="1:10" s="12" customFormat="1" ht="36.6" customHeight="1">
      <c r="A151" s="282"/>
      <c r="B151" s="298"/>
      <c r="C151" s="291"/>
      <c r="D151" s="295"/>
      <c r="E151" s="159"/>
      <c r="F151" s="29" t="s">
        <v>175</v>
      </c>
      <c r="G151" s="26">
        <f t="shared" ref="G151:I151" si="60">+G153</f>
        <v>266429.5</v>
      </c>
      <c r="H151" s="26">
        <f t="shared" si="60"/>
        <v>378507</v>
      </c>
      <c r="I151" s="26">
        <f t="shared" si="60"/>
        <v>422743.60000000003</v>
      </c>
    </row>
    <row r="152" spans="1:10" s="9" customFormat="1" ht="34.799999999999997">
      <c r="A152" s="282"/>
      <c r="B152" s="298"/>
      <c r="C152" s="291"/>
      <c r="D152" s="295"/>
      <c r="E152" s="159"/>
      <c r="F152" s="49" t="s">
        <v>63</v>
      </c>
      <c r="G152" s="4"/>
      <c r="H152" s="27"/>
      <c r="I152" s="4"/>
    </row>
    <row r="153" spans="1:10" s="9" customFormat="1" ht="16.95" customHeight="1">
      <c r="A153" s="282"/>
      <c r="B153" s="298"/>
      <c r="C153" s="291"/>
      <c r="D153" s="295"/>
      <c r="E153" s="159"/>
      <c r="F153" s="57" t="s">
        <v>7</v>
      </c>
      <c r="G153" s="5">
        <f t="shared" ref="G153:I153" si="61">G154</f>
        <v>266429.5</v>
      </c>
      <c r="H153" s="5">
        <f t="shared" si="61"/>
        <v>378507</v>
      </c>
      <c r="I153" s="5">
        <f t="shared" si="61"/>
        <v>422743.60000000003</v>
      </c>
    </row>
    <row r="154" spans="1:10" s="9" customFormat="1" ht="16.95" customHeight="1">
      <c r="A154" s="282"/>
      <c r="B154" s="298"/>
      <c r="C154" s="291"/>
      <c r="D154" s="295"/>
      <c r="E154" s="159"/>
      <c r="F154" s="49" t="s">
        <v>61</v>
      </c>
      <c r="G154" s="6">
        <f t="shared" ref="G154:I156" si="62">+G155</f>
        <v>266429.5</v>
      </c>
      <c r="H154" s="6">
        <f t="shared" si="62"/>
        <v>378507</v>
      </c>
      <c r="I154" s="6">
        <f t="shared" si="62"/>
        <v>422743.60000000003</v>
      </c>
    </row>
    <row r="155" spans="1:10" s="9" customFormat="1" ht="16.2" customHeight="1">
      <c r="A155" s="282"/>
      <c r="B155" s="298"/>
      <c r="C155" s="291"/>
      <c r="D155" s="295"/>
      <c r="E155" s="159"/>
      <c r="F155" s="49" t="s">
        <v>62</v>
      </c>
      <c r="G155" s="6">
        <f t="shared" si="62"/>
        <v>266429.5</v>
      </c>
      <c r="H155" s="6">
        <f t="shared" si="62"/>
        <v>378507</v>
      </c>
      <c r="I155" s="6">
        <f t="shared" si="62"/>
        <v>422743.60000000003</v>
      </c>
    </row>
    <row r="156" spans="1:10" s="9" customFormat="1" ht="16.2" customHeight="1">
      <c r="A156" s="282"/>
      <c r="B156" s="298"/>
      <c r="C156" s="291"/>
      <c r="D156" s="295"/>
      <c r="E156" s="159"/>
      <c r="F156" s="49" t="s">
        <v>64</v>
      </c>
      <c r="G156" s="22">
        <f t="shared" si="62"/>
        <v>266429.5</v>
      </c>
      <c r="H156" s="22">
        <f t="shared" si="62"/>
        <v>378507</v>
      </c>
      <c r="I156" s="22">
        <f t="shared" si="62"/>
        <v>422743.60000000003</v>
      </c>
      <c r="J156" s="13"/>
    </row>
    <row r="157" spans="1:10" s="9" customFormat="1" ht="18">
      <c r="A157" s="282"/>
      <c r="B157" s="299"/>
      <c r="C157" s="292"/>
      <c r="D157" s="296"/>
      <c r="E157" s="160"/>
      <c r="F157" s="51" t="s">
        <v>185</v>
      </c>
      <c r="G157" s="22">
        <f>+'Հավելված N 5'!E87</f>
        <v>266429.5</v>
      </c>
      <c r="H157" s="22">
        <f>+'Հավելված N 5'!F87</f>
        <v>378507</v>
      </c>
      <c r="I157" s="22">
        <f>+'Հավելված N 5'!G87</f>
        <v>422743.60000000003</v>
      </c>
      <c r="J157" s="13"/>
    </row>
    <row r="158" spans="1:10" s="9" customFormat="1" ht="18">
      <c r="A158" s="282"/>
      <c r="B158" s="290" t="s">
        <v>263</v>
      </c>
      <c r="C158" s="162"/>
      <c r="D158" s="24"/>
      <c r="E158" s="21"/>
      <c r="F158" s="56" t="s">
        <v>265</v>
      </c>
      <c r="G158" s="5">
        <f t="shared" ref="G158:I158" si="63">+G160</f>
        <v>-1600000</v>
      </c>
      <c r="H158" s="5">
        <f t="shared" si="63"/>
        <v>-2600000</v>
      </c>
      <c r="I158" s="5">
        <f t="shared" si="63"/>
        <v>-3500000</v>
      </c>
    </row>
    <row r="159" spans="1:10" s="9" customFormat="1" ht="18">
      <c r="A159" s="282"/>
      <c r="B159" s="291"/>
      <c r="C159" s="162"/>
      <c r="D159" s="24"/>
      <c r="E159" s="21"/>
      <c r="F159" s="49" t="s">
        <v>6</v>
      </c>
      <c r="G159" s="4"/>
      <c r="H159" s="5"/>
      <c r="I159" s="4"/>
    </row>
    <row r="160" spans="1:10" s="9" customFormat="1" ht="18">
      <c r="A160" s="282"/>
      <c r="B160" s="291"/>
      <c r="C160" s="290" t="s">
        <v>28</v>
      </c>
      <c r="D160" s="163"/>
      <c r="E160" s="21"/>
      <c r="F160" s="56" t="s">
        <v>266</v>
      </c>
      <c r="G160" s="5">
        <f t="shared" ref="G160:I160" si="64">+G162</f>
        <v>-1600000</v>
      </c>
      <c r="H160" s="5">
        <f t="shared" si="64"/>
        <v>-2600000</v>
      </c>
      <c r="I160" s="5">
        <f t="shared" si="64"/>
        <v>-3500000</v>
      </c>
    </row>
    <row r="161" spans="1:10" s="9" customFormat="1" ht="16.95" customHeight="1">
      <c r="A161" s="282"/>
      <c r="B161" s="291"/>
      <c r="C161" s="291"/>
      <c r="D161" s="163"/>
      <c r="E161" s="21"/>
      <c r="F161" s="49" t="s">
        <v>6</v>
      </c>
      <c r="G161" s="10"/>
      <c r="H161" s="5"/>
      <c r="I161" s="10"/>
    </row>
    <row r="162" spans="1:10" s="9" customFormat="1" ht="34.799999999999997">
      <c r="A162" s="282"/>
      <c r="B162" s="291"/>
      <c r="C162" s="291"/>
      <c r="D162" s="163"/>
      <c r="E162" s="21"/>
      <c r="F162" s="50" t="s">
        <v>12</v>
      </c>
      <c r="G162" s="5">
        <f t="shared" ref="G162:I162" si="65">+G164</f>
        <v>-1600000</v>
      </c>
      <c r="H162" s="5">
        <f t="shared" si="65"/>
        <v>-2600000</v>
      </c>
      <c r="I162" s="5">
        <f t="shared" si="65"/>
        <v>-3500000</v>
      </c>
    </row>
    <row r="163" spans="1:10" s="9" customFormat="1" ht="16.95" customHeight="1">
      <c r="A163" s="282"/>
      <c r="B163" s="291"/>
      <c r="C163" s="291"/>
      <c r="D163" s="164"/>
      <c r="E163" s="25"/>
      <c r="F163" s="49" t="s">
        <v>6</v>
      </c>
      <c r="G163" s="5"/>
      <c r="H163" s="5"/>
      <c r="I163" s="5"/>
    </row>
    <row r="164" spans="1:10" s="9" customFormat="1" ht="36.6" customHeight="1">
      <c r="A164" s="282"/>
      <c r="B164" s="291"/>
      <c r="C164" s="291"/>
      <c r="D164" s="58">
        <v>1236</v>
      </c>
      <c r="E164" s="281" t="s">
        <v>99</v>
      </c>
      <c r="F164" s="281"/>
      <c r="G164" s="1">
        <f>+G166+G175+G184</f>
        <v>-1600000</v>
      </c>
      <c r="H164" s="1">
        <f t="shared" ref="H164:I164" si="66">+H166+H175+H184</f>
        <v>-2600000</v>
      </c>
      <c r="I164" s="1">
        <f t="shared" si="66"/>
        <v>-3500000</v>
      </c>
    </row>
    <row r="165" spans="1:10" s="9" customFormat="1" ht="16.95" customHeight="1">
      <c r="A165" s="282"/>
      <c r="B165" s="291"/>
      <c r="C165" s="291"/>
      <c r="D165" s="191"/>
      <c r="E165" s="46"/>
      <c r="F165" s="49" t="s">
        <v>6</v>
      </c>
      <c r="G165" s="1"/>
      <c r="H165" s="1"/>
      <c r="I165" s="1"/>
    </row>
    <row r="166" spans="1:10" s="9" customFormat="1" ht="72">
      <c r="A166" s="282"/>
      <c r="B166" s="291"/>
      <c r="C166" s="291"/>
      <c r="D166" s="228"/>
      <c r="E166" s="65">
        <v>11001</v>
      </c>
      <c r="F166" s="48" t="s">
        <v>362</v>
      </c>
      <c r="G166" s="11">
        <f t="shared" ref="G166:I166" si="67">+G168</f>
        <v>379124.9</v>
      </c>
      <c r="H166" s="11">
        <f t="shared" si="67"/>
        <v>509124.89999999997</v>
      </c>
      <c r="I166" s="11">
        <f t="shared" si="67"/>
        <v>509124.89999999997</v>
      </c>
    </row>
    <row r="167" spans="1:10" s="9" customFormat="1" ht="16.2" customHeight="1">
      <c r="A167" s="282"/>
      <c r="B167" s="291"/>
      <c r="C167" s="291"/>
      <c r="D167" s="228"/>
      <c r="E167" s="161"/>
      <c r="F167" s="49" t="s">
        <v>15</v>
      </c>
      <c r="G167" s="4"/>
      <c r="H167" s="5"/>
      <c r="I167" s="4"/>
    </row>
    <row r="168" spans="1:10" s="12" customFormat="1" ht="36.6" customHeight="1">
      <c r="A168" s="282"/>
      <c r="B168" s="291"/>
      <c r="C168" s="291"/>
      <c r="D168" s="228"/>
      <c r="E168" s="159"/>
      <c r="F168" s="29" t="s">
        <v>12</v>
      </c>
      <c r="G168" s="26">
        <f t="shared" ref="G168:I168" si="68">+G170</f>
        <v>379124.9</v>
      </c>
      <c r="H168" s="26">
        <f t="shared" si="68"/>
        <v>509124.89999999997</v>
      </c>
      <c r="I168" s="26">
        <f t="shared" si="68"/>
        <v>509124.89999999997</v>
      </c>
    </row>
    <row r="169" spans="1:10" s="9" customFormat="1" ht="52.2">
      <c r="A169" s="282"/>
      <c r="B169" s="291"/>
      <c r="C169" s="291"/>
      <c r="D169" s="228"/>
      <c r="E169" s="159"/>
      <c r="F169" s="49" t="s">
        <v>363</v>
      </c>
      <c r="G169" s="4"/>
      <c r="H169" s="27"/>
      <c r="I169" s="4"/>
    </row>
    <row r="170" spans="1:10" s="9" customFormat="1" ht="16.95" customHeight="1">
      <c r="A170" s="282"/>
      <c r="B170" s="291"/>
      <c r="C170" s="291"/>
      <c r="D170" s="228"/>
      <c r="E170" s="159"/>
      <c r="F170" s="57" t="s">
        <v>7</v>
      </c>
      <c r="G170" s="5">
        <f t="shared" ref="G170:I170" si="69">G171</f>
        <v>379124.9</v>
      </c>
      <c r="H170" s="5">
        <f t="shared" si="69"/>
        <v>509124.89999999997</v>
      </c>
      <c r="I170" s="5">
        <f t="shared" si="69"/>
        <v>509124.89999999997</v>
      </c>
    </row>
    <row r="171" spans="1:10" s="9" customFormat="1" ht="16.95" customHeight="1">
      <c r="A171" s="282"/>
      <c r="B171" s="291"/>
      <c r="C171" s="291"/>
      <c r="D171" s="228"/>
      <c r="E171" s="159"/>
      <c r="F171" s="49" t="s">
        <v>256</v>
      </c>
      <c r="G171" s="6">
        <f t="shared" ref="G171:I173" si="70">+G172</f>
        <v>379124.9</v>
      </c>
      <c r="H171" s="6">
        <f t="shared" si="70"/>
        <v>509124.89999999997</v>
      </c>
      <c r="I171" s="6">
        <f t="shared" si="70"/>
        <v>509124.89999999997</v>
      </c>
    </row>
    <row r="172" spans="1:10" s="9" customFormat="1" ht="16.2" customHeight="1">
      <c r="A172" s="282"/>
      <c r="B172" s="291"/>
      <c r="C172" s="291"/>
      <c r="D172" s="228"/>
      <c r="E172" s="159"/>
      <c r="F172" s="49" t="s">
        <v>315</v>
      </c>
      <c r="G172" s="6">
        <f t="shared" si="70"/>
        <v>379124.9</v>
      </c>
      <c r="H172" s="6">
        <f t="shared" si="70"/>
        <v>509124.89999999997</v>
      </c>
      <c r="I172" s="6">
        <f t="shared" si="70"/>
        <v>509124.89999999997</v>
      </c>
    </row>
    <row r="173" spans="1:10" s="9" customFormat="1" ht="16.2" customHeight="1">
      <c r="A173" s="282"/>
      <c r="B173" s="291"/>
      <c r="C173" s="291"/>
      <c r="D173" s="228"/>
      <c r="E173" s="159"/>
      <c r="F173" s="49" t="s">
        <v>316</v>
      </c>
      <c r="G173" s="22">
        <f t="shared" si="70"/>
        <v>379124.9</v>
      </c>
      <c r="H173" s="22">
        <f t="shared" si="70"/>
        <v>509124.89999999997</v>
      </c>
      <c r="I173" s="22">
        <f t="shared" si="70"/>
        <v>509124.89999999997</v>
      </c>
      <c r="J173" s="13"/>
    </row>
    <row r="174" spans="1:10" s="9" customFormat="1" ht="18">
      <c r="A174" s="282"/>
      <c r="B174" s="291"/>
      <c r="C174" s="291"/>
      <c r="D174" s="228"/>
      <c r="E174" s="160"/>
      <c r="F174" s="51" t="s">
        <v>317</v>
      </c>
      <c r="G174" s="22">
        <v>379124.9</v>
      </c>
      <c r="H174" s="22">
        <f>+I174</f>
        <v>509124.89999999997</v>
      </c>
      <c r="I174" s="22">
        <f>+'Հավելված N 9'!I28</f>
        <v>509124.89999999997</v>
      </c>
      <c r="J174" s="13"/>
    </row>
    <row r="175" spans="1:10" s="9" customFormat="1" ht="18">
      <c r="A175" s="282"/>
      <c r="B175" s="291"/>
      <c r="C175" s="291"/>
      <c r="D175" s="191"/>
      <c r="E175" s="65" t="s">
        <v>267</v>
      </c>
      <c r="F175" s="48" t="s">
        <v>268</v>
      </c>
      <c r="G175" s="11">
        <f t="shared" ref="G175:I175" si="71">+G177</f>
        <v>-600000</v>
      </c>
      <c r="H175" s="11">
        <f t="shared" si="71"/>
        <v>-1000000</v>
      </c>
      <c r="I175" s="11">
        <f t="shared" si="71"/>
        <v>-1250000</v>
      </c>
    </row>
    <row r="176" spans="1:10" s="9" customFormat="1" ht="16.2" customHeight="1">
      <c r="A176" s="282"/>
      <c r="B176" s="291"/>
      <c r="C176" s="291"/>
      <c r="D176" s="191"/>
      <c r="E176" s="161"/>
      <c r="F176" s="49" t="s">
        <v>15</v>
      </c>
      <c r="G176" s="4"/>
      <c r="H176" s="5"/>
      <c r="I176" s="4"/>
    </row>
    <row r="177" spans="1:10" s="12" customFormat="1" ht="36.6" customHeight="1">
      <c r="A177" s="282"/>
      <c r="B177" s="291"/>
      <c r="C177" s="291"/>
      <c r="D177" s="191"/>
      <c r="E177" s="159"/>
      <c r="F177" s="29" t="s">
        <v>237</v>
      </c>
      <c r="G177" s="26">
        <f t="shared" ref="G177:I177" si="72">+G179</f>
        <v>-600000</v>
      </c>
      <c r="H177" s="26">
        <f t="shared" si="72"/>
        <v>-1000000</v>
      </c>
      <c r="I177" s="26">
        <f t="shared" si="72"/>
        <v>-1250000</v>
      </c>
    </row>
    <row r="178" spans="1:10" s="9" customFormat="1" ht="34.799999999999997">
      <c r="A178" s="282"/>
      <c r="B178" s="291"/>
      <c r="C178" s="291"/>
      <c r="D178" s="191"/>
      <c r="E178" s="159"/>
      <c r="F178" s="49" t="s">
        <v>63</v>
      </c>
      <c r="G178" s="4"/>
      <c r="H178" s="27"/>
      <c r="I178" s="4"/>
    </row>
    <row r="179" spans="1:10" s="9" customFormat="1" ht="16.95" customHeight="1">
      <c r="A179" s="282"/>
      <c r="B179" s="291"/>
      <c r="C179" s="291"/>
      <c r="D179" s="191"/>
      <c r="E179" s="159"/>
      <c r="F179" s="57" t="s">
        <v>7</v>
      </c>
      <c r="G179" s="5">
        <f t="shared" ref="G179:I179" si="73">G180</f>
        <v>-600000</v>
      </c>
      <c r="H179" s="5">
        <f t="shared" si="73"/>
        <v>-1000000</v>
      </c>
      <c r="I179" s="5">
        <f t="shared" si="73"/>
        <v>-1250000</v>
      </c>
    </row>
    <row r="180" spans="1:10" s="9" customFormat="1" ht="16.95" customHeight="1">
      <c r="A180" s="282"/>
      <c r="B180" s="291"/>
      <c r="C180" s="291"/>
      <c r="D180" s="191"/>
      <c r="E180" s="159"/>
      <c r="F180" s="49" t="s">
        <v>61</v>
      </c>
      <c r="G180" s="6">
        <f t="shared" ref="G180:I182" si="74">+G181</f>
        <v>-600000</v>
      </c>
      <c r="H180" s="6">
        <f t="shared" si="74"/>
        <v>-1000000</v>
      </c>
      <c r="I180" s="6">
        <f t="shared" si="74"/>
        <v>-1250000</v>
      </c>
    </row>
    <row r="181" spans="1:10" s="9" customFormat="1" ht="16.2" customHeight="1">
      <c r="A181" s="282"/>
      <c r="B181" s="291"/>
      <c r="C181" s="291"/>
      <c r="D181" s="191"/>
      <c r="E181" s="159"/>
      <c r="F181" s="49" t="s">
        <v>62</v>
      </c>
      <c r="G181" s="6">
        <f t="shared" si="74"/>
        <v>-600000</v>
      </c>
      <c r="H181" s="6">
        <f t="shared" si="74"/>
        <v>-1000000</v>
      </c>
      <c r="I181" s="6">
        <f t="shared" si="74"/>
        <v>-1250000</v>
      </c>
    </row>
    <row r="182" spans="1:10" s="9" customFormat="1" ht="16.2" customHeight="1">
      <c r="A182" s="282"/>
      <c r="B182" s="291"/>
      <c r="C182" s="291"/>
      <c r="D182" s="191"/>
      <c r="E182" s="159"/>
      <c r="F182" s="49" t="s">
        <v>64</v>
      </c>
      <c r="G182" s="22">
        <f t="shared" si="74"/>
        <v>-600000</v>
      </c>
      <c r="H182" s="22">
        <f t="shared" si="74"/>
        <v>-1000000</v>
      </c>
      <c r="I182" s="22">
        <f t="shared" si="74"/>
        <v>-1250000</v>
      </c>
      <c r="J182" s="13"/>
    </row>
    <row r="183" spans="1:10" s="9" customFormat="1" ht="18">
      <c r="A183" s="282"/>
      <c r="B183" s="291"/>
      <c r="C183" s="291"/>
      <c r="D183" s="191"/>
      <c r="E183" s="160"/>
      <c r="F183" s="51" t="s">
        <v>264</v>
      </c>
      <c r="G183" s="22">
        <f>+'Հավելված N 5'!E97</f>
        <v>-600000</v>
      </c>
      <c r="H183" s="22">
        <f>+'Հավելված N 5'!F97</f>
        <v>-1000000</v>
      </c>
      <c r="I183" s="22">
        <f>+'Հավելված N 5'!G97</f>
        <v>-1250000</v>
      </c>
      <c r="J183" s="13"/>
    </row>
    <row r="184" spans="1:10" s="9" customFormat="1" ht="36">
      <c r="A184" s="282"/>
      <c r="B184" s="291"/>
      <c r="C184" s="291"/>
      <c r="D184" s="191"/>
      <c r="E184" s="47">
        <v>32004</v>
      </c>
      <c r="F184" s="48" t="s">
        <v>269</v>
      </c>
      <c r="G184" s="11">
        <f>+G186+G193</f>
        <v>-1379124.9</v>
      </c>
      <c r="H184" s="11">
        <f t="shared" ref="H184:I184" si="75">+H186+H193</f>
        <v>-2109124.9</v>
      </c>
      <c r="I184" s="11">
        <f t="shared" si="75"/>
        <v>-2759124.9</v>
      </c>
    </row>
    <row r="185" spans="1:10" s="9" customFormat="1" ht="16.2" customHeight="1">
      <c r="A185" s="282"/>
      <c r="B185" s="291"/>
      <c r="C185" s="291"/>
      <c r="D185" s="191"/>
      <c r="E185" s="161"/>
      <c r="F185" s="49" t="s">
        <v>15</v>
      </c>
      <c r="G185" s="4"/>
      <c r="H185" s="5"/>
      <c r="I185" s="4"/>
    </row>
    <row r="186" spans="1:10" s="12" customFormat="1" ht="36.6" customHeight="1">
      <c r="A186" s="282"/>
      <c r="B186" s="291"/>
      <c r="C186" s="291"/>
      <c r="D186" s="228"/>
      <c r="E186" s="159"/>
      <c r="F186" s="29" t="s">
        <v>12</v>
      </c>
      <c r="G186" s="26">
        <f t="shared" ref="G186:I186" si="76">+G188</f>
        <v>0</v>
      </c>
      <c r="H186" s="26">
        <f t="shared" si="76"/>
        <v>-509124.89999999997</v>
      </c>
      <c r="I186" s="26">
        <f t="shared" si="76"/>
        <v>-509124.89999999997</v>
      </c>
    </row>
    <row r="187" spans="1:10" s="9" customFormat="1" ht="34.799999999999997">
      <c r="A187" s="282"/>
      <c r="B187" s="291"/>
      <c r="C187" s="291"/>
      <c r="D187" s="228"/>
      <c r="E187" s="159"/>
      <c r="F187" s="49" t="s">
        <v>63</v>
      </c>
      <c r="G187" s="4"/>
      <c r="H187" s="27"/>
      <c r="I187" s="4"/>
    </row>
    <row r="188" spans="1:10" s="9" customFormat="1" ht="16.95" customHeight="1">
      <c r="A188" s="282"/>
      <c r="B188" s="291"/>
      <c r="C188" s="291"/>
      <c r="D188" s="228"/>
      <c r="E188" s="159"/>
      <c r="F188" s="57" t="s">
        <v>7</v>
      </c>
      <c r="G188" s="5">
        <f>+G189</f>
        <v>0</v>
      </c>
      <c r="H188" s="5">
        <f t="shared" ref="H188:I188" si="77">+H189</f>
        <v>-509124.89999999997</v>
      </c>
      <c r="I188" s="5">
        <f t="shared" si="77"/>
        <v>-509124.89999999997</v>
      </c>
    </row>
    <row r="189" spans="1:10" s="9" customFormat="1" ht="16.95" customHeight="1">
      <c r="A189" s="282"/>
      <c r="B189" s="291"/>
      <c r="C189" s="291"/>
      <c r="D189" s="228"/>
      <c r="E189" s="159"/>
      <c r="F189" s="49" t="s">
        <v>61</v>
      </c>
      <c r="G189" s="6">
        <f t="shared" ref="G189:I191" si="78">+G190</f>
        <v>0</v>
      </c>
      <c r="H189" s="6">
        <f t="shared" si="78"/>
        <v>-509124.89999999997</v>
      </c>
      <c r="I189" s="6">
        <f t="shared" si="78"/>
        <v>-509124.89999999997</v>
      </c>
    </row>
    <row r="190" spans="1:10" s="9" customFormat="1" ht="16.2" customHeight="1">
      <c r="A190" s="282"/>
      <c r="B190" s="291"/>
      <c r="C190" s="291"/>
      <c r="D190" s="228"/>
      <c r="E190" s="159"/>
      <c r="F190" s="49" t="s">
        <v>62</v>
      </c>
      <c r="G190" s="6">
        <f t="shared" si="78"/>
        <v>0</v>
      </c>
      <c r="H190" s="6">
        <f t="shared" si="78"/>
        <v>-509124.89999999997</v>
      </c>
      <c r="I190" s="6">
        <f t="shared" si="78"/>
        <v>-509124.89999999997</v>
      </c>
    </row>
    <row r="191" spans="1:10" s="9" customFormat="1" ht="16.2" customHeight="1">
      <c r="A191" s="282"/>
      <c r="B191" s="291"/>
      <c r="C191" s="291"/>
      <c r="D191" s="228"/>
      <c r="E191" s="159"/>
      <c r="F191" s="49" t="s">
        <v>64</v>
      </c>
      <c r="G191" s="22">
        <f t="shared" si="78"/>
        <v>0</v>
      </c>
      <c r="H191" s="22">
        <f t="shared" si="78"/>
        <v>-509124.89999999997</v>
      </c>
      <c r="I191" s="22">
        <f t="shared" si="78"/>
        <v>-509124.89999999997</v>
      </c>
      <c r="J191" s="13"/>
    </row>
    <row r="192" spans="1:10" s="9" customFormat="1" ht="18">
      <c r="A192" s="282"/>
      <c r="B192" s="291"/>
      <c r="C192" s="291"/>
      <c r="D192" s="228"/>
      <c r="E192" s="160"/>
      <c r="F192" s="51" t="s">
        <v>185</v>
      </c>
      <c r="G192" s="22">
        <f>+'Հավելված N 5'!E102</f>
        <v>0</v>
      </c>
      <c r="H192" s="22">
        <f>+'Հավելված N 5'!F102</f>
        <v>-509124.89999999997</v>
      </c>
      <c r="I192" s="22">
        <f>+'Հավելված N 5'!G102</f>
        <v>-509124.89999999997</v>
      </c>
      <c r="J192" s="13"/>
    </row>
    <row r="193" spans="1:10" s="12" customFormat="1" ht="36.6" customHeight="1">
      <c r="A193" s="282"/>
      <c r="B193" s="291"/>
      <c r="C193" s="291"/>
      <c r="D193" s="191"/>
      <c r="E193" s="159"/>
      <c r="F193" s="29" t="s">
        <v>237</v>
      </c>
      <c r="G193" s="26">
        <f t="shared" ref="G193:I193" si="79">+G195</f>
        <v>-1379124.9</v>
      </c>
      <c r="H193" s="26">
        <f t="shared" si="79"/>
        <v>-1600000</v>
      </c>
      <c r="I193" s="26">
        <f t="shared" si="79"/>
        <v>-2250000</v>
      </c>
    </row>
    <row r="194" spans="1:10" s="9" customFormat="1" ht="34.799999999999997">
      <c r="A194" s="282"/>
      <c r="B194" s="291"/>
      <c r="C194" s="291"/>
      <c r="D194" s="191"/>
      <c r="E194" s="159"/>
      <c r="F194" s="49" t="s">
        <v>63</v>
      </c>
      <c r="G194" s="4"/>
      <c r="H194" s="27"/>
      <c r="I194" s="4"/>
    </row>
    <row r="195" spans="1:10" s="9" customFormat="1" ht="16.95" customHeight="1">
      <c r="A195" s="282"/>
      <c r="B195" s="291"/>
      <c r="C195" s="291"/>
      <c r="D195" s="191"/>
      <c r="E195" s="159"/>
      <c r="F195" s="57" t="s">
        <v>7</v>
      </c>
      <c r="G195" s="5">
        <f>G196+G200</f>
        <v>-1379124.9</v>
      </c>
      <c r="H195" s="5">
        <f t="shared" ref="H195:I195" si="80">H196+H200</f>
        <v>-1600000</v>
      </c>
      <c r="I195" s="5">
        <f t="shared" si="80"/>
        <v>-2250000</v>
      </c>
    </row>
    <row r="196" spans="1:10" s="9" customFormat="1" ht="16.95" customHeight="1">
      <c r="A196" s="282"/>
      <c r="B196" s="291"/>
      <c r="C196" s="291"/>
      <c r="D196" s="228"/>
      <c r="E196" s="159"/>
      <c r="F196" s="49" t="s">
        <v>256</v>
      </c>
      <c r="G196" s="6">
        <f>+G197</f>
        <v>2567</v>
      </c>
      <c r="H196" s="6">
        <f t="shared" ref="G196:I198" si="81">+H197</f>
        <v>2567</v>
      </c>
      <c r="I196" s="6">
        <f t="shared" si="81"/>
        <v>2567</v>
      </c>
    </row>
    <row r="197" spans="1:10" s="9" customFormat="1" ht="16.2" customHeight="1">
      <c r="A197" s="282"/>
      <c r="B197" s="291"/>
      <c r="C197" s="291"/>
      <c r="D197" s="228"/>
      <c r="E197" s="159"/>
      <c r="F197" s="49" t="s">
        <v>315</v>
      </c>
      <c r="G197" s="6">
        <f t="shared" si="81"/>
        <v>2567</v>
      </c>
      <c r="H197" s="6">
        <f t="shared" si="81"/>
        <v>2567</v>
      </c>
      <c r="I197" s="6">
        <f t="shared" si="81"/>
        <v>2567</v>
      </c>
    </row>
    <row r="198" spans="1:10" s="9" customFormat="1" ht="16.2" customHeight="1">
      <c r="A198" s="282"/>
      <c r="B198" s="291"/>
      <c r="C198" s="291"/>
      <c r="D198" s="228"/>
      <c r="E198" s="159"/>
      <c r="F198" s="49" t="s">
        <v>316</v>
      </c>
      <c r="G198" s="22">
        <f t="shared" si="81"/>
        <v>2567</v>
      </c>
      <c r="H198" s="22">
        <f t="shared" si="81"/>
        <v>2567</v>
      </c>
      <c r="I198" s="22">
        <f t="shared" si="81"/>
        <v>2567</v>
      </c>
      <c r="J198" s="13"/>
    </row>
    <row r="199" spans="1:10" s="9" customFormat="1" ht="18" customHeight="1">
      <c r="A199" s="282"/>
      <c r="B199" s="291"/>
      <c r="C199" s="291"/>
      <c r="D199" s="228"/>
      <c r="E199" s="159"/>
      <c r="F199" s="51" t="s">
        <v>317</v>
      </c>
      <c r="G199" s="22">
        <f>+I199</f>
        <v>2567</v>
      </c>
      <c r="H199" s="22">
        <f>+I199</f>
        <v>2567</v>
      </c>
      <c r="I199" s="22">
        <f>+'Հավելված N 9'!I38</f>
        <v>2567</v>
      </c>
      <c r="J199" s="13"/>
    </row>
    <row r="200" spans="1:10" s="9" customFormat="1" ht="16.95" customHeight="1">
      <c r="A200" s="282"/>
      <c r="B200" s="291"/>
      <c r="C200" s="291"/>
      <c r="D200" s="191"/>
      <c r="E200" s="159"/>
      <c r="F200" s="49" t="s">
        <v>61</v>
      </c>
      <c r="G200" s="6">
        <f t="shared" ref="G200:I202" si="82">+G201</f>
        <v>-1381691.9</v>
      </c>
      <c r="H200" s="6">
        <f t="shared" si="82"/>
        <v>-1602567</v>
      </c>
      <c r="I200" s="6">
        <f t="shared" si="82"/>
        <v>-2252567</v>
      </c>
    </row>
    <row r="201" spans="1:10" s="9" customFormat="1" ht="16.2" customHeight="1">
      <c r="A201" s="282"/>
      <c r="B201" s="291"/>
      <c r="C201" s="291"/>
      <c r="D201" s="191"/>
      <c r="E201" s="159"/>
      <c r="F201" s="49" t="s">
        <v>62</v>
      </c>
      <c r="G201" s="6">
        <f t="shared" si="82"/>
        <v>-1381691.9</v>
      </c>
      <c r="H201" s="6">
        <f t="shared" si="82"/>
        <v>-1602567</v>
      </c>
      <c r="I201" s="6">
        <f t="shared" si="82"/>
        <v>-2252567</v>
      </c>
    </row>
    <row r="202" spans="1:10" s="9" customFormat="1" ht="16.2" customHeight="1">
      <c r="A202" s="282"/>
      <c r="B202" s="291"/>
      <c r="C202" s="291"/>
      <c r="D202" s="191"/>
      <c r="E202" s="159"/>
      <c r="F202" s="49" t="s">
        <v>64</v>
      </c>
      <c r="G202" s="22">
        <f t="shared" si="82"/>
        <v>-1381691.9</v>
      </c>
      <c r="H202" s="22">
        <f t="shared" si="82"/>
        <v>-1602567</v>
      </c>
      <c r="I202" s="22">
        <f t="shared" si="82"/>
        <v>-2252567</v>
      </c>
      <c r="J202" s="13"/>
    </row>
    <row r="203" spans="1:10" s="9" customFormat="1" ht="18">
      <c r="A203" s="282"/>
      <c r="B203" s="292"/>
      <c r="C203" s="292"/>
      <c r="D203" s="191"/>
      <c r="E203" s="160"/>
      <c r="F203" s="51" t="s">
        <v>185</v>
      </c>
      <c r="G203" s="22">
        <f>+'Հավելված N 5'!E105</f>
        <v>-1381691.9</v>
      </c>
      <c r="H203" s="22">
        <f>+'Հավելված N 5'!F105</f>
        <v>-1602567</v>
      </c>
      <c r="I203" s="22">
        <f>+'Հավելված N 5'!G105</f>
        <v>-2252567</v>
      </c>
      <c r="J203" s="13"/>
    </row>
    <row r="204" spans="1:10" s="9" customFormat="1" ht="36">
      <c r="A204" s="282"/>
      <c r="B204" s="284" t="s">
        <v>261</v>
      </c>
      <c r="C204" s="288"/>
      <c r="D204" s="285"/>
      <c r="E204" s="21"/>
      <c r="F204" s="56" t="s">
        <v>262</v>
      </c>
      <c r="G204" s="5">
        <f t="shared" ref="G204:I204" si="83">+G206</f>
        <v>12676.5</v>
      </c>
      <c r="H204" s="5">
        <f t="shared" si="83"/>
        <v>12676.5</v>
      </c>
      <c r="I204" s="5">
        <f t="shared" si="83"/>
        <v>12676.5</v>
      </c>
    </row>
    <row r="205" spans="1:10" s="9" customFormat="1" ht="18" customHeight="1">
      <c r="A205" s="282"/>
      <c r="B205" s="284"/>
      <c r="C205" s="289"/>
      <c r="D205" s="286"/>
      <c r="E205" s="21"/>
      <c r="F205" s="49" t="s">
        <v>6</v>
      </c>
      <c r="G205" s="4"/>
      <c r="H205" s="5"/>
      <c r="I205" s="4"/>
    </row>
    <row r="206" spans="1:10" s="9" customFormat="1" ht="36">
      <c r="A206" s="282"/>
      <c r="B206" s="284"/>
      <c r="C206" s="284" t="s">
        <v>28</v>
      </c>
      <c r="D206" s="286"/>
      <c r="E206" s="21"/>
      <c r="F206" s="56" t="s">
        <v>262</v>
      </c>
      <c r="G206" s="5">
        <f t="shared" ref="G206:I206" si="84">+G208</f>
        <v>12676.5</v>
      </c>
      <c r="H206" s="5">
        <f t="shared" si="84"/>
        <v>12676.5</v>
      </c>
      <c r="I206" s="5">
        <f t="shared" si="84"/>
        <v>12676.5</v>
      </c>
    </row>
    <row r="207" spans="1:10" s="9" customFormat="1" ht="16.95" customHeight="1">
      <c r="A207" s="282"/>
      <c r="B207" s="284"/>
      <c r="C207" s="284"/>
      <c r="D207" s="286"/>
      <c r="E207" s="21"/>
      <c r="F207" s="49" t="s">
        <v>6</v>
      </c>
      <c r="G207" s="10"/>
      <c r="H207" s="5"/>
      <c r="I207" s="10"/>
    </row>
    <row r="208" spans="1:10" s="9" customFormat="1" ht="34.799999999999997">
      <c r="A208" s="282"/>
      <c r="B208" s="284"/>
      <c r="C208" s="284"/>
      <c r="D208" s="286"/>
      <c r="E208" s="21"/>
      <c r="F208" s="50" t="s">
        <v>12</v>
      </c>
      <c r="G208" s="5">
        <f t="shared" ref="G208:I208" si="85">+G210</f>
        <v>12676.5</v>
      </c>
      <c r="H208" s="5">
        <f t="shared" si="85"/>
        <v>12676.5</v>
      </c>
      <c r="I208" s="5">
        <f t="shared" si="85"/>
        <v>12676.5</v>
      </c>
    </row>
    <row r="209" spans="1:10" s="9" customFormat="1" ht="16.95" customHeight="1">
      <c r="A209" s="282"/>
      <c r="B209" s="284"/>
      <c r="C209" s="284"/>
      <c r="D209" s="287"/>
      <c r="E209" s="25"/>
      <c r="F209" s="49" t="s">
        <v>6</v>
      </c>
      <c r="G209" s="5"/>
      <c r="H209" s="5"/>
      <c r="I209" s="5"/>
    </row>
    <row r="210" spans="1:10" s="9" customFormat="1" ht="36.6" customHeight="1">
      <c r="A210" s="282"/>
      <c r="B210" s="284"/>
      <c r="C210" s="284"/>
      <c r="D210" s="47">
        <v>1192</v>
      </c>
      <c r="E210" s="281" t="s">
        <v>252</v>
      </c>
      <c r="F210" s="281"/>
      <c r="G210" s="1">
        <f t="shared" ref="G210:I210" si="86">+G212</f>
        <v>12676.5</v>
      </c>
      <c r="H210" s="1">
        <f t="shared" si="86"/>
        <v>12676.5</v>
      </c>
      <c r="I210" s="1">
        <f t="shared" si="86"/>
        <v>12676.5</v>
      </c>
    </row>
    <row r="211" spans="1:10" s="9" customFormat="1" ht="16.95" customHeight="1">
      <c r="A211" s="282"/>
      <c r="B211" s="284"/>
      <c r="C211" s="284"/>
      <c r="D211" s="283"/>
      <c r="E211" s="46"/>
      <c r="F211" s="49" t="s">
        <v>6</v>
      </c>
      <c r="G211" s="1"/>
      <c r="H211" s="1"/>
      <c r="I211" s="1"/>
    </row>
    <row r="212" spans="1:10" s="9" customFormat="1" ht="54">
      <c r="A212" s="282"/>
      <c r="B212" s="284"/>
      <c r="C212" s="284"/>
      <c r="D212" s="283"/>
      <c r="E212" s="47">
        <v>11023</v>
      </c>
      <c r="F212" s="48" t="s">
        <v>254</v>
      </c>
      <c r="G212" s="11">
        <f t="shared" ref="G212:I212" si="87">+G214</f>
        <v>12676.5</v>
      </c>
      <c r="H212" s="11">
        <f t="shared" si="87"/>
        <v>12676.5</v>
      </c>
      <c r="I212" s="11">
        <f t="shared" si="87"/>
        <v>12676.5</v>
      </c>
    </row>
    <row r="213" spans="1:10" s="9" customFormat="1" ht="16.2" customHeight="1">
      <c r="A213" s="282"/>
      <c r="B213" s="284"/>
      <c r="C213" s="284"/>
      <c r="D213" s="283"/>
      <c r="E213" s="161"/>
      <c r="F213" s="49" t="s">
        <v>15</v>
      </c>
      <c r="G213" s="4"/>
      <c r="H213" s="5"/>
      <c r="I213" s="4"/>
    </row>
    <row r="214" spans="1:10" s="12" customFormat="1" ht="36.6" customHeight="1">
      <c r="A214" s="282"/>
      <c r="B214" s="284"/>
      <c r="C214" s="284"/>
      <c r="D214" s="283"/>
      <c r="E214" s="159"/>
      <c r="F214" s="29" t="s">
        <v>255</v>
      </c>
      <c r="G214" s="26">
        <f t="shared" ref="G214:I214" si="88">+G216</f>
        <v>12676.5</v>
      </c>
      <c r="H214" s="26">
        <f t="shared" si="88"/>
        <v>12676.5</v>
      </c>
      <c r="I214" s="26">
        <f t="shared" si="88"/>
        <v>12676.5</v>
      </c>
    </row>
    <row r="215" spans="1:10" s="9" customFormat="1" ht="34.799999999999997">
      <c r="A215" s="282"/>
      <c r="B215" s="284"/>
      <c r="C215" s="284"/>
      <c r="D215" s="283"/>
      <c r="E215" s="159"/>
      <c r="F215" s="49" t="s">
        <v>63</v>
      </c>
      <c r="G215" s="4"/>
      <c r="H215" s="27"/>
      <c r="I215" s="4"/>
    </row>
    <row r="216" spans="1:10" s="9" customFormat="1" ht="16.95" customHeight="1">
      <c r="A216" s="282"/>
      <c r="B216" s="284"/>
      <c r="C216" s="284"/>
      <c r="D216" s="283"/>
      <c r="E216" s="159"/>
      <c r="F216" s="57" t="s">
        <v>7</v>
      </c>
      <c r="G216" s="5">
        <f t="shared" ref="G216:I216" si="89">G217</f>
        <v>12676.5</v>
      </c>
      <c r="H216" s="5">
        <f t="shared" si="89"/>
        <v>12676.5</v>
      </c>
      <c r="I216" s="5">
        <f t="shared" si="89"/>
        <v>12676.5</v>
      </c>
    </row>
    <row r="217" spans="1:10" s="9" customFormat="1" ht="16.95" customHeight="1">
      <c r="A217" s="282"/>
      <c r="B217" s="284"/>
      <c r="C217" s="284"/>
      <c r="D217" s="283"/>
      <c r="E217" s="159"/>
      <c r="F217" s="49" t="s">
        <v>256</v>
      </c>
      <c r="G217" s="6">
        <f t="shared" ref="G217:I219" si="90">+G218</f>
        <v>12676.5</v>
      </c>
      <c r="H217" s="6">
        <f t="shared" si="90"/>
        <v>12676.5</v>
      </c>
      <c r="I217" s="6">
        <f t="shared" si="90"/>
        <v>12676.5</v>
      </c>
    </row>
    <row r="218" spans="1:10" s="9" customFormat="1" ht="16.2" customHeight="1">
      <c r="A218" s="282"/>
      <c r="B218" s="284"/>
      <c r="C218" s="284"/>
      <c r="D218" s="283"/>
      <c r="E218" s="159"/>
      <c r="F218" s="49" t="s">
        <v>257</v>
      </c>
      <c r="G218" s="6">
        <f t="shared" si="90"/>
        <v>12676.5</v>
      </c>
      <c r="H218" s="6">
        <f t="shared" si="90"/>
        <v>12676.5</v>
      </c>
      <c r="I218" s="6">
        <f t="shared" si="90"/>
        <v>12676.5</v>
      </c>
    </row>
    <row r="219" spans="1:10" s="9" customFormat="1" ht="16.2" customHeight="1">
      <c r="A219" s="282"/>
      <c r="B219" s="284"/>
      <c r="C219" s="284"/>
      <c r="D219" s="283"/>
      <c r="E219" s="159"/>
      <c r="F219" s="49" t="s">
        <v>258</v>
      </c>
      <c r="G219" s="22">
        <f t="shared" si="90"/>
        <v>12676.5</v>
      </c>
      <c r="H219" s="22">
        <f t="shared" si="90"/>
        <v>12676.5</v>
      </c>
      <c r="I219" s="22">
        <f t="shared" si="90"/>
        <v>12676.5</v>
      </c>
      <c r="J219" s="13"/>
    </row>
    <row r="220" spans="1:10" s="9" customFormat="1" ht="34.799999999999997">
      <c r="A220" s="282"/>
      <c r="B220" s="284"/>
      <c r="C220" s="284"/>
      <c r="D220" s="283"/>
      <c r="E220" s="160"/>
      <c r="F220" s="51" t="s">
        <v>372</v>
      </c>
      <c r="G220" s="22">
        <f>+'Հավելված N 6'!D28</f>
        <v>12676.5</v>
      </c>
      <c r="H220" s="22">
        <f>+'Հավելված N 6'!G28</f>
        <v>12676.5</v>
      </c>
      <c r="I220" s="22">
        <f>+'Հավելված N 6'!J28</f>
        <v>12676.5</v>
      </c>
      <c r="J220" s="13"/>
    </row>
  </sheetData>
  <mergeCells count="30">
    <mergeCell ref="B16:B17"/>
    <mergeCell ref="E24:F24"/>
    <mergeCell ref="A16:A41"/>
    <mergeCell ref="B18:B41"/>
    <mergeCell ref="C20:C41"/>
    <mergeCell ref="D26:D41"/>
    <mergeCell ref="E210:F210"/>
    <mergeCell ref="A42:A220"/>
    <mergeCell ref="D211:D220"/>
    <mergeCell ref="C206:C220"/>
    <mergeCell ref="B204:B220"/>
    <mergeCell ref="D204:D209"/>
    <mergeCell ref="C204:C205"/>
    <mergeCell ref="E164:F164"/>
    <mergeCell ref="C160:C203"/>
    <mergeCell ref="B158:B203"/>
    <mergeCell ref="E50:F50"/>
    <mergeCell ref="B42:B43"/>
    <mergeCell ref="D51:D157"/>
    <mergeCell ref="C46:C157"/>
    <mergeCell ref="B44:B157"/>
    <mergeCell ref="E98:E108"/>
    <mergeCell ref="F1:I1"/>
    <mergeCell ref="F3:I3"/>
    <mergeCell ref="A7:I7"/>
    <mergeCell ref="A11:C11"/>
    <mergeCell ref="D11:E11"/>
    <mergeCell ref="F2:I2"/>
    <mergeCell ref="F11:F12"/>
    <mergeCell ref="G11:I11"/>
  </mergeCells>
  <phoneticPr fontId="96" type="noConversion"/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5F3C-511C-41F7-AF72-9EE7B2D9CB82}">
  <sheetPr>
    <tabColor rgb="FF92D050"/>
  </sheetPr>
  <dimension ref="A1:K68"/>
  <sheetViews>
    <sheetView topLeftCell="A55" zoomScale="85" zoomScaleNormal="85" workbookViewId="0">
      <selection activeCell="F19" sqref="F19"/>
    </sheetView>
  </sheetViews>
  <sheetFormatPr defaultColWidth="9.109375" defaultRowHeight="18"/>
  <cols>
    <col min="1" max="1" width="9.109375" style="118"/>
    <col min="2" max="2" width="9.109375" style="118" customWidth="1"/>
    <col min="3" max="3" width="54.21875" style="118" customWidth="1"/>
    <col min="4" max="4" width="18.44140625" style="118" customWidth="1"/>
    <col min="5" max="8" width="20.44140625" style="118" customWidth="1"/>
    <col min="9" max="9" width="14.109375" style="118" bestFit="1" customWidth="1"/>
    <col min="10" max="10" width="15.6640625" style="99" customWidth="1"/>
    <col min="11" max="11" width="24.44140625" style="89" customWidth="1"/>
    <col min="12" max="16384" width="9.109375" style="118"/>
  </cols>
  <sheetData>
    <row r="1" spans="1:11" s="82" customFormat="1" ht="26.55" customHeight="1">
      <c r="A1" s="80"/>
      <c r="B1" s="81"/>
      <c r="C1" s="81"/>
      <c r="D1" s="81"/>
      <c r="E1" s="80"/>
      <c r="F1" s="315" t="s">
        <v>30</v>
      </c>
      <c r="G1" s="315"/>
      <c r="H1" s="315"/>
      <c r="J1" s="83"/>
      <c r="K1" s="84"/>
    </row>
    <row r="2" spans="1:11" s="87" customFormat="1">
      <c r="A2" s="85"/>
      <c r="B2" s="85"/>
      <c r="C2" s="85"/>
      <c r="D2" s="85"/>
      <c r="E2" s="86"/>
      <c r="F2" s="316" t="s">
        <v>54</v>
      </c>
      <c r="G2" s="316"/>
      <c r="H2" s="316"/>
      <c r="J2" s="88"/>
      <c r="K2" s="89"/>
    </row>
    <row r="3" spans="1:11" s="87" customFormat="1">
      <c r="A3" s="85"/>
      <c r="B3" s="85"/>
      <c r="C3" s="85"/>
      <c r="D3" s="85"/>
      <c r="E3" s="86"/>
      <c r="F3" s="316" t="s">
        <v>19</v>
      </c>
      <c r="G3" s="316"/>
      <c r="H3" s="316"/>
      <c r="J3" s="88"/>
      <c r="K3" s="89"/>
    </row>
    <row r="4" spans="1:11" s="87" customFormat="1">
      <c r="A4" s="90"/>
      <c r="B4" s="90"/>
      <c r="C4" s="91"/>
      <c r="D4" s="86"/>
      <c r="E4" s="86"/>
      <c r="F4" s="86"/>
      <c r="G4" s="86"/>
      <c r="H4" s="86"/>
      <c r="J4" s="88"/>
      <c r="K4" s="89"/>
    </row>
    <row r="5" spans="1:11" s="87" customFormat="1" ht="37.5" customHeight="1">
      <c r="A5" s="317" t="s">
        <v>240</v>
      </c>
      <c r="B5" s="318"/>
      <c r="C5" s="318"/>
      <c r="D5" s="318"/>
      <c r="E5" s="318"/>
      <c r="F5" s="318"/>
      <c r="G5" s="318"/>
      <c r="H5" s="318"/>
      <c r="J5" s="88"/>
      <c r="K5" s="89"/>
    </row>
    <row r="6" spans="1:11" s="87" customFormat="1" ht="37.5" customHeight="1">
      <c r="A6" s="318"/>
      <c r="B6" s="318"/>
      <c r="C6" s="318"/>
      <c r="D6" s="318"/>
      <c r="E6" s="318"/>
      <c r="F6" s="318"/>
      <c r="G6" s="318"/>
      <c r="H6" s="318"/>
      <c r="J6" s="88"/>
      <c r="K6" s="89"/>
    </row>
    <row r="7" spans="1:11" s="87" customFormat="1">
      <c r="E7" s="86"/>
      <c r="F7" s="86"/>
      <c r="G7" s="86"/>
      <c r="J7" s="88"/>
      <c r="K7" s="89"/>
    </row>
    <row r="8" spans="1:11" s="87" customFormat="1">
      <c r="A8" s="92"/>
      <c r="B8" s="92"/>
      <c r="C8" s="92"/>
      <c r="D8" s="93"/>
      <c r="E8" s="86"/>
      <c r="F8" s="86"/>
      <c r="G8" s="319" t="s">
        <v>9</v>
      </c>
      <c r="H8" s="319"/>
      <c r="J8" s="88"/>
      <c r="K8" s="89"/>
    </row>
    <row r="9" spans="1:11" s="87" customFormat="1" ht="45" customHeight="1">
      <c r="A9" s="306" t="s">
        <v>56</v>
      </c>
      <c r="B9" s="307"/>
      <c r="C9" s="308" t="s">
        <v>57</v>
      </c>
      <c r="D9" s="310" t="s">
        <v>100</v>
      </c>
      <c r="E9" s="312" t="s">
        <v>184</v>
      </c>
      <c r="F9" s="313"/>
      <c r="G9" s="313"/>
      <c r="H9" s="314"/>
      <c r="J9" s="88"/>
      <c r="K9" s="89"/>
    </row>
    <row r="10" spans="1:11" s="87" customFormat="1" ht="108">
      <c r="A10" s="60" t="s">
        <v>13</v>
      </c>
      <c r="B10" s="60" t="s">
        <v>14</v>
      </c>
      <c r="C10" s="309"/>
      <c r="D10" s="311"/>
      <c r="E10" s="94" t="s">
        <v>101</v>
      </c>
      <c r="F10" s="94" t="s">
        <v>102</v>
      </c>
      <c r="G10" s="94" t="s">
        <v>103</v>
      </c>
      <c r="H10" s="94" t="s">
        <v>104</v>
      </c>
      <c r="J10" s="88"/>
      <c r="K10" s="89"/>
    </row>
    <row r="11" spans="1:11" s="87" customFormat="1">
      <c r="A11" s="60"/>
      <c r="B11" s="60"/>
      <c r="C11" s="65" t="s">
        <v>105</v>
      </c>
      <c r="D11" s="30">
        <f>SUM(E11:H11)</f>
        <v>-534679.99999999953</v>
      </c>
      <c r="E11" s="30">
        <f>+E13</f>
        <v>2250000</v>
      </c>
      <c r="F11" s="30">
        <f>+F13</f>
        <v>-2778149.9999999995</v>
      </c>
      <c r="G11" s="30">
        <f>+G13</f>
        <v>1870</v>
      </c>
      <c r="H11" s="30">
        <f>+H13</f>
        <v>-8400</v>
      </c>
      <c r="I11" s="95"/>
      <c r="J11" s="88"/>
      <c r="K11" s="89"/>
    </row>
    <row r="12" spans="1:11" s="87" customFormat="1">
      <c r="A12" s="96"/>
      <c r="B12" s="96"/>
      <c r="C12" s="65" t="s">
        <v>106</v>
      </c>
      <c r="D12" s="97"/>
      <c r="E12" s="97"/>
      <c r="F12" s="97"/>
      <c r="G12" s="97"/>
      <c r="H12" s="97"/>
      <c r="I12" s="98"/>
      <c r="J12" s="99"/>
      <c r="K12" s="89"/>
    </row>
    <row r="13" spans="1:11" s="87" customFormat="1" ht="54">
      <c r="A13" s="100"/>
      <c r="B13" s="101"/>
      <c r="C13" s="101" t="s">
        <v>16</v>
      </c>
      <c r="D13" s="30">
        <f>SUM(E13:H13)</f>
        <v>-534679.99999999953</v>
      </c>
      <c r="E13" s="30">
        <f>+E15+E16+E19+E63+E66</f>
        <v>2250000</v>
      </c>
      <c r="F13" s="30">
        <f t="shared" ref="F13:H13" si="0">+F15+F16+F19+F63+F66</f>
        <v>-2778149.9999999995</v>
      </c>
      <c r="G13" s="30">
        <f t="shared" si="0"/>
        <v>1870</v>
      </c>
      <c r="H13" s="30">
        <f t="shared" si="0"/>
        <v>-8400</v>
      </c>
      <c r="J13" s="88"/>
      <c r="K13" s="89"/>
    </row>
    <row r="14" spans="1:11" s="87" customFormat="1">
      <c r="A14" s="100"/>
      <c r="B14" s="100"/>
      <c r="C14" s="100" t="s">
        <v>107</v>
      </c>
      <c r="D14" s="102"/>
      <c r="E14" s="102"/>
      <c r="F14" s="102"/>
      <c r="G14" s="102"/>
      <c r="H14" s="102"/>
      <c r="J14" s="88"/>
      <c r="K14" s="89"/>
    </row>
    <row r="15" spans="1:11" s="87" customFormat="1" ht="54">
      <c r="A15" s="65">
        <v>1041</v>
      </c>
      <c r="B15" s="65">
        <v>21001</v>
      </c>
      <c r="C15" s="48" t="s">
        <v>323</v>
      </c>
      <c r="D15" s="30">
        <f>SUM(E15:H15)</f>
        <v>-8400</v>
      </c>
      <c r="E15" s="30">
        <f>+E17</f>
        <v>0</v>
      </c>
      <c r="F15" s="30">
        <f t="shared" ref="F15:H16" si="1">+F17</f>
        <v>0</v>
      </c>
      <c r="G15" s="30">
        <f t="shared" si="1"/>
        <v>0</v>
      </c>
      <c r="H15" s="30">
        <f>+'Հավելված N 9'!I16</f>
        <v>-8400</v>
      </c>
      <c r="I15" s="88"/>
      <c r="J15" s="88"/>
      <c r="K15" s="89"/>
    </row>
    <row r="16" spans="1:11" s="87" customFormat="1">
      <c r="A16" s="65">
        <v>1236</v>
      </c>
      <c r="B16" s="65">
        <v>32001</v>
      </c>
      <c r="C16" s="48" t="s">
        <v>233</v>
      </c>
      <c r="D16" s="30">
        <f>SUM(E16:H16)</f>
        <v>3500000</v>
      </c>
      <c r="E16" s="30">
        <f>+E18</f>
        <v>3500000</v>
      </c>
      <c r="F16" s="30">
        <f t="shared" si="1"/>
        <v>0</v>
      </c>
      <c r="G16" s="30">
        <f t="shared" si="1"/>
        <v>0</v>
      </c>
      <c r="H16" s="30">
        <f t="shared" si="1"/>
        <v>0</v>
      </c>
      <c r="I16" s="88"/>
      <c r="J16" s="88"/>
      <c r="K16" s="89"/>
    </row>
    <row r="17" spans="1:11" s="2" customFormat="1">
      <c r="A17" s="103"/>
      <c r="B17" s="103"/>
      <c r="C17" s="104" t="s">
        <v>6</v>
      </c>
      <c r="D17" s="105"/>
      <c r="E17" s="106"/>
      <c r="F17" s="106"/>
      <c r="G17" s="106"/>
      <c r="H17" s="106"/>
      <c r="I17" s="88"/>
      <c r="J17" s="88"/>
      <c r="K17" s="89"/>
    </row>
    <row r="18" spans="1:11" s="123" customFormat="1">
      <c r="A18" s="119"/>
      <c r="B18" s="119"/>
      <c r="C18" s="108" t="s">
        <v>233</v>
      </c>
      <c r="D18" s="120">
        <f>SUM(E18:H18)</f>
        <v>3500000</v>
      </c>
      <c r="E18" s="72">
        <v>3500000</v>
      </c>
      <c r="F18" s="72">
        <v>0</v>
      </c>
      <c r="G18" s="72">
        <v>0</v>
      </c>
      <c r="H18" s="72">
        <v>0</v>
      </c>
      <c r="I18" s="121"/>
      <c r="J18" s="121"/>
      <c r="K18" s="122"/>
    </row>
    <row r="19" spans="1:11" s="87" customFormat="1" ht="44.4" customHeight="1">
      <c r="A19" s="65">
        <v>1236</v>
      </c>
      <c r="B19" s="65">
        <v>32002</v>
      </c>
      <c r="C19" s="48" t="s">
        <v>83</v>
      </c>
      <c r="D19" s="30">
        <f>SUM(E19:H19)</f>
        <v>-14588.099999999744</v>
      </c>
      <c r="E19" s="30">
        <f>+E21+E22+E28+E33+E39+E44+E48+E52+E55+E57</f>
        <v>0</v>
      </c>
      <c r="F19" s="30">
        <f t="shared" ref="F19:H19" si="2">+F21+F22+F28+F33+F39+F44+F48+F52+F55+F57</f>
        <v>-16458.099999999744</v>
      </c>
      <c r="G19" s="30">
        <f t="shared" si="2"/>
        <v>1870</v>
      </c>
      <c r="H19" s="30">
        <f t="shared" si="2"/>
        <v>0</v>
      </c>
      <c r="I19" s="88"/>
      <c r="J19" s="88"/>
      <c r="K19" s="89"/>
    </row>
    <row r="20" spans="1:11" s="2" customFormat="1">
      <c r="A20" s="103"/>
      <c r="B20" s="103"/>
      <c r="C20" s="104" t="s">
        <v>6</v>
      </c>
      <c r="D20" s="105"/>
      <c r="E20" s="106"/>
      <c r="F20" s="106"/>
      <c r="G20" s="106"/>
      <c r="H20" s="106"/>
      <c r="I20" s="88"/>
      <c r="J20" s="88"/>
      <c r="K20" s="89"/>
    </row>
    <row r="21" spans="1:11" s="123" customFormat="1" ht="36">
      <c r="A21" s="119"/>
      <c r="B21" s="119"/>
      <c r="C21" s="108" t="s">
        <v>83</v>
      </c>
      <c r="D21" s="120">
        <f>SUM(E21:H21)</f>
        <v>-2613532.4</v>
      </c>
      <c r="E21" s="72">
        <v>0</v>
      </c>
      <c r="F21" s="72">
        <f>-'Հավելված N 9'!I21-'Հավելված N 9'!I40-'Հավելված N 9'!I56-'Հավելված N 9'!I70-'Հավելված N 9'!I76-'Հավելված N 9'!I92-'Հավելված N 9'!I104-'Հավելված N 9'!I116-'Հավելված N 9'!I128-'Հավելված N 9'!I138-'Հավելված N 9'!I146-'Հավելված N 6'!J13</f>
        <v>-2613532.4</v>
      </c>
      <c r="G21" s="72">
        <v>0</v>
      </c>
      <c r="H21" s="72">
        <v>0</v>
      </c>
      <c r="I21" s="121"/>
      <c r="J21" s="121"/>
      <c r="K21" s="122"/>
    </row>
    <row r="22" spans="1:11" s="112" customFormat="1" ht="16.95" customHeight="1">
      <c r="A22" s="107"/>
      <c r="B22" s="107"/>
      <c r="C22" s="108" t="s">
        <v>108</v>
      </c>
      <c r="D22" s="109">
        <f>SUM(E22:H22)</f>
        <v>296331.7</v>
      </c>
      <c r="E22" s="109">
        <f>SUM(E23:E27)</f>
        <v>0</v>
      </c>
      <c r="F22" s="109">
        <f>SUM(F23:F27)</f>
        <v>296331.7</v>
      </c>
      <c r="G22" s="109">
        <f t="shared" ref="G22:H22" si="3">SUM(G23:G27)</f>
        <v>0</v>
      </c>
      <c r="H22" s="109">
        <f t="shared" si="3"/>
        <v>0</v>
      </c>
      <c r="I22" s="110"/>
      <c r="J22" s="110"/>
      <c r="K22" s="111"/>
    </row>
    <row r="23" spans="1:11" s="117" customFormat="1" ht="34.799999999999997">
      <c r="A23" s="73"/>
      <c r="B23" s="73"/>
      <c r="C23" s="113" t="s">
        <v>110</v>
      </c>
      <c r="D23" s="114">
        <f>+E23+F23+G23+H23</f>
        <v>51574.9</v>
      </c>
      <c r="E23" s="114"/>
      <c r="F23" s="114">
        <f>+'Հավելված N 9'!I44+'Հավելված N 9'!I50</f>
        <v>51574.9</v>
      </c>
      <c r="G23" s="114"/>
      <c r="H23" s="114"/>
      <c r="I23" s="115"/>
      <c r="J23" s="115"/>
      <c r="K23" s="116"/>
    </row>
    <row r="24" spans="1:11" s="117" customFormat="1" ht="34.799999999999997">
      <c r="A24" s="73"/>
      <c r="B24" s="73"/>
      <c r="C24" s="113" t="s">
        <v>109</v>
      </c>
      <c r="D24" s="114">
        <f>+E24+F24+G24+H24</f>
        <v>123337.5</v>
      </c>
      <c r="E24" s="114"/>
      <c r="F24" s="114">
        <f>+'Հավելված N 9'!I45+'Հավելված N 9'!I51</f>
        <v>123337.5</v>
      </c>
      <c r="G24" s="114"/>
      <c r="H24" s="114"/>
      <c r="I24" s="115"/>
      <c r="J24" s="115"/>
      <c r="K24" s="116"/>
    </row>
    <row r="25" spans="1:11" s="117" customFormat="1" ht="17.399999999999999">
      <c r="A25" s="73"/>
      <c r="B25" s="73"/>
      <c r="C25" s="113" t="s">
        <v>111</v>
      </c>
      <c r="D25" s="114">
        <f t="shared" ref="D25:D27" si="4">+E25+F25+G25+H25</f>
        <v>58732.9</v>
      </c>
      <c r="E25" s="114"/>
      <c r="F25" s="114">
        <f>+'Հավելված N 9'!I46+'Հավելված N 9'!I52</f>
        <v>58732.9</v>
      </c>
      <c r="G25" s="114"/>
      <c r="H25" s="114"/>
      <c r="I25" s="115"/>
      <c r="J25" s="115"/>
      <c r="K25" s="116"/>
    </row>
    <row r="26" spans="1:11" s="117" customFormat="1" ht="17.399999999999999">
      <c r="A26" s="73"/>
      <c r="B26" s="73"/>
      <c r="C26" s="113" t="s">
        <v>113</v>
      </c>
      <c r="D26" s="114">
        <f t="shared" si="4"/>
        <v>26818</v>
      </c>
      <c r="E26" s="114"/>
      <c r="F26" s="114">
        <f>+'Հավելված N 9'!I47+'Հավելված N 9'!I53</f>
        <v>26818</v>
      </c>
      <c r="G26" s="114"/>
      <c r="H26" s="114"/>
      <c r="I26" s="115"/>
      <c r="J26" s="115"/>
      <c r="K26" s="116"/>
    </row>
    <row r="27" spans="1:11" s="117" customFormat="1" ht="17.399999999999999">
      <c r="A27" s="73"/>
      <c r="B27" s="73"/>
      <c r="C27" s="113" t="s">
        <v>112</v>
      </c>
      <c r="D27" s="114">
        <f t="shared" si="4"/>
        <v>35868.400000000001</v>
      </c>
      <c r="E27" s="114"/>
      <c r="F27" s="114">
        <f>+'Հավելված N 9'!I48+'Հավելված N 9'!I54</f>
        <v>35868.400000000001</v>
      </c>
      <c r="G27" s="114"/>
      <c r="H27" s="114"/>
      <c r="I27" s="115"/>
      <c r="J27" s="115"/>
      <c r="K27" s="116"/>
    </row>
    <row r="28" spans="1:11" s="112" customFormat="1" ht="16.95" customHeight="1">
      <c r="A28" s="107"/>
      <c r="B28" s="107"/>
      <c r="C28" s="108" t="s">
        <v>126</v>
      </c>
      <c r="D28" s="109">
        <f>SUM(E28:H28)</f>
        <v>402911.89999999997</v>
      </c>
      <c r="E28" s="109">
        <f>SUM(E29:E32)</f>
        <v>0</v>
      </c>
      <c r="F28" s="109">
        <f>SUM(F29:F32)</f>
        <v>402911.89999999997</v>
      </c>
      <c r="G28" s="109">
        <f t="shared" ref="G28:H28" si="5">SUM(G29:G32)</f>
        <v>0</v>
      </c>
      <c r="H28" s="109">
        <f t="shared" si="5"/>
        <v>0</v>
      </c>
      <c r="I28" s="110"/>
      <c r="J28" s="110"/>
      <c r="K28" s="111"/>
    </row>
    <row r="29" spans="1:11" s="117" customFormat="1" ht="34.799999999999997">
      <c r="A29" s="73"/>
      <c r="B29" s="73"/>
      <c r="C29" s="113" t="s">
        <v>220</v>
      </c>
      <c r="D29" s="114">
        <f>+E29+F29+G29+H29</f>
        <v>140767.20000000001</v>
      </c>
      <c r="E29" s="114"/>
      <c r="F29" s="114">
        <f>+'Հավելված N 9'!I60+'Հավելված N 9'!I65</f>
        <v>140767.20000000001</v>
      </c>
      <c r="G29" s="114"/>
      <c r="H29" s="114"/>
      <c r="I29" s="115"/>
      <c r="J29" s="115"/>
      <c r="K29" s="116"/>
    </row>
    <row r="30" spans="1:11" s="117" customFormat="1" ht="34.799999999999997">
      <c r="A30" s="73"/>
      <c r="B30" s="73"/>
      <c r="C30" s="113" t="s">
        <v>127</v>
      </c>
      <c r="D30" s="114">
        <f>+E30+F30+G30+H30</f>
        <v>102413.5</v>
      </c>
      <c r="E30" s="114"/>
      <c r="F30" s="114">
        <f>+'Հավելված N 9'!I61+'Հավելված N 9'!I66</f>
        <v>102413.5</v>
      </c>
      <c r="G30" s="114"/>
      <c r="H30" s="114"/>
      <c r="I30" s="115"/>
      <c r="J30" s="115"/>
      <c r="K30" s="116"/>
    </row>
    <row r="31" spans="1:11" s="117" customFormat="1" ht="34.799999999999997">
      <c r="A31" s="73"/>
      <c r="B31" s="73"/>
      <c r="C31" s="113" t="s">
        <v>128</v>
      </c>
      <c r="D31" s="114">
        <f t="shared" ref="D31:D32" si="6">+E31+F31+G31+H31</f>
        <v>94849.9</v>
      </c>
      <c r="E31" s="114"/>
      <c r="F31" s="114">
        <f>+'Հավելված N 9'!I62+'Հավելված N 9'!I67</f>
        <v>94849.9</v>
      </c>
      <c r="G31" s="114"/>
      <c r="H31" s="114"/>
      <c r="I31" s="115"/>
      <c r="J31" s="115"/>
      <c r="K31" s="116"/>
    </row>
    <row r="32" spans="1:11" s="117" customFormat="1" ht="34.799999999999997">
      <c r="A32" s="73"/>
      <c r="B32" s="73"/>
      <c r="C32" s="113" t="s">
        <v>221</v>
      </c>
      <c r="D32" s="114">
        <f t="shared" si="6"/>
        <v>64881.3</v>
      </c>
      <c r="E32" s="114"/>
      <c r="F32" s="114">
        <f>+'Հավելված N 9'!I63+'Հավելված N 9'!I68</f>
        <v>64881.3</v>
      </c>
      <c r="G32" s="114"/>
      <c r="H32" s="114"/>
      <c r="I32" s="115"/>
      <c r="J32" s="115"/>
      <c r="K32" s="116"/>
    </row>
    <row r="33" spans="1:11" s="112" customFormat="1" ht="16.95" customHeight="1">
      <c r="A33" s="107"/>
      <c r="B33" s="107"/>
      <c r="C33" s="108" t="s">
        <v>137</v>
      </c>
      <c r="D33" s="109">
        <f>SUM(E33:H33)</f>
        <v>518853.5</v>
      </c>
      <c r="E33" s="109">
        <f>SUM(E34:E38)</f>
        <v>0</v>
      </c>
      <c r="F33" s="109">
        <f>SUM(F34:F38)</f>
        <v>518853.5</v>
      </c>
      <c r="G33" s="109">
        <f t="shared" ref="G33:H33" si="7">SUM(G34:G38)</f>
        <v>0</v>
      </c>
      <c r="H33" s="109">
        <f t="shared" si="7"/>
        <v>0</v>
      </c>
      <c r="I33" s="110"/>
      <c r="J33" s="110"/>
      <c r="K33" s="111"/>
    </row>
    <row r="34" spans="1:11" s="117" customFormat="1" ht="34.799999999999997">
      <c r="A34" s="73"/>
      <c r="B34" s="73"/>
      <c r="C34" s="238" t="s">
        <v>231</v>
      </c>
      <c r="D34" s="114">
        <f>+E34+F34+G34+H34</f>
        <v>102803.5</v>
      </c>
      <c r="E34" s="114"/>
      <c r="F34" s="114">
        <f>+'Հավելված N 9'!I80+'Հավելված N 9'!I86</f>
        <v>102803.5</v>
      </c>
      <c r="G34" s="114"/>
      <c r="H34" s="114"/>
      <c r="I34" s="115"/>
      <c r="J34" s="115"/>
      <c r="K34" s="116"/>
    </row>
    <row r="35" spans="1:11" s="117" customFormat="1" ht="17.399999999999999">
      <c r="A35" s="73"/>
      <c r="B35" s="73"/>
      <c r="C35" s="238" t="s">
        <v>232</v>
      </c>
      <c r="D35" s="114">
        <f>+E35+F35+G35+H35</f>
        <v>139115</v>
      </c>
      <c r="E35" s="114"/>
      <c r="F35" s="114">
        <f>+'Հավելված N 9'!I81+'Հավելված N 9'!I87</f>
        <v>139115</v>
      </c>
      <c r="G35" s="114"/>
      <c r="H35" s="114"/>
      <c r="I35" s="115"/>
      <c r="J35" s="115"/>
      <c r="K35" s="116"/>
    </row>
    <row r="36" spans="1:11" s="117" customFormat="1" ht="34.799999999999997">
      <c r="A36" s="73"/>
      <c r="B36" s="73"/>
      <c r="C36" s="238" t="s">
        <v>230</v>
      </c>
      <c r="D36" s="114">
        <f t="shared" ref="D36:D37" si="8">+E36+F36+G36+H36</f>
        <v>91907.1</v>
      </c>
      <c r="E36" s="114"/>
      <c r="F36" s="114">
        <f>+'Հավելված N 9'!I82+'Հավելված N 9'!I88</f>
        <v>91907.1</v>
      </c>
      <c r="G36" s="114"/>
      <c r="H36" s="114"/>
      <c r="I36" s="115"/>
      <c r="J36" s="115"/>
      <c r="K36" s="116"/>
    </row>
    <row r="37" spans="1:11" s="117" customFormat="1" ht="17.399999999999999">
      <c r="A37" s="73"/>
      <c r="B37" s="73"/>
      <c r="C37" s="238" t="s">
        <v>229</v>
      </c>
      <c r="D37" s="114">
        <f t="shared" si="8"/>
        <v>96485.4</v>
      </c>
      <c r="E37" s="114"/>
      <c r="F37" s="114">
        <f>+'Հավելված N 9'!I83+'Հավելված N 9'!I89</f>
        <v>96485.4</v>
      </c>
      <c r="G37" s="114"/>
      <c r="H37" s="114"/>
      <c r="I37" s="115"/>
      <c r="J37" s="115"/>
      <c r="K37" s="116"/>
    </row>
    <row r="38" spans="1:11" s="117" customFormat="1" ht="17.399999999999999">
      <c r="A38" s="73"/>
      <c r="B38" s="73"/>
      <c r="C38" s="113" t="s">
        <v>138</v>
      </c>
      <c r="D38" s="114">
        <f t="shared" ref="D38" si="9">+E38+F38+G38+H38</f>
        <v>88542.5</v>
      </c>
      <c r="E38" s="114"/>
      <c r="F38" s="114">
        <f>+'Հավելված N 9'!I84+'Հավելված N 9'!I90</f>
        <v>88542.5</v>
      </c>
      <c r="G38" s="114"/>
      <c r="H38" s="114"/>
      <c r="I38" s="115"/>
      <c r="J38" s="115"/>
      <c r="K38" s="116"/>
    </row>
    <row r="39" spans="1:11" s="112" customFormat="1" ht="16.95" customHeight="1">
      <c r="A39" s="107"/>
      <c r="B39" s="107"/>
      <c r="C39" s="108" t="s">
        <v>144</v>
      </c>
      <c r="D39" s="109">
        <f>SUM(E39:H39)</f>
        <v>321114.3</v>
      </c>
      <c r="E39" s="109">
        <f>SUM(E40:E43)</f>
        <v>0</v>
      </c>
      <c r="F39" s="109">
        <f t="shared" ref="F39:H39" si="10">SUM(F40:F43)</f>
        <v>319244.3</v>
      </c>
      <c r="G39" s="109">
        <f t="shared" si="10"/>
        <v>1870</v>
      </c>
      <c r="H39" s="109">
        <f t="shared" si="10"/>
        <v>0</v>
      </c>
      <c r="I39" s="110"/>
      <c r="J39" s="110"/>
      <c r="K39" s="111"/>
    </row>
    <row r="40" spans="1:11" s="117" customFormat="1" ht="17.399999999999999">
      <c r="A40" s="73"/>
      <c r="B40" s="73"/>
      <c r="C40" s="113" t="s">
        <v>143</v>
      </c>
      <c r="D40" s="114">
        <f>+E40+F40+G40+H40</f>
        <v>101534.3</v>
      </c>
      <c r="E40" s="114"/>
      <c r="F40" s="114">
        <f>+'Հավելված N 9'!I96+'Հավելված N 9'!I100</f>
        <v>101534.3</v>
      </c>
      <c r="G40" s="114"/>
      <c r="H40" s="114"/>
      <c r="I40" s="115"/>
      <c r="J40" s="115"/>
      <c r="K40" s="116"/>
    </row>
    <row r="41" spans="1:11" s="117" customFormat="1" ht="17.399999999999999">
      <c r="A41" s="73"/>
      <c r="B41" s="73"/>
      <c r="C41" s="113" t="s">
        <v>222</v>
      </c>
      <c r="D41" s="114">
        <f>+E41+F41+G41+H41</f>
        <v>116977.09999999999</v>
      </c>
      <c r="E41" s="114"/>
      <c r="F41" s="114">
        <f>+'Հավելված N 9'!I97+'Հավելված N 9'!I101</f>
        <v>116977.09999999999</v>
      </c>
      <c r="G41" s="114"/>
      <c r="H41" s="114"/>
      <c r="I41" s="115"/>
      <c r="J41" s="115"/>
      <c r="K41" s="116"/>
    </row>
    <row r="42" spans="1:11" s="117" customFormat="1" ht="34.799999999999997">
      <c r="A42" s="73"/>
      <c r="B42" s="73"/>
      <c r="C42" s="113" t="s">
        <v>145</v>
      </c>
      <c r="D42" s="114">
        <f t="shared" ref="D42" si="11">+E42+F42+G42+H42</f>
        <v>100732.9</v>
      </c>
      <c r="E42" s="114"/>
      <c r="F42" s="114">
        <f>+'Հավելված N 9'!I98+'Հավելված N 9'!I102</f>
        <v>100732.9</v>
      </c>
      <c r="G42" s="114"/>
      <c r="H42" s="114"/>
      <c r="I42" s="115"/>
      <c r="J42" s="115"/>
      <c r="K42" s="116"/>
    </row>
    <row r="43" spans="1:11" s="117" customFormat="1" ht="17.399999999999999">
      <c r="A43" s="227"/>
      <c r="B43" s="227"/>
      <c r="C43" s="113" t="s">
        <v>309</v>
      </c>
      <c r="D43" s="114">
        <f t="shared" ref="D43" si="12">+E43+F43+G43+H43</f>
        <v>1870</v>
      </c>
      <c r="E43" s="114"/>
      <c r="F43" s="114"/>
      <c r="G43" s="114">
        <f>+'Հավելված N 9'!I23+'Հավելված N 9'!I24</f>
        <v>1870</v>
      </c>
      <c r="H43" s="114"/>
      <c r="I43" s="115"/>
      <c r="J43" s="115"/>
      <c r="K43" s="116"/>
    </row>
    <row r="44" spans="1:11" s="112" customFormat="1" ht="16.95" customHeight="1">
      <c r="A44" s="107"/>
      <c r="B44" s="107"/>
      <c r="C44" s="108" t="s">
        <v>150</v>
      </c>
      <c r="D44" s="109">
        <f>SUM(E44:H44)</f>
        <v>204784.1</v>
      </c>
      <c r="E44" s="109">
        <f>SUM(E45:E47)</f>
        <v>0</v>
      </c>
      <c r="F44" s="109">
        <f>SUM(F45:F47)</f>
        <v>204784.1</v>
      </c>
      <c r="G44" s="109">
        <f t="shared" ref="G44" si="13">SUM(G45:G47)</f>
        <v>0</v>
      </c>
      <c r="H44" s="109">
        <f t="shared" ref="H44" si="14">SUM(H45:H47)</f>
        <v>0</v>
      </c>
      <c r="I44" s="110"/>
      <c r="J44" s="110"/>
      <c r="K44" s="111"/>
    </row>
    <row r="45" spans="1:11" s="117" customFormat="1" ht="17.399999999999999">
      <c r="A45" s="73"/>
      <c r="B45" s="73"/>
      <c r="C45" s="113" t="s">
        <v>151</v>
      </c>
      <c r="D45" s="114">
        <f>+E45+F45+G45+H45</f>
        <v>63903.9</v>
      </c>
      <c r="E45" s="114"/>
      <c r="F45" s="114">
        <f>+'Հավելված N 9'!I108+'Հավելված N 9'!I112</f>
        <v>63903.9</v>
      </c>
      <c r="G45" s="114"/>
      <c r="H45" s="114"/>
      <c r="I45" s="115"/>
      <c r="J45" s="115"/>
      <c r="K45" s="116"/>
    </row>
    <row r="46" spans="1:11" s="117" customFormat="1" ht="17.399999999999999">
      <c r="A46" s="73"/>
      <c r="B46" s="73"/>
      <c r="C46" s="113" t="s">
        <v>152</v>
      </c>
      <c r="D46" s="114">
        <f>+E46+F46+G46+H46</f>
        <v>53892.799999999996</v>
      </c>
      <c r="E46" s="114"/>
      <c r="F46" s="114">
        <f>+'Հավելված N 9'!I109+'Հավելված N 9'!I113</f>
        <v>53892.799999999996</v>
      </c>
      <c r="G46" s="114"/>
      <c r="H46" s="114"/>
      <c r="I46" s="115"/>
      <c r="J46" s="115"/>
      <c r="K46" s="116"/>
    </row>
    <row r="47" spans="1:11" s="117" customFormat="1" ht="17.399999999999999">
      <c r="A47" s="73"/>
      <c r="B47" s="73"/>
      <c r="C47" s="113" t="s">
        <v>153</v>
      </c>
      <c r="D47" s="114">
        <f t="shared" ref="D47" si="15">+E47+F47+G47+H47</f>
        <v>86987.400000000009</v>
      </c>
      <c r="E47" s="114"/>
      <c r="F47" s="114">
        <f>+'Հավելված N 9'!I110+'Հավելված N 9'!I114</f>
        <v>86987.400000000009</v>
      </c>
      <c r="G47" s="114"/>
      <c r="H47" s="114"/>
      <c r="I47" s="115"/>
      <c r="J47" s="115"/>
      <c r="K47" s="116"/>
    </row>
    <row r="48" spans="1:11" s="112" customFormat="1" ht="16.95" customHeight="1">
      <c r="A48" s="107"/>
      <c r="B48" s="107"/>
      <c r="C48" s="108" t="s">
        <v>159</v>
      </c>
      <c r="D48" s="109">
        <f>SUM(E48:H48)</f>
        <v>170029.9</v>
      </c>
      <c r="E48" s="109">
        <f>SUM(E49:E51)</f>
        <v>0</v>
      </c>
      <c r="F48" s="109">
        <f>SUM(F49:F51)</f>
        <v>170029.9</v>
      </c>
      <c r="G48" s="109">
        <f t="shared" ref="G48" si="16">SUM(G49:G51)</f>
        <v>0</v>
      </c>
      <c r="H48" s="109">
        <f t="shared" ref="H48" si="17">SUM(H49:H51)</f>
        <v>0</v>
      </c>
      <c r="I48" s="110"/>
      <c r="J48" s="110"/>
      <c r="K48" s="111"/>
    </row>
    <row r="49" spans="1:11" s="117" customFormat="1" ht="17.399999999999999">
      <c r="A49" s="73"/>
      <c r="B49" s="73"/>
      <c r="C49" s="113" t="s">
        <v>160</v>
      </c>
      <c r="D49" s="114">
        <f>+E49+F49+G49+H49</f>
        <v>60955.5</v>
      </c>
      <c r="E49" s="114"/>
      <c r="F49" s="114">
        <f>+'Հավելված N 9'!I120+'Հավելված N 9'!I124</f>
        <v>60955.5</v>
      </c>
      <c r="G49" s="114"/>
      <c r="H49" s="114"/>
      <c r="I49" s="115"/>
      <c r="J49" s="115"/>
      <c r="K49" s="116"/>
    </row>
    <row r="50" spans="1:11" s="117" customFormat="1" ht="17.399999999999999">
      <c r="A50" s="73"/>
      <c r="B50" s="73"/>
      <c r="C50" s="113" t="s">
        <v>161</v>
      </c>
      <c r="D50" s="114">
        <f>+E50+F50+G50+H50</f>
        <v>52402.299999999996</v>
      </c>
      <c r="E50" s="114"/>
      <c r="F50" s="114">
        <f>+'Հավելված N 9'!I121+'Հավելված N 9'!I125</f>
        <v>52402.299999999996</v>
      </c>
      <c r="G50" s="114"/>
      <c r="H50" s="114"/>
      <c r="I50" s="115"/>
      <c r="J50" s="115"/>
      <c r="K50" s="116"/>
    </row>
    <row r="51" spans="1:11" s="117" customFormat="1" ht="17.399999999999999">
      <c r="A51" s="73"/>
      <c r="B51" s="73"/>
      <c r="C51" s="113" t="s">
        <v>162</v>
      </c>
      <c r="D51" s="114">
        <f t="shared" ref="D51" si="18">+E51+F51+G51+H51</f>
        <v>56672.1</v>
      </c>
      <c r="E51" s="114"/>
      <c r="F51" s="114">
        <f>+'Հավելված N 9'!I122+'Հավելված N 9'!I126</f>
        <v>56672.1</v>
      </c>
      <c r="G51" s="114"/>
      <c r="H51" s="114"/>
      <c r="I51" s="115"/>
      <c r="J51" s="115"/>
      <c r="K51" s="116"/>
    </row>
    <row r="52" spans="1:11" s="112" customFormat="1" ht="16.95" customHeight="1">
      <c r="A52" s="107"/>
      <c r="B52" s="107"/>
      <c r="C52" s="108" t="s">
        <v>167</v>
      </c>
      <c r="D52" s="109">
        <f>SUM(E52:H52)</f>
        <v>161185.5</v>
      </c>
      <c r="E52" s="109">
        <f>SUM(E53:E54)</f>
        <v>0</v>
      </c>
      <c r="F52" s="109">
        <f>SUM(F53:F54)</f>
        <v>161185.5</v>
      </c>
      <c r="G52" s="109">
        <f t="shared" ref="G52:H52" si="19">SUM(G53:G54)</f>
        <v>0</v>
      </c>
      <c r="H52" s="109">
        <f t="shared" si="19"/>
        <v>0</v>
      </c>
      <c r="I52" s="110"/>
      <c r="J52" s="110"/>
      <c r="K52" s="111"/>
    </row>
    <row r="53" spans="1:11" s="117" customFormat="1" ht="17.399999999999999">
      <c r="A53" s="73"/>
      <c r="B53" s="73"/>
      <c r="C53" s="113" t="s">
        <v>223</v>
      </c>
      <c r="D53" s="114">
        <f>+E53+F53+G53+H53</f>
        <v>60870.9</v>
      </c>
      <c r="E53" s="114"/>
      <c r="F53" s="114">
        <f>+'Հավելված N 9'!I132+'Հավելված N 9'!I135</f>
        <v>60870.9</v>
      </c>
      <c r="G53" s="114"/>
      <c r="H53" s="114"/>
      <c r="I53" s="115"/>
      <c r="J53" s="115"/>
      <c r="K53" s="116"/>
    </row>
    <row r="54" spans="1:11" s="117" customFormat="1" ht="17.399999999999999">
      <c r="A54" s="73"/>
      <c r="B54" s="73"/>
      <c r="C54" s="113" t="s">
        <v>168</v>
      </c>
      <c r="D54" s="114">
        <f>+E54+F54+G54+H54</f>
        <v>100314.6</v>
      </c>
      <c r="E54" s="114"/>
      <c r="F54" s="114">
        <f>+'Հավելված N 9'!I133+'Հավելված N 9'!I136</f>
        <v>100314.6</v>
      </c>
      <c r="G54" s="114"/>
      <c r="H54" s="114"/>
      <c r="I54" s="115"/>
      <c r="J54" s="115"/>
      <c r="K54" s="116"/>
    </row>
    <row r="55" spans="1:11" s="112" customFormat="1" ht="16.95" customHeight="1">
      <c r="A55" s="107"/>
      <c r="B55" s="107"/>
      <c r="C55" s="108" t="s">
        <v>173</v>
      </c>
      <c r="D55" s="109">
        <f>SUM(E55:H55)</f>
        <v>100989.8</v>
      </c>
      <c r="E55" s="109">
        <f>SUM(E56)</f>
        <v>0</v>
      </c>
      <c r="F55" s="109">
        <f>SUM(F56)</f>
        <v>100989.8</v>
      </c>
      <c r="G55" s="109">
        <f t="shared" ref="G55:H55" si="20">SUM(G56)</f>
        <v>0</v>
      </c>
      <c r="H55" s="109">
        <f t="shared" si="20"/>
        <v>0</v>
      </c>
      <c r="I55" s="110"/>
      <c r="J55" s="110"/>
      <c r="K55" s="111"/>
    </row>
    <row r="56" spans="1:11" s="117" customFormat="1" ht="17.399999999999999">
      <c r="A56" s="73"/>
      <c r="B56" s="73"/>
      <c r="C56" s="113" t="s">
        <v>174</v>
      </c>
      <c r="D56" s="114">
        <f>+E56+F56+G56+H56</f>
        <v>100989.8</v>
      </c>
      <c r="E56" s="114"/>
      <c r="F56" s="114">
        <f>+'Հավելված N 9'!I142+'Հավելված N 9'!I144</f>
        <v>100989.8</v>
      </c>
      <c r="G56" s="114"/>
      <c r="H56" s="114"/>
      <c r="I56" s="115"/>
      <c r="J56" s="115"/>
      <c r="K56" s="116"/>
    </row>
    <row r="57" spans="1:11" s="112" customFormat="1" ht="16.95" customHeight="1">
      <c r="A57" s="107"/>
      <c r="B57" s="107"/>
      <c r="C57" s="108" t="s">
        <v>183</v>
      </c>
      <c r="D57" s="109">
        <f>SUM(E57:H57)</f>
        <v>422743.60000000003</v>
      </c>
      <c r="E57" s="109">
        <f>SUM(E58:E62)</f>
        <v>0</v>
      </c>
      <c r="F57" s="109">
        <f>SUM(F58:F62)</f>
        <v>422743.60000000003</v>
      </c>
      <c r="G57" s="109">
        <f t="shared" ref="G57:H57" si="21">SUM(G58:G62)</f>
        <v>0</v>
      </c>
      <c r="H57" s="109">
        <f t="shared" si="21"/>
        <v>0</v>
      </c>
      <c r="I57" s="110"/>
      <c r="J57" s="110"/>
      <c r="K57" s="111"/>
    </row>
    <row r="58" spans="1:11" s="117" customFormat="1" ht="17.399999999999999">
      <c r="A58" s="73"/>
      <c r="B58" s="73"/>
      <c r="C58" s="113" t="s">
        <v>224</v>
      </c>
      <c r="D58" s="114">
        <f>+E58+F58+G58+H58</f>
        <v>92362.000000000015</v>
      </c>
      <c r="E58" s="114"/>
      <c r="F58" s="114">
        <f>+'Հավելված N 9'!I150+'Հավելված N 9'!I156</f>
        <v>92362.000000000015</v>
      </c>
      <c r="G58" s="114"/>
      <c r="H58" s="114"/>
      <c r="I58" s="115"/>
      <c r="J58" s="115"/>
      <c r="K58" s="116"/>
    </row>
    <row r="59" spans="1:11" s="117" customFormat="1" ht="17.399999999999999">
      <c r="A59" s="73"/>
      <c r="B59" s="73"/>
      <c r="C59" s="113" t="s">
        <v>225</v>
      </c>
      <c r="D59" s="114">
        <f t="shared" ref="D59:D62" si="22">+E59+F59+G59+H59</f>
        <v>58448.9</v>
      </c>
      <c r="E59" s="114"/>
      <c r="F59" s="114">
        <f>+'Հավելված N 9'!I151+'Հավելված N 9'!I157</f>
        <v>58448.9</v>
      </c>
      <c r="G59" s="114"/>
      <c r="H59" s="114"/>
      <c r="I59" s="115"/>
      <c r="J59" s="115"/>
      <c r="K59" s="116"/>
    </row>
    <row r="60" spans="1:11" s="117" customFormat="1" ht="17.399999999999999">
      <c r="A60" s="73"/>
      <c r="B60" s="73"/>
      <c r="C60" s="113" t="s">
        <v>226</v>
      </c>
      <c r="D60" s="114">
        <f t="shared" si="22"/>
        <v>69383.8</v>
      </c>
      <c r="E60" s="114"/>
      <c r="F60" s="114">
        <f>+'Հավելված N 9'!I152+'Հավելված N 9'!I158</f>
        <v>69383.8</v>
      </c>
      <c r="G60" s="114"/>
      <c r="H60" s="114"/>
      <c r="I60" s="115"/>
      <c r="J60" s="115"/>
      <c r="K60" s="116"/>
    </row>
    <row r="61" spans="1:11" s="117" customFormat="1" ht="17.399999999999999">
      <c r="A61" s="73"/>
      <c r="B61" s="73"/>
      <c r="C61" s="113" t="s">
        <v>227</v>
      </c>
      <c r="D61" s="114">
        <f t="shared" si="22"/>
        <v>105333.6</v>
      </c>
      <c r="E61" s="114"/>
      <c r="F61" s="114">
        <f>+'Հավելված N 9'!I153+'Հավելված N 9'!I159</f>
        <v>105333.6</v>
      </c>
      <c r="G61" s="114"/>
      <c r="H61" s="114"/>
      <c r="I61" s="115"/>
      <c r="J61" s="115"/>
      <c r="K61" s="116"/>
    </row>
    <row r="62" spans="1:11" s="117" customFormat="1" ht="17.399999999999999">
      <c r="A62" s="73"/>
      <c r="B62" s="73"/>
      <c r="C62" s="113" t="s">
        <v>228</v>
      </c>
      <c r="D62" s="114">
        <f t="shared" si="22"/>
        <v>97215.299999999988</v>
      </c>
      <c r="E62" s="114"/>
      <c r="F62" s="114">
        <f>+'Հավելված N 9'!I154+'Հավելված N 9'!I160</f>
        <v>97215.299999999988</v>
      </c>
      <c r="G62" s="114"/>
      <c r="H62" s="114"/>
      <c r="I62" s="115"/>
      <c r="J62" s="115"/>
      <c r="K62" s="116"/>
    </row>
    <row r="63" spans="1:11" s="87" customFormat="1" ht="44.4" customHeight="1">
      <c r="A63" s="65">
        <v>1236</v>
      </c>
      <c r="B63" s="193">
        <v>32003</v>
      </c>
      <c r="C63" s="194" t="s">
        <v>238</v>
      </c>
      <c r="D63" s="30">
        <f>SUM(E63:H63)</f>
        <v>-1250000</v>
      </c>
      <c r="E63" s="30">
        <f>+E65</f>
        <v>-1250000</v>
      </c>
      <c r="F63" s="30">
        <f t="shared" ref="F63:H63" si="23">+F65</f>
        <v>0</v>
      </c>
      <c r="G63" s="30">
        <f t="shared" si="23"/>
        <v>0</v>
      </c>
      <c r="H63" s="30">
        <f t="shared" si="23"/>
        <v>0</v>
      </c>
      <c r="I63" s="88"/>
      <c r="J63" s="88"/>
      <c r="K63" s="89"/>
    </row>
    <row r="64" spans="1:11" s="2" customFormat="1">
      <c r="A64" s="103"/>
      <c r="B64" s="103"/>
      <c r="C64" s="104" t="s">
        <v>6</v>
      </c>
      <c r="D64" s="105"/>
      <c r="E64" s="106"/>
      <c r="F64" s="106"/>
      <c r="G64" s="106"/>
      <c r="H64" s="106"/>
      <c r="I64" s="88"/>
      <c r="J64" s="88"/>
      <c r="K64" s="89"/>
    </row>
    <row r="65" spans="1:11" s="123" customFormat="1" ht="36">
      <c r="A65" s="192"/>
      <c r="B65" s="192"/>
      <c r="C65" s="108" t="s">
        <v>238</v>
      </c>
      <c r="D65" s="72">
        <f>SUM(E65:H65)</f>
        <v>-1250000</v>
      </c>
      <c r="E65" s="72">
        <v>-1250000</v>
      </c>
      <c r="F65" s="72">
        <v>0</v>
      </c>
      <c r="G65" s="72">
        <v>0</v>
      </c>
      <c r="H65" s="72">
        <v>0</v>
      </c>
      <c r="I65" s="121"/>
      <c r="J65" s="121"/>
      <c r="K65" s="122"/>
    </row>
    <row r="66" spans="1:11" s="87" customFormat="1" ht="44.4" customHeight="1">
      <c r="A66" s="65">
        <v>1236</v>
      </c>
      <c r="B66" s="65">
        <v>32004</v>
      </c>
      <c r="C66" s="48" t="s">
        <v>234</v>
      </c>
      <c r="D66" s="30">
        <f>SUM(E66:H66)</f>
        <v>-2761691.9</v>
      </c>
      <c r="E66" s="30">
        <f>+E68</f>
        <v>0</v>
      </c>
      <c r="F66" s="30">
        <f t="shared" ref="F66:H66" si="24">+F68</f>
        <v>-2761691.9</v>
      </c>
      <c r="G66" s="30">
        <f t="shared" si="24"/>
        <v>0</v>
      </c>
      <c r="H66" s="30">
        <f t="shared" si="24"/>
        <v>0</v>
      </c>
      <c r="I66" s="88"/>
      <c r="J66" s="88"/>
      <c r="K66" s="89"/>
    </row>
    <row r="67" spans="1:11" s="2" customFormat="1">
      <c r="A67" s="103"/>
      <c r="B67" s="103"/>
      <c r="C67" s="104" t="s">
        <v>6</v>
      </c>
      <c r="D67" s="105"/>
      <c r="E67" s="106"/>
      <c r="F67" s="106"/>
      <c r="G67" s="106"/>
      <c r="H67" s="106"/>
      <c r="I67" s="88"/>
      <c r="J67" s="88"/>
      <c r="K67" s="89"/>
    </row>
    <row r="68" spans="1:11" s="123" customFormat="1" ht="36">
      <c r="A68" s="192"/>
      <c r="B68" s="192"/>
      <c r="C68" s="108" t="s">
        <v>234</v>
      </c>
      <c r="D68" s="72">
        <f>SUM(E68:H68)</f>
        <v>-2761691.9</v>
      </c>
      <c r="E68" s="72">
        <v>0</v>
      </c>
      <c r="F68" s="72">
        <f>-1000000-1250000-'Հավելված N 9'!I36-'Հավելված N 9'!I26</f>
        <v>-2761691.9</v>
      </c>
      <c r="G68" s="72">
        <v>0</v>
      </c>
      <c r="H68" s="72">
        <v>0</v>
      </c>
      <c r="I68" s="121"/>
      <c r="J68" s="121"/>
      <c r="K68" s="122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B1:H107"/>
  <sheetViews>
    <sheetView topLeftCell="A82" zoomScale="84" zoomScaleNormal="84" workbookViewId="0">
      <selection activeCell="H89" sqref="H89"/>
    </sheetView>
  </sheetViews>
  <sheetFormatPr defaultColWidth="9.109375" defaultRowHeight="17.399999999999999"/>
  <cols>
    <col min="1" max="3" width="9.109375" style="18"/>
    <col min="4" max="4" width="54.21875" style="18" customWidth="1"/>
    <col min="5" max="5" width="22.88671875" style="79" bestFit="1" customWidth="1"/>
    <col min="6" max="6" width="22.88671875" style="79" customWidth="1"/>
    <col min="7" max="7" width="22.88671875" style="79" bestFit="1" customWidth="1"/>
    <col min="8" max="8" width="20.6640625" style="18" customWidth="1"/>
    <col min="9" max="9" width="19.33203125" style="18" customWidth="1"/>
    <col min="10" max="10" width="20" style="18" customWidth="1"/>
    <col min="11" max="16384" width="9.109375" style="18"/>
  </cols>
  <sheetData>
    <row r="1" spans="2:8" s="17" customFormat="1" ht="25.5" customHeight="1">
      <c r="E1" s="229"/>
      <c r="F1" s="320" t="s">
        <v>60</v>
      </c>
      <c r="G1" s="320"/>
    </row>
    <row r="2" spans="2:8" ht="17.850000000000001" customHeight="1">
      <c r="D2" s="19"/>
      <c r="E2" s="316" t="s">
        <v>54</v>
      </c>
      <c r="F2" s="316"/>
      <c r="G2" s="316"/>
    </row>
    <row r="3" spans="2:8">
      <c r="D3" s="19"/>
      <c r="E3" s="230"/>
      <c r="F3" s="321" t="s">
        <v>19</v>
      </c>
      <c r="G3" s="321"/>
    </row>
    <row r="4" spans="2:8" ht="13.65" customHeight="1">
      <c r="D4" s="19"/>
      <c r="E4" s="28"/>
      <c r="F4" s="28"/>
      <c r="G4" s="28"/>
    </row>
    <row r="5" spans="2:8" ht="13.65" customHeight="1">
      <c r="D5" s="19"/>
      <c r="E5" s="28"/>
      <c r="F5" s="28"/>
      <c r="G5" s="28"/>
    </row>
    <row r="6" spans="2:8" ht="85.65" customHeight="1">
      <c r="B6" s="322" t="s">
        <v>241</v>
      </c>
      <c r="C6" s="322"/>
      <c r="D6" s="322"/>
      <c r="E6" s="322"/>
      <c r="F6" s="322"/>
      <c r="G6" s="322"/>
    </row>
    <row r="8" spans="2:8">
      <c r="E8" s="59"/>
      <c r="F8" s="59"/>
      <c r="G8" s="59" t="s">
        <v>9</v>
      </c>
    </row>
    <row r="9" spans="2:8" ht="41.7" customHeight="1">
      <c r="B9" s="306" t="s">
        <v>56</v>
      </c>
      <c r="C9" s="307"/>
      <c r="D9" s="308" t="s">
        <v>57</v>
      </c>
      <c r="E9" s="323" t="s">
        <v>25</v>
      </c>
      <c r="F9" s="324"/>
      <c r="G9" s="325"/>
    </row>
    <row r="10" spans="2:8" ht="79.2" customHeight="1">
      <c r="B10" s="60" t="s">
        <v>13</v>
      </c>
      <c r="C10" s="60" t="s">
        <v>14</v>
      </c>
      <c r="D10" s="309"/>
      <c r="E10" s="61" t="s">
        <v>24</v>
      </c>
      <c r="F10" s="61" t="s">
        <v>2</v>
      </c>
      <c r="G10" s="61" t="s">
        <v>3</v>
      </c>
    </row>
    <row r="11" spans="2:8" ht="54">
      <c r="B11" s="60"/>
      <c r="C11" s="60"/>
      <c r="D11" s="62" t="s">
        <v>16</v>
      </c>
      <c r="E11" s="30">
        <f>+E13+E16+E24+E95+E100</f>
        <v>569106.10000000009</v>
      </c>
      <c r="F11" s="30">
        <f t="shared" ref="F11:G11" si="0">+F13+F16+F24+F95+F100</f>
        <v>433285.90000000037</v>
      </c>
      <c r="G11" s="30">
        <f t="shared" si="0"/>
        <v>-534679.99999999953</v>
      </c>
    </row>
    <row r="12" spans="2:8" ht="18">
      <c r="B12" s="60"/>
      <c r="C12" s="60"/>
      <c r="D12" s="63" t="s">
        <v>58</v>
      </c>
      <c r="E12" s="64"/>
      <c r="F12" s="64"/>
      <c r="G12" s="64"/>
    </row>
    <row r="13" spans="2:8" s="66" customFormat="1" ht="54">
      <c r="B13" s="65">
        <v>1041</v>
      </c>
      <c r="C13" s="65">
        <v>21001</v>
      </c>
      <c r="D13" s="48" t="s">
        <v>323</v>
      </c>
      <c r="E13" s="30">
        <f>+E15</f>
        <v>0</v>
      </c>
      <c r="F13" s="30">
        <f t="shared" ref="F13:G13" si="1">+F15</f>
        <v>-8400</v>
      </c>
      <c r="G13" s="30">
        <f t="shared" si="1"/>
        <v>-8400</v>
      </c>
    </row>
    <row r="14" spans="2:8" s="66" customFormat="1">
      <c r="B14" s="67"/>
      <c r="C14" s="67"/>
      <c r="D14" s="68" t="s">
        <v>15</v>
      </c>
      <c r="E14" s="69"/>
      <c r="F14" s="69"/>
      <c r="G14" s="69"/>
    </row>
    <row r="15" spans="2:8" s="66" customFormat="1" ht="36">
      <c r="B15" s="70"/>
      <c r="C15" s="70"/>
      <c r="D15" s="71" t="s">
        <v>239</v>
      </c>
      <c r="E15" s="72">
        <f t="shared" ref="E15" si="2">+E17</f>
        <v>0</v>
      </c>
      <c r="F15" s="72">
        <f>+G15</f>
        <v>-8400</v>
      </c>
      <c r="G15" s="72">
        <f>+'Հավելված N 4'!D15</f>
        <v>-8400</v>
      </c>
      <c r="H15" s="155"/>
    </row>
    <row r="16" spans="2:8" s="66" customFormat="1" ht="18">
      <c r="B16" s="65">
        <v>1236</v>
      </c>
      <c r="C16" s="65">
        <v>32001</v>
      </c>
      <c r="D16" s="48" t="s">
        <v>233</v>
      </c>
      <c r="E16" s="30">
        <f t="shared" ref="E16:G16" si="3">+E18+E21</f>
        <v>1600000</v>
      </c>
      <c r="F16" s="30">
        <f t="shared" si="3"/>
        <v>2600000</v>
      </c>
      <c r="G16" s="30">
        <f t="shared" si="3"/>
        <v>3500000</v>
      </c>
    </row>
    <row r="17" spans="2:8" s="66" customFormat="1">
      <c r="B17" s="67"/>
      <c r="C17" s="67"/>
      <c r="D17" s="68" t="s">
        <v>15</v>
      </c>
      <c r="E17" s="69"/>
      <c r="F17" s="69"/>
      <c r="G17" s="69"/>
    </row>
    <row r="18" spans="2:8" s="66" customFormat="1" ht="36">
      <c r="B18" s="70"/>
      <c r="C18" s="70"/>
      <c r="D18" s="71" t="s">
        <v>239</v>
      </c>
      <c r="E18" s="72">
        <f t="shared" ref="E18:G18" si="4">+E20</f>
        <v>1000000</v>
      </c>
      <c r="F18" s="72">
        <f t="shared" si="4"/>
        <v>1600000</v>
      </c>
      <c r="G18" s="72">
        <f t="shared" si="4"/>
        <v>2000000</v>
      </c>
      <c r="H18" s="155"/>
    </row>
    <row r="19" spans="2:8" s="66" customFormat="1">
      <c r="B19" s="70"/>
      <c r="C19" s="70"/>
      <c r="D19" s="73" t="s">
        <v>59</v>
      </c>
      <c r="E19" s="158"/>
      <c r="F19" s="158"/>
      <c r="G19" s="158"/>
    </row>
    <row r="20" spans="2:8" s="66" customFormat="1" ht="18">
      <c r="B20" s="70"/>
      <c r="C20" s="70"/>
      <c r="D20" s="75" t="s">
        <v>233</v>
      </c>
      <c r="E20" s="76">
        <v>1000000</v>
      </c>
      <c r="F20" s="76">
        <v>1600000</v>
      </c>
      <c r="G20" s="76">
        <v>2000000</v>
      </c>
    </row>
    <row r="21" spans="2:8" s="66" customFormat="1" ht="18">
      <c r="B21" s="70"/>
      <c r="C21" s="70"/>
      <c r="D21" s="71" t="s">
        <v>237</v>
      </c>
      <c r="E21" s="72">
        <f t="shared" ref="E21:G21" si="5">+E23</f>
        <v>600000</v>
      </c>
      <c r="F21" s="72">
        <f t="shared" si="5"/>
        <v>1000000</v>
      </c>
      <c r="G21" s="72">
        <f t="shared" si="5"/>
        <v>1500000</v>
      </c>
      <c r="H21" s="155"/>
    </row>
    <row r="22" spans="2:8" s="66" customFormat="1">
      <c r="B22" s="70"/>
      <c r="C22" s="70"/>
      <c r="D22" s="73" t="s">
        <v>59</v>
      </c>
      <c r="E22" s="158"/>
      <c r="F22" s="158"/>
      <c r="G22" s="158"/>
    </row>
    <row r="23" spans="2:8" s="66" customFormat="1" ht="18">
      <c r="B23" s="70"/>
      <c r="C23" s="70"/>
      <c r="D23" s="75" t="s">
        <v>233</v>
      </c>
      <c r="E23" s="76">
        <v>600000</v>
      </c>
      <c r="F23" s="76">
        <v>1000000</v>
      </c>
      <c r="G23" s="76">
        <v>1500000</v>
      </c>
    </row>
    <row r="24" spans="2:8" s="66" customFormat="1" ht="36">
      <c r="B24" s="65">
        <v>1236</v>
      </c>
      <c r="C24" s="65">
        <v>32002</v>
      </c>
      <c r="D24" s="48" t="s">
        <v>83</v>
      </c>
      <c r="E24" s="30">
        <f>+E26+E27+E31+E39+E47+E50+E58+E65+E71+E77+E82+E87</f>
        <v>950798</v>
      </c>
      <c r="F24" s="30">
        <f t="shared" ref="F24:G24" si="6">+F26+F27+F31+F39+F47+F50+F58+F65+F71+F77+F82+F87</f>
        <v>953377.80000000028</v>
      </c>
      <c r="G24" s="30">
        <f t="shared" si="6"/>
        <v>-14588.099999999627</v>
      </c>
    </row>
    <row r="25" spans="2:8" s="66" customFormat="1">
      <c r="B25" s="67"/>
      <c r="C25" s="67"/>
      <c r="D25" s="68" t="s">
        <v>15</v>
      </c>
      <c r="E25" s="214"/>
      <c r="F25" s="214"/>
      <c r="G25" s="214"/>
      <c r="H25" s="155"/>
    </row>
    <row r="26" spans="2:8" s="66" customFormat="1" ht="18">
      <c r="B26" s="70"/>
      <c r="C26" s="70"/>
      <c r="D26" s="71" t="s">
        <v>114</v>
      </c>
      <c r="E26" s="72">
        <f>-1091682.6</f>
        <v>-1091682.6000000001</v>
      </c>
      <c r="F26" s="72">
        <f>-2183365.3</f>
        <v>-2183365.2999999998</v>
      </c>
      <c r="G26" s="72">
        <f>-G27-G31-G39-G47-G50-G58-G65-G71-G77-G82-G87-'Հավելված N 6'!J13-'Հավելված N 9'!I70</f>
        <v>-3531957.9</v>
      </c>
      <c r="H26" s="155"/>
    </row>
    <row r="27" spans="2:8" s="66" customFormat="1" ht="36">
      <c r="B27" s="70"/>
      <c r="C27" s="70"/>
      <c r="D27" s="71" t="s">
        <v>239</v>
      </c>
      <c r="E27" s="72">
        <f>+E29</f>
        <v>1870</v>
      </c>
      <c r="F27" s="72">
        <f t="shared" ref="F27:G27" si="7">+F29</f>
        <v>1870</v>
      </c>
      <c r="G27" s="72">
        <f t="shared" si="7"/>
        <v>1870</v>
      </c>
      <c r="H27" s="155"/>
    </row>
    <row r="28" spans="2:8" s="66" customFormat="1">
      <c r="B28" s="70"/>
      <c r="C28" s="70"/>
      <c r="D28" s="227" t="s">
        <v>59</v>
      </c>
      <c r="E28" s="158"/>
      <c r="F28" s="158"/>
      <c r="G28" s="158"/>
    </row>
    <row r="29" spans="2:8" s="66" customFormat="1" ht="18">
      <c r="B29" s="70"/>
      <c r="C29" s="70"/>
      <c r="D29" s="75" t="s">
        <v>144</v>
      </c>
      <c r="E29" s="76">
        <f>+E30</f>
        <v>1870</v>
      </c>
      <c r="F29" s="76">
        <f t="shared" ref="F29:G29" si="8">+F30</f>
        <v>1870</v>
      </c>
      <c r="G29" s="76">
        <f t="shared" si="8"/>
        <v>1870</v>
      </c>
    </row>
    <row r="30" spans="2:8" s="66" customFormat="1">
      <c r="B30" s="60"/>
      <c r="C30" s="60"/>
      <c r="D30" s="77" t="str">
        <f>+'Հավելված N 4'!C43</f>
        <v>Վանաձորի թիվ 11 մանկապարտեզ</v>
      </c>
      <c r="E30" s="78">
        <f>+G30</f>
        <v>1870</v>
      </c>
      <c r="F30" s="78">
        <f>+G30</f>
        <v>1870</v>
      </c>
      <c r="G30" s="78">
        <f>+'Հավելված N 4'!D43</f>
        <v>1870</v>
      </c>
    </row>
    <row r="31" spans="2:8" s="66" customFormat="1" ht="18">
      <c r="B31" s="70"/>
      <c r="C31" s="70"/>
      <c r="D31" s="71" t="s">
        <v>84</v>
      </c>
      <c r="E31" s="72">
        <f t="shared" ref="E31:G31" si="9">+E33</f>
        <v>195098.4</v>
      </c>
      <c r="F31" s="72">
        <f t="shared" si="9"/>
        <v>277831.09999999998</v>
      </c>
      <c r="G31" s="72">
        <f t="shared" si="9"/>
        <v>296331.7</v>
      </c>
      <c r="H31" s="155"/>
    </row>
    <row r="32" spans="2:8" s="66" customFormat="1">
      <c r="B32" s="70"/>
      <c r="C32" s="70"/>
      <c r="D32" s="73" t="s">
        <v>59</v>
      </c>
      <c r="E32" s="158"/>
      <c r="F32" s="158"/>
      <c r="G32" s="158"/>
    </row>
    <row r="33" spans="2:7" s="66" customFormat="1" ht="18">
      <c r="B33" s="70"/>
      <c r="C33" s="70"/>
      <c r="D33" s="75" t="s">
        <v>108</v>
      </c>
      <c r="E33" s="76">
        <f t="shared" ref="E33:F33" si="10">SUM(E34:E38)</f>
        <v>195098.4</v>
      </c>
      <c r="F33" s="76">
        <f t="shared" si="10"/>
        <v>277831.09999999998</v>
      </c>
      <c r="G33" s="76">
        <f>SUM(G34:G38)</f>
        <v>296331.7</v>
      </c>
    </row>
    <row r="34" spans="2:7" s="66" customFormat="1" ht="34.799999999999997">
      <c r="B34" s="60"/>
      <c r="C34" s="60"/>
      <c r="D34" s="77" t="str">
        <f>+'Հավելված N 4'!C23</f>
        <v xml:space="preserve"> «Աշտարակի թիվ 5 Արաքս Մուրադյանի անվան մանկապարտեզ» ՀՈԱԿ</v>
      </c>
      <c r="E34" s="78">
        <f>+ROUND(G34*0.7,1)</f>
        <v>36102.400000000001</v>
      </c>
      <c r="F34" s="78">
        <f>+G34</f>
        <v>51574.9</v>
      </c>
      <c r="G34" s="78">
        <f>+'Հավելված N 4'!D23</f>
        <v>51574.9</v>
      </c>
    </row>
    <row r="35" spans="2:7" s="66" customFormat="1" ht="34.799999999999997">
      <c r="B35" s="60"/>
      <c r="C35" s="60"/>
      <c r="D35" s="77" t="str">
        <f>+'Հավելված N 4'!C24</f>
        <v xml:space="preserve"> Աշտարակ բնակավայրի թիվ 1 «Մանուշակ մանկապարտեզ» ՀՈԱԿ</v>
      </c>
      <c r="E35" s="78">
        <f t="shared" ref="E35" si="11">+ROUND(G35*0.6,1)</f>
        <v>74002.5</v>
      </c>
      <c r="F35" s="78">
        <f>+ROUND(G35*0.85,1)</f>
        <v>104836.9</v>
      </c>
      <c r="G35" s="78">
        <f>+'Հավելված N 4'!D24</f>
        <v>123337.5</v>
      </c>
    </row>
    <row r="36" spans="2:7" s="66" customFormat="1">
      <c r="B36" s="60"/>
      <c r="C36" s="60"/>
      <c r="D36" s="77" t="str">
        <f>+'Հավելված N 4'!C25</f>
        <v xml:space="preserve"> Ապարանի թիվ 1 մանկապարտեզ ՀՈԱԿ</v>
      </c>
      <c r="E36" s="78">
        <f>+ROUND(G36*0.7,1)</f>
        <v>41113</v>
      </c>
      <c r="F36" s="78">
        <f t="shared" ref="F36:F38" si="12">+G36</f>
        <v>58732.9</v>
      </c>
      <c r="G36" s="78">
        <f>+'Հավելված N 4'!D25</f>
        <v>58732.9</v>
      </c>
    </row>
    <row r="37" spans="2:7" s="66" customFormat="1">
      <c r="B37" s="60"/>
      <c r="C37" s="60"/>
      <c r="D37" s="77" t="str">
        <f>+'Հավելված N 4'!C26</f>
        <v xml:space="preserve"> «Քուչակի մանկապարտեզ» ՀՈԱԿ</v>
      </c>
      <c r="E37" s="78">
        <f>+ROUND(G37*0.7,1)</f>
        <v>18772.599999999999</v>
      </c>
      <c r="F37" s="78">
        <f t="shared" si="12"/>
        <v>26818</v>
      </c>
      <c r="G37" s="78">
        <f>+'Հավելված N 4'!D26</f>
        <v>26818</v>
      </c>
    </row>
    <row r="38" spans="2:7" s="66" customFormat="1">
      <c r="B38" s="60"/>
      <c r="C38" s="60"/>
      <c r="D38" s="77" t="str">
        <f>+'Հավելված N 4'!C27</f>
        <v xml:space="preserve"> «Հարթավանի մանկապարտեզ» ՀՈԱԿ</v>
      </c>
      <c r="E38" s="78">
        <f>+ROUND(G38*0.7,1)</f>
        <v>25107.9</v>
      </c>
      <c r="F38" s="78">
        <f t="shared" si="12"/>
        <v>35868.400000000001</v>
      </c>
      <c r="G38" s="78">
        <f>+'Հավելված N 4'!D27</f>
        <v>35868.400000000001</v>
      </c>
    </row>
    <row r="39" spans="2:7" s="66" customFormat="1" ht="18">
      <c r="B39" s="70"/>
      <c r="C39" s="70"/>
      <c r="D39" s="71" t="s">
        <v>115</v>
      </c>
      <c r="E39" s="72">
        <f t="shared" ref="E39:F39" si="13">+E41+E42</f>
        <v>370059.6</v>
      </c>
      <c r="F39" s="72">
        <f t="shared" si="13"/>
        <v>524791.80000000005</v>
      </c>
      <c r="G39" s="72">
        <f>+G41+G42</f>
        <v>605952.5</v>
      </c>
    </row>
    <row r="40" spans="2:7" s="66" customFormat="1">
      <c r="B40" s="70"/>
      <c r="C40" s="70"/>
      <c r="D40" s="73" t="s">
        <v>59</v>
      </c>
      <c r="E40" s="74"/>
      <c r="F40" s="74"/>
      <c r="G40" s="74"/>
    </row>
    <row r="41" spans="2:7" s="66" customFormat="1" ht="36">
      <c r="B41" s="70"/>
      <c r="C41" s="70"/>
      <c r="D41" s="75" t="s">
        <v>83</v>
      </c>
      <c r="E41" s="157">
        <f>+ROUND(G41*0.6,1)</f>
        <v>121824.4</v>
      </c>
      <c r="F41" s="157">
        <f>+ROUND(G41*0.85,1)</f>
        <v>172584.5</v>
      </c>
      <c r="G41" s="154">
        <f>+ROUND((361926.2+7238.5)*0.55,1)</f>
        <v>203040.6</v>
      </c>
    </row>
    <row r="42" spans="2:7" s="66" customFormat="1" ht="18">
      <c r="B42" s="70"/>
      <c r="C42" s="70"/>
      <c r="D42" s="75" t="s">
        <v>126</v>
      </c>
      <c r="E42" s="76">
        <f t="shared" ref="E42:F42" si="14">SUM(E43:E46)</f>
        <v>248235.19999999998</v>
      </c>
      <c r="F42" s="76">
        <f t="shared" si="14"/>
        <v>352207.3</v>
      </c>
      <c r="G42" s="76">
        <f>SUM(G43:G46)</f>
        <v>402911.89999999997</v>
      </c>
    </row>
    <row r="43" spans="2:7" s="66" customFormat="1" ht="34.799999999999997">
      <c r="B43" s="60"/>
      <c r="C43" s="60"/>
      <c r="D43" s="77" t="str">
        <f>+'Հավելված N 4'!C29</f>
        <v xml:space="preserve"> «Վեդու թիվ 2» նախադպրոցական ուսումնական հաստատություն ՀՈԱԿ</v>
      </c>
      <c r="E43" s="78">
        <f>+ROUND(G43*0.6,1)</f>
        <v>84460.3</v>
      </c>
      <c r="F43" s="78">
        <f>+ROUND(G43*0.85,1)</f>
        <v>119652.1</v>
      </c>
      <c r="G43" s="78">
        <f>+'Հավելված N 4'!D29</f>
        <v>140767.20000000001</v>
      </c>
    </row>
    <row r="44" spans="2:7" s="66" customFormat="1" ht="34.799999999999997">
      <c r="B44" s="60"/>
      <c r="C44" s="60"/>
      <c r="D44" s="77" t="str">
        <f>+'Հավելված N 4'!C30</f>
        <v xml:space="preserve"> Փոքր Վեդու «Զարթոնք» նախադպրոցական ուսումնական հաստատություն ՀՈԱԿ</v>
      </c>
      <c r="E44" s="78">
        <f t="shared" ref="E44:E45" si="15">+ROUND(G44*0.6,1)</f>
        <v>61448.1</v>
      </c>
      <c r="F44" s="78">
        <f t="shared" ref="F44:F45" si="16">+ROUND(G44*0.85,1)</f>
        <v>87051.5</v>
      </c>
      <c r="G44" s="78">
        <f>+'Հավելված N 4'!D30</f>
        <v>102413.5</v>
      </c>
    </row>
    <row r="45" spans="2:7" s="66" customFormat="1" ht="34.799999999999997">
      <c r="B45" s="60"/>
      <c r="C45" s="60"/>
      <c r="D45" s="77" t="str">
        <f>+'Հավելված N 4'!C31</f>
        <v xml:space="preserve"> «Մասիս համայնքի Մասիս քաղաքի թիվ 5 մսուր-մանկապարտեզ» ՀՈԱԿ</v>
      </c>
      <c r="E45" s="78">
        <f t="shared" si="15"/>
        <v>56909.9</v>
      </c>
      <c r="F45" s="78">
        <f t="shared" si="16"/>
        <v>80622.399999999994</v>
      </c>
      <c r="G45" s="78">
        <f>+'Հավելված N 4'!D31</f>
        <v>94849.9</v>
      </c>
    </row>
    <row r="46" spans="2:7" s="66" customFormat="1" ht="34.799999999999997">
      <c r="B46" s="60"/>
      <c r="C46" s="60"/>
      <c r="D46" s="77" t="str">
        <f>+'Հավելված N 4'!C32</f>
        <v xml:space="preserve"> «Արտաշատ համայնքի Դալար գյուղի մանկապարտեզ» ՀՈԱԿ</v>
      </c>
      <c r="E46" s="78">
        <f>+ROUND(G46*0.7,1)</f>
        <v>45416.9</v>
      </c>
      <c r="F46" s="78">
        <f>+G46</f>
        <v>64881.3</v>
      </c>
      <c r="G46" s="78">
        <f>+'Հավելված N 4'!D32</f>
        <v>64881.3</v>
      </c>
    </row>
    <row r="47" spans="2:7" s="66" customFormat="1" ht="18">
      <c r="B47" s="70"/>
      <c r="C47" s="70"/>
      <c r="D47" s="71" t="s">
        <v>129</v>
      </c>
      <c r="E47" s="72">
        <f t="shared" ref="E47:F47" si="17">+E49</f>
        <v>66000</v>
      </c>
      <c r="F47" s="72">
        <f t="shared" si="17"/>
        <v>154000</v>
      </c>
      <c r="G47" s="72">
        <f>+G49</f>
        <v>220000</v>
      </c>
    </row>
    <row r="48" spans="2:7" s="66" customFormat="1">
      <c r="B48" s="70"/>
      <c r="C48" s="70"/>
      <c r="D48" s="73" t="s">
        <v>59</v>
      </c>
      <c r="E48" s="74"/>
      <c r="F48" s="74"/>
      <c r="G48" s="74"/>
    </row>
    <row r="49" spans="2:7" s="66" customFormat="1" ht="36">
      <c r="B49" s="70"/>
      <c r="C49" s="70"/>
      <c r="D49" s="75" t="s">
        <v>83</v>
      </c>
      <c r="E49" s="157">
        <f>+ROUND(G49*0.3,1)</f>
        <v>66000</v>
      </c>
      <c r="F49" s="157">
        <f>+ROUND(G49*0.7,1)</f>
        <v>154000</v>
      </c>
      <c r="G49" s="154">
        <f>+ROUND(400000*0.55,1)</f>
        <v>220000</v>
      </c>
    </row>
    <row r="50" spans="2:7" s="66" customFormat="1" ht="18">
      <c r="B50" s="70"/>
      <c r="C50" s="70"/>
      <c r="D50" s="71" t="s">
        <v>130</v>
      </c>
      <c r="E50" s="72">
        <f t="shared" ref="E50:G50" si="18">+E52</f>
        <v>311312.10000000003</v>
      </c>
      <c r="F50" s="72">
        <f t="shared" si="18"/>
        <v>441025.5</v>
      </c>
      <c r="G50" s="72">
        <f t="shared" si="18"/>
        <v>518853.5</v>
      </c>
    </row>
    <row r="51" spans="2:7" s="66" customFormat="1">
      <c r="B51" s="70"/>
      <c r="C51" s="70"/>
      <c r="D51" s="73" t="s">
        <v>59</v>
      </c>
      <c r="E51" s="74"/>
      <c r="F51" s="74"/>
      <c r="G51" s="74"/>
    </row>
    <row r="52" spans="2:7" s="66" customFormat="1" ht="18">
      <c r="B52" s="70"/>
      <c r="C52" s="70"/>
      <c r="D52" s="75" t="s">
        <v>137</v>
      </c>
      <c r="E52" s="76">
        <f t="shared" ref="E52:F52" si="19">SUM(E53:E57)</f>
        <v>311312.10000000003</v>
      </c>
      <c r="F52" s="76">
        <f t="shared" si="19"/>
        <v>441025.5</v>
      </c>
      <c r="G52" s="76">
        <f>SUM(G53:G57)</f>
        <v>518853.5</v>
      </c>
    </row>
    <row r="53" spans="2:7" s="66" customFormat="1" ht="34.799999999999997">
      <c r="B53" s="60"/>
      <c r="C53" s="60"/>
      <c r="D53" s="77" t="str">
        <f>+'Հավելված N 4'!C34</f>
        <v>«Մարտունի քաղաքի թիվ 4 մանկապարտեզ» ՀՈԱԿ</v>
      </c>
      <c r="E53" s="78">
        <f>+ROUND(G53*0.6,1)</f>
        <v>61682.1</v>
      </c>
      <c r="F53" s="78">
        <f>+ROUND(G53*0.85,1)</f>
        <v>87383</v>
      </c>
      <c r="G53" s="78">
        <f>+'Հավելված N 4'!D34</f>
        <v>102803.5</v>
      </c>
    </row>
    <row r="54" spans="2:7" s="66" customFormat="1">
      <c r="B54" s="60"/>
      <c r="C54" s="60"/>
      <c r="D54" s="77" t="str">
        <f>+'Հավելված N 4'!C35</f>
        <v xml:space="preserve"> «Ձորագյուղի մանկապարտեզ» ՀՈԱԿ</v>
      </c>
      <c r="E54" s="78">
        <f t="shared" ref="E54:E55" si="20">+ROUND(G54*0.6,1)</f>
        <v>83469</v>
      </c>
      <c r="F54" s="78">
        <f t="shared" ref="F54:F57" si="21">+ROUND(G54*0.85,1)</f>
        <v>118247.8</v>
      </c>
      <c r="G54" s="78">
        <f>+'Հավելված N 4'!D35</f>
        <v>139115</v>
      </c>
    </row>
    <row r="55" spans="2:7" s="66" customFormat="1" ht="34.799999999999997">
      <c r="B55" s="60"/>
      <c r="C55" s="60"/>
      <c r="D55" s="77" t="str">
        <f>+'Հավելված N 4'!C36</f>
        <v xml:space="preserve"> «Սևան համայնքի «Հեքիաթ» մանկապարտեզ» ՀՈԱԿ</v>
      </c>
      <c r="E55" s="78">
        <f t="shared" si="20"/>
        <v>55144.3</v>
      </c>
      <c r="F55" s="78">
        <f t="shared" si="21"/>
        <v>78121</v>
      </c>
      <c r="G55" s="78">
        <f>+'Հավելված N 4'!D36</f>
        <v>91907.1</v>
      </c>
    </row>
    <row r="56" spans="2:7" s="66" customFormat="1">
      <c r="B56" s="60"/>
      <c r="C56" s="60"/>
      <c r="D56" s="77" t="str">
        <f>+'Հավելված N 4'!C37</f>
        <v xml:space="preserve"> «Ծովագյուղի մանկապարտեզ» ՀՈԱԿ</v>
      </c>
      <c r="E56" s="78">
        <f t="shared" ref="E56" si="22">+ROUND(G56*0.6,1)</f>
        <v>57891.199999999997</v>
      </c>
      <c r="F56" s="78">
        <f t="shared" si="21"/>
        <v>82012.600000000006</v>
      </c>
      <c r="G56" s="78">
        <f>+'Հավելված N 4'!D37</f>
        <v>96485.4</v>
      </c>
    </row>
    <row r="57" spans="2:7" s="66" customFormat="1">
      <c r="B57" s="60"/>
      <c r="C57" s="60"/>
      <c r="D57" s="77" t="str">
        <f>+'Հավելված N 4'!C38</f>
        <v xml:space="preserve"> «Կարմիրգյուղի մանկապարտեզ» ՀՈԱԿ</v>
      </c>
      <c r="E57" s="78">
        <f t="shared" ref="E57" si="23">+ROUND(G57*0.6,1)</f>
        <v>53125.5</v>
      </c>
      <c r="F57" s="78">
        <f t="shared" si="21"/>
        <v>75261.100000000006</v>
      </c>
      <c r="G57" s="78">
        <f>+'Հավելված N 4'!D38</f>
        <v>88542.5</v>
      </c>
    </row>
    <row r="58" spans="2:7" s="66" customFormat="1" ht="18">
      <c r="B58" s="70"/>
      <c r="C58" s="70"/>
      <c r="D58" s="71" t="s">
        <v>139</v>
      </c>
      <c r="E58" s="72">
        <f t="shared" ref="E58:F58" si="24">+E60+E61</f>
        <v>265676.59999999998</v>
      </c>
      <c r="F58" s="72">
        <f t="shared" si="24"/>
        <v>566344.19999999995</v>
      </c>
      <c r="G58" s="72">
        <f>+G60+G61</f>
        <v>566344.19999999995</v>
      </c>
    </row>
    <row r="59" spans="2:7" s="66" customFormat="1">
      <c r="B59" s="70"/>
      <c r="C59" s="70"/>
      <c r="D59" s="73" t="s">
        <v>59</v>
      </c>
      <c r="E59" s="74"/>
      <c r="F59" s="74"/>
      <c r="G59" s="74"/>
    </row>
    <row r="60" spans="2:7" s="66" customFormat="1" ht="36">
      <c r="B60" s="70"/>
      <c r="C60" s="70"/>
      <c r="D60" s="75" t="s">
        <v>83</v>
      </c>
      <c r="E60" s="157">
        <f>+ROUND(G60*0.3,1)</f>
        <v>74130</v>
      </c>
      <c r="F60" s="157">
        <f>+G60</f>
        <v>247099.9</v>
      </c>
      <c r="G60" s="76">
        <f>+ROUND((440463.3+8809.3)*0.55,1)</f>
        <v>247099.9</v>
      </c>
    </row>
    <row r="61" spans="2:7" s="66" customFormat="1" ht="18">
      <c r="B61" s="70"/>
      <c r="C61" s="70"/>
      <c r="D61" s="75" t="s">
        <v>144</v>
      </c>
      <c r="E61" s="76">
        <f t="shared" ref="E61:F61" si="25">SUM(E62:E64)</f>
        <v>191546.59999999998</v>
      </c>
      <c r="F61" s="76">
        <f t="shared" si="25"/>
        <v>319244.3</v>
      </c>
      <c r="G61" s="76">
        <f>SUM(G62:G64)</f>
        <v>319244.3</v>
      </c>
    </row>
    <row r="62" spans="2:7" s="66" customFormat="1">
      <c r="B62" s="60"/>
      <c r="C62" s="60"/>
      <c r="D62" s="77" t="str">
        <f>+'Հավելված N 4'!C40</f>
        <v xml:space="preserve"> «Շիրակամուտի Արևիկ մանկապարտեզ» ՀՈԱԿ</v>
      </c>
      <c r="E62" s="78">
        <f>+ROUND(G62*0.6,1)</f>
        <v>60920.6</v>
      </c>
      <c r="F62" s="78">
        <f>+G62</f>
        <v>101534.3</v>
      </c>
      <c r="G62" s="78">
        <f>+'Հավելված N 4'!D40</f>
        <v>101534.3</v>
      </c>
    </row>
    <row r="63" spans="2:7" s="66" customFormat="1">
      <c r="B63" s="60"/>
      <c r="C63" s="60"/>
      <c r="D63" s="77" t="str">
        <f>+'Հավելված N 4'!C41</f>
        <v xml:space="preserve"> «Վանաձորի թիվ 32 մանկապարտեզ» ՀՈԱԿ</v>
      </c>
      <c r="E63" s="78">
        <f t="shared" ref="E63:E64" si="26">+ROUND(G63*0.6,1)</f>
        <v>70186.3</v>
      </c>
      <c r="F63" s="78">
        <f t="shared" ref="F63:F64" si="27">+G63</f>
        <v>116977.09999999999</v>
      </c>
      <c r="G63" s="78">
        <f>+'Հավելված N 4'!D41</f>
        <v>116977.09999999999</v>
      </c>
    </row>
    <row r="64" spans="2:7" s="66" customFormat="1" ht="34.799999999999997">
      <c r="B64" s="60"/>
      <c r="C64" s="60"/>
      <c r="D64" s="77" t="str">
        <f>+'Հավելված N 4'!C42</f>
        <v xml:space="preserve"> Ալավերդի համայնքի «Արևներ» մսուր-մանկապարտեզ (շենք 1)</v>
      </c>
      <c r="E64" s="78">
        <f t="shared" si="26"/>
        <v>60439.7</v>
      </c>
      <c r="F64" s="78">
        <f t="shared" si="27"/>
        <v>100732.9</v>
      </c>
      <c r="G64" s="78">
        <f>+'Հավելված N 4'!D42</f>
        <v>100732.9</v>
      </c>
    </row>
    <row r="65" spans="2:7" s="66" customFormat="1" ht="18">
      <c r="B65" s="70"/>
      <c r="C65" s="70"/>
      <c r="D65" s="71" t="s">
        <v>146</v>
      </c>
      <c r="E65" s="72">
        <f t="shared" ref="E65:F65" si="28">+E67</f>
        <v>134650.1</v>
      </c>
      <c r="F65" s="72">
        <f t="shared" si="28"/>
        <v>191736</v>
      </c>
      <c r="G65" s="72">
        <f>+G67</f>
        <v>204784.1</v>
      </c>
    </row>
    <row r="66" spans="2:7" s="66" customFormat="1">
      <c r="B66" s="70"/>
      <c r="C66" s="70"/>
      <c r="D66" s="73" t="s">
        <v>59</v>
      </c>
      <c r="E66" s="74"/>
      <c r="F66" s="74"/>
      <c r="G66" s="74"/>
    </row>
    <row r="67" spans="2:7" s="66" customFormat="1" ht="18">
      <c r="B67" s="70"/>
      <c r="C67" s="70"/>
      <c r="D67" s="75" t="s">
        <v>150</v>
      </c>
      <c r="E67" s="76">
        <f t="shared" ref="E67" si="29">SUM(E68:E70)</f>
        <v>134650.1</v>
      </c>
      <c r="F67" s="76">
        <f t="shared" ref="F67" si="30">SUM(F68:F70)</f>
        <v>191736</v>
      </c>
      <c r="G67" s="76">
        <f>SUM(G68:G70)</f>
        <v>204784.1</v>
      </c>
    </row>
    <row r="68" spans="2:7" s="66" customFormat="1">
      <c r="B68" s="60"/>
      <c r="C68" s="60"/>
      <c r="D68" s="77" t="str">
        <f>+'Հավելված N 4'!C45</f>
        <v xml:space="preserve"> «Գառնիի մանկապարտեզ»› ՀՈԱԿ</v>
      </c>
      <c r="E68" s="78">
        <f t="shared" ref="E68:E69" si="31">+ROUND(G68*0.7,1)</f>
        <v>44732.7</v>
      </c>
      <c r="F68" s="78">
        <f t="shared" ref="F68:F69" si="32">+G68</f>
        <v>63903.9</v>
      </c>
      <c r="G68" s="78">
        <f>+'Հավելված N 4'!D45</f>
        <v>63903.9</v>
      </c>
    </row>
    <row r="69" spans="2:7" s="66" customFormat="1">
      <c r="B69" s="60"/>
      <c r="C69" s="60"/>
      <c r="D69" s="77" t="str">
        <f>+'Հավելված N 4'!C46</f>
        <v xml:space="preserve"> «Մրգաշենի մանկապարտեզ» ՀՈԱԿ</v>
      </c>
      <c r="E69" s="78">
        <f t="shared" si="31"/>
        <v>37725</v>
      </c>
      <c r="F69" s="78">
        <f t="shared" si="32"/>
        <v>53892.799999999996</v>
      </c>
      <c r="G69" s="78">
        <f>+'Հավելված N 4'!D46</f>
        <v>53892.799999999996</v>
      </c>
    </row>
    <row r="70" spans="2:7" s="66" customFormat="1">
      <c r="B70" s="60"/>
      <c r="C70" s="60"/>
      <c r="D70" s="77" t="str">
        <f>+'Հավելված N 4'!C47</f>
        <v xml:space="preserve"> «Հրազդանի թիվ 13 ՆՈՒՀ» ՀՈԱԿ</v>
      </c>
      <c r="E70" s="78">
        <f t="shared" ref="E70" si="33">+ROUND(G70*0.6,1)</f>
        <v>52192.4</v>
      </c>
      <c r="F70" s="78">
        <f t="shared" ref="F70" si="34">+ROUND(G70*0.85,1)</f>
        <v>73939.3</v>
      </c>
      <c r="G70" s="78">
        <f>+'Հավելված N 4'!D47</f>
        <v>86987.400000000009</v>
      </c>
    </row>
    <row r="71" spans="2:7" s="66" customFormat="1" ht="18">
      <c r="B71" s="70"/>
      <c r="C71" s="70"/>
      <c r="D71" s="71" t="s">
        <v>154</v>
      </c>
      <c r="E71" s="72">
        <f t="shared" ref="E71:F71" si="35">+E73</f>
        <v>119021</v>
      </c>
      <c r="F71" s="72">
        <f t="shared" si="35"/>
        <v>170029.9</v>
      </c>
      <c r="G71" s="72">
        <f>+G73</f>
        <v>170029.9</v>
      </c>
    </row>
    <row r="72" spans="2:7" s="66" customFormat="1">
      <c r="B72" s="70"/>
      <c r="C72" s="70"/>
      <c r="D72" s="73" t="s">
        <v>59</v>
      </c>
      <c r="E72" s="74"/>
      <c r="F72" s="74"/>
      <c r="G72" s="74"/>
    </row>
    <row r="73" spans="2:7" s="66" customFormat="1" ht="18">
      <c r="B73" s="70"/>
      <c r="C73" s="70"/>
      <c r="D73" s="75" t="s">
        <v>159</v>
      </c>
      <c r="E73" s="76">
        <f t="shared" ref="E73" si="36">SUM(E74:E76)</f>
        <v>119021</v>
      </c>
      <c r="F73" s="76">
        <f t="shared" ref="F73" si="37">SUM(F74:F76)</f>
        <v>170029.9</v>
      </c>
      <c r="G73" s="76">
        <f>SUM(G74:G76)</f>
        <v>170029.9</v>
      </c>
    </row>
    <row r="74" spans="2:7" s="66" customFormat="1">
      <c r="B74" s="60"/>
      <c r="C74" s="60"/>
      <c r="D74" s="77" t="str">
        <f>+'Հավելված N 4'!C49</f>
        <v xml:space="preserve"> «Լապտերիկ – մսուր մանկապարտեզ» ՀՈԱԿ</v>
      </c>
      <c r="E74" s="78">
        <f t="shared" ref="E74:E76" si="38">+ROUND(G74*0.7,1)</f>
        <v>42668.9</v>
      </c>
      <c r="F74" s="78">
        <f t="shared" ref="F74:F76" si="39">+G74</f>
        <v>60955.5</v>
      </c>
      <c r="G74" s="78">
        <f>+'Հավելված N 4'!D49</f>
        <v>60955.5</v>
      </c>
    </row>
    <row r="75" spans="2:7" s="66" customFormat="1">
      <c r="B75" s="60"/>
      <c r="C75" s="60"/>
      <c r="D75" s="77" t="str">
        <f>+'Հավելված N 4'!C50</f>
        <v xml:space="preserve"> «Արևիկ մանկապարտեզ» ՀՈԱԿ</v>
      </c>
      <c r="E75" s="78">
        <f t="shared" si="38"/>
        <v>36681.599999999999</v>
      </c>
      <c r="F75" s="78">
        <f t="shared" si="39"/>
        <v>52402.299999999996</v>
      </c>
      <c r="G75" s="78">
        <f>+'Հավելված N 4'!D50</f>
        <v>52402.299999999996</v>
      </c>
    </row>
    <row r="76" spans="2:7" s="66" customFormat="1">
      <c r="B76" s="60"/>
      <c r="C76" s="60"/>
      <c r="D76" s="77" t="str">
        <f>+'Հավելված N 4'!C51</f>
        <v xml:space="preserve"> «Սառնաղբյուրի մանկապարտեզ» ՀՈԱԿ</v>
      </c>
      <c r="E76" s="78">
        <f t="shared" si="38"/>
        <v>39670.5</v>
      </c>
      <c r="F76" s="78">
        <f t="shared" si="39"/>
        <v>56672.1</v>
      </c>
      <c r="G76" s="78">
        <f>+'Հավելված N 4'!D51</f>
        <v>56672.1</v>
      </c>
    </row>
    <row r="77" spans="2:7" s="66" customFormat="1" ht="18">
      <c r="B77" s="70"/>
      <c r="C77" s="70"/>
      <c r="D77" s="71" t="s">
        <v>163</v>
      </c>
      <c r="E77" s="72">
        <f t="shared" ref="E77:F77" si="40">+E79</f>
        <v>102798.39999999999</v>
      </c>
      <c r="F77" s="72">
        <f t="shared" si="40"/>
        <v>146138.29999999999</v>
      </c>
      <c r="G77" s="72">
        <f>+G79</f>
        <v>161185.5</v>
      </c>
    </row>
    <row r="78" spans="2:7" s="66" customFormat="1">
      <c r="B78" s="70"/>
      <c r="C78" s="70"/>
      <c r="D78" s="73" t="s">
        <v>59</v>
      </c>
      <c r="E78" s="74"/>
      <c r="F78" s="74"/>
      <c r="G78" s="74"/>
    </row>
    <row r="79" spans="2:7" s="66" customFormat="1" ht="18">
      <c r="B79" s="70"/>
      <c r="C79" s="70"/>
      <c r="D79" s="75" t="s">
        <v>167</v>
      </c>
      <c r="E79" s="76">
        <f t="shared" ref="E79:F79" si="41">SUM(E80:E81)</f>
        <v>102798.39999999999</v>
      </c>
      <c r="F79" s="76">
        <f t="shared" si="41"/>
        <v>146138.29999999999</v>
      </c>
      <c r="G79" s="76">
        <f>SUM(G80:G81)</f>
        <v>161185.5</v>
      </c>
    </row>
    <row r="80" spans="2:7" s="66" customFormat="1">
      <c r="B80" s="60"/>
      <c r="C80" s="60"/>
      <c r="D80" s="77" t="str">
        <f>+'Հավելված N 4'!C53</f>
        <v xml:space="preserve"> «Լեռնաձորի մանկապարտեզ» ՀՈԱԿ</v>
      </c>
      <c r="E80" s="78">
        <f t="shared" ref="E80" si="42">+ROUND(G80*0.7,1)</f>
        <v>42609.599999999999</v>
      </c>
      <c r="F80" s="78">
        <f t="shared" ref="F80" si="43">+G80</f>
        <v>60870.9</v>
      </c>
      <c r="G80" s="78">
        <f>+'Հավելված N 4'!D53</f>
        <v>60870.9</v>
      </c>
    </row>
    <row r="81" spans="2:7" s="66" customFormat="1">
      <c r="B81" s="60"/>
      <c r="C81" s="60"/>
      <c r="D81" s="77" t="str">
        <f>+'Հավելված N 4'!C54</f>
        <v xml:space="preserve"> «Սիսիանի թիվ 4 ՆՈՒՀ» ՀՈԱԿ</v>
      </c>
      <c r="E81" s="78">
        <f>+ROUND(G81*0.6,1)</f>
        <v>60188.800000000003</v>
      </c>
      <c r="F81" s="78">
        <f t="shared" ref="F81" si="44">+ROUND(G81*0.85,1)</f>
        <v>85267.4</v>
      </c>
      <c r="G81" s="78">
        <f>+'Հավելված N 4'!D54</f>
        <v>100314.6</v>
      </c>
    </row>
    <row r="82" spans="2:7" s="66" customFormat="1" ht="18">
      <c r="B82" s="70"/>
      <c r="C82" s="70"/>
      <c r="D82" s="71" t="s">
        <v>169</v>
      </c>
      <c r="E82" s="72">
        <f t="shared" ref="E82:F82" si="45">+E84+E85</f>
        <v>209564.9</v>
      </c>
      <c r="F82" s="72">
        <f t="shared" si="45"/>
        <v>284469.3</v>
      </c>
      <c r="G82" s="72">
        <f>+G84+G85</f>
        <v>349274.8</v>
      </c>
    </row>
    <row r="83" spans="2:7" s="66" customFormat="1">
      <c r="B83" s="70"/>
      <c r="C83" s="70"/>
      <c r="D83" s="73" t="s">
        <v>59</v>
      </c>
      <c r="E83" s="74"/>
      <c r="F83" s="74"/>
      <c r="G83" s="74"/>
    </row>
    <row r="84" spans="2:7" s="66" customFormat="1" ht="36">
      <c r="B84" s="70"/>
      <c r="C84" s="70"/>
      <c r="D84" s="75" t="s">
        <v>83</v>
      </c>
      <c r="E84" s="76">
        <f>+ROUND(G84*0.6,1)</f>
        <v>148971</v>
      </c>
      <c r="F84" s="76">
        <f>+ROUND(G84*0.8,1)</f>
        <v>198628</v>
      </c>
      <c r="G84" s="76">
        <f>+ROUND((154338.2+3086.8)*0.55,1)+ROUND((288237.4+5764.7)*0.55,1)</f>
        <v>248285</v>
      </c>
    </row>
    <row r="85" spans="2:7" s="66" customFormat="1" ht="18">
      <c r="B85" s="70"/>
      <c r="C85" s="70"/>
      <c r="D85" s="75" t="s">
        <v>173</v>
      </c>
      <c r="E85" s="76">
        <f t="shared" ref="E85:F85" si="46">+E86</f>
        <v>60593.9</v>
      </c>
      <c r="F85" s="76">
        <f t="shared" si="46"/>
        <v>85841.3</v>
      </c>
      <c r="G85" s="76">
        <f>+G86</f>
        <v>100989.8</v>
      </c>
    </row>
    <row r="86" spans="2:7" s="66" customFormat="1">
      <c r="B86" s="60"/>
      <c r="C86" s="60"/>
      <c r="D86" s="77" t="str">
        <f>+'Հավելված N 4'!C56</f>
        <v xml:space="preserve"> «Աղավնաձորի մանկապարտեզ» ՀՈԱԿ</v>
      </c>
      <c r="E86" s="78">
        <f>+ROUND(G86*0.6,1)</f>
        <v>60593.9</v>
      </c>
      <c r="F86" s="78">
        <f t="shared" ref="F86" si="47">+ROUND(G86*0.85,1)</f>
        <v>85841.3</v>
      </c>
      <c r="G86" s="78">
        <f>+'Հավելված N 4'!D56</f>
        <v>100989.8</v>
      </c>
    </row>
    <row r="87" spans="2:7" s="66" customFormat="1" ht="18">
      <c r="B87" s="70"/>
      <c r="C87" s="70"/>
      <c r="D87" s="71" t="s">
        <v>175</v>
      </c>
      <c r="E87" s="72">
        <f t="shared" ref="E87:G87" si="48">+E89</f>
        <v>266429.5</v>
      </c>
      <c r="F87" s="72">
        <f t="shared" si="48"/>
        <v>378507</v>
      </c>
      <c r="G87" s="72">
        <f t="shared" si="48"/>
        <v>422743.60000000003</v>
      </c>
    </row>
    <row r="88" spans="2:7" s="66" customFormat="1">
      <c r="B88" s="70"/>
      <c r="C88" s="70"/>
      <c r="D88" s="73" t="s">
        <v>59</v>
      </c>
      <c r="E88" s="74"/>
      <c r="F88" s="74"/>
      <c r="G88" s="74"/>
    </row>
    <row r="89" spans="2:7" s="66" customFormat="1" ht="18">
      <c r="B89" s="70"/>
      <c r="C89" s="70"/>
      <c r="D89" s="75" t="s">
        <v>183</v>
      </c>
      <c r="E89" s="76">
        <f t="shared" ref="E89:F89" si="49">SUM(E90:E94)</f>
        <v>266429.5</v>
      </c>
      <c r="F89" s="76">
        <f t="shared" si="49"/>
        <v>378507</v>
      </c>
      <c r="G89" s="76">
        <f>SUM(G90:G94)</f>
        <v>422743.60000000003</v>
      </c>
    </row>
    <row r="90" spans="2:7" s="66" customFormat="1">
      <c r="B90" s="60"/>
      <c r="C90" s="60"/>
      <c r="D90" s="77" t="str">
        <f>+'Հավելված N 4'!C58</f>
        <v xml:space="preserve"> «Դիլիջանի թիվ 1 մանկապարտեզ» ՀՈԱԿ</v>
      </c>
      <c r="E90" s="78">
        <f>+ROUND(G90*0.6,1)</f>
        <v>55417.2</v>
      </c>
      <c r="F90" s="78">
        <f t="shared" ref="F90" si="50">+ROUND(G90*0.85,1)</f>
        <v>78507.7</v>
      </c>
      <c r="G90" s="78">
        <f>+'Հավելված N 4'!D58</f>
        <v>92362.000000000015</v>
      </c>
    </row>
    <row r="91" spans="2:7" s="66" customFormat="1">
      <c r="B91" s="60"/>
      <c r="C91" s="60"/>
      <c r="D91" s="77" t="str">
        <f>+'Հավելված N 4'!C59</f>
        <v xml:space="preserve"> «Հաղարծինի մանկապարտեզ» ՀՈԱԿ</v>
      </c>
      <c r="E91" s="78">
        <f t="shared" ref="E91:E92" si="51">+ROUND(G91*0.7,1)</f>
        <v>40914.199999999997</v>
      </c>
      <c r="F91" s="78">
        <f t="shared" ref="F91:F92" si="52">+G91</f>
        <v>58448.9</v>
      </c>
      <c r="G91" s="78">
        <f>+'Հավելված N 4'!D59</f>
        <v>58448.9</v>
      </c>
    </row>
    <row r="92" spans="2:7" s="66" customFormat="1">
      <c r="B92" s="60"/>
      <c r="C92" s="60"/>
      <c r="D92" s="77" t="str">
        <f>+'Հավելված N 4'!C60</f>
        <v xml:space="preserve"> «Կոթիի մսուր-մանկապարտեզ» ՀՈԱԿ</v>
      </c>
      <c r="E92" s="78">
        <f t="shared" si="51"/>
        <v>48568.7</v>
      </c>
      <c r="F92" s="78">
        <f t="shared" si="52"/>
        <v>69383.8</v>
      </c>
      <c r="G92" s="78">
        <f>+'Հավելված N 4'!D60</f>
        <v>69383.8</v>
      </c>
    </row>
    <row r="93" spans="2:7" s="66" customFormat="1">
      <c r="B93" s="60"/>
      <c r="C93" s="60"/>
      <c r="D93" s="77" t="str">
        <f>+'Հավելված N 4'!C61</f>
        <v xml:space="preserve"> «Սարիգյուղի մանկապարտեզ» ՀՈԱԿ</v>
      </c>
      <c r="E93" s="78">
        <f t="shared" ref="E93:E94" si="53">+ROUND(G93*0.6,1)</f>
        <v>63200.2</v>
      </c>
      <c r="F93" s="78">
        <f t="shared" ref="F93:F94" si="54">+ROUND(G93*0.85,1)</f>
        <v>89533.6</v>
      </c>
      <c r="G93" s="78">
        <f>+'Հավելված N 4'!D61</f>
        <v>105333.6</v>
      </c>
    </row>
    <row r="94" spans="2:7" s="66" customFormat="1">
      <c r="B94" s="60"/>
      <c r="C94" s="60"/>
      <c r="D94" s="77" t="str">
        <f>+'Հավելված N 4'!C62</f>
        <v xml:space="preserve"> «Բերդավանի մսուր-մանկապարտեզ» ՀՈԱԿ</v>
      </c>
      <c r="E94" s="78">
        <f t="shared" si="53"/>
        <v>58329.2</v>
      </c>
      <c r="F94" s="78">
        <f t="shared" si="54"/>
        <v>82633</v>
      </c>
      <c r="G94" s="78">
        <f>+'Հավելված N 4'!D62</f>
        <v>97215.299999999988</v>
      </c>
    </row>
    <row r="95" spans="2:7" s="66" customFormat="1" ht="36">
      <c r="B95" s="65">
        <v>1236</v>
      </c>
      <c r="C95" s="193">
        <v>32003</v>
      </c>
      <c r="D95" s="194" t="s">
        <v>238</v>
      </c>
      <c r="E95" s="30">
        <f t="shared" ref="E95:G95" si="55">+E97</f>
        <v>-600000</v>
      </c>
      <c r="F95" s="30">
        <f t="shared" si="55"/>
        <v>-1000000</v>
      </c>
      <c r="G95" s="30">
        <f t="shared" si="55"/>
        <v>-1250000</v>
      </c>
    </row>
    <row r="96" spans="2:7" s="66" customFormat="1">
      <c r="B96" s="67"/>
      <c r="C96" s="67"/>
      <c r="D96" s="68" t="s">
        <v>15</v>
      </c>
      <c r="E96" s="69"/>
      <c r="F96" s="69"/>
      <c r="G96" s="69"/>
    </row>
    <row r="97" spans="2:8" s="66" customFormat="1" ht="18">
      <c r="B97" s="70"/>
      <c r="C97" s="70"/>
      <c r="D97" s="71" t="s">
        <v>237</v>
      </c>
      <c r="E97" s="72">
        <f t="shared" ref="E97:G97" si="56">+E99</f>
        <v>-600000</v>
      </c>
      <c r="F97" s="72">
        <f t="shared" si="56"/>
        <v>-1000000</v>
      </c>
      <c r="G97" s="72">
        <f t="shared" si="56"/>
        <v>-1250000</v>
      </c>
      <c r="H97" s="155"/>
    </row>
    <row r="98" spans="2:8" s="66" customFormat="1">
      <c r="B98" s="70"/>
      <c r="C98" s="70"/>
      <c r="D98" s="73" t="s">
        <v>59</v>
      </c>
      <c r="E98" s="158"/>
      <c r="F98" s="158"/>
      <c r="G98" s="158"/>
    </row>
    <row r="99" spans="2:8" s="66" customFormat="1" ht="36">
      <c r="B99" s="70"/>
      <c r="C99" s="70"/>
      <c r="D99" s="75" t="s">
        <v>238</v>
      </c>
      <c r="E99" s="76">
        <v>-600000</v>
      </c>
      <c r="F99" s="76">
        <v>-1000000</v>
      </c>
      <c r="G99" s="76">
        <f>+'Հավելված N 4'!D63</f>
        <v>-1250000</v>
      </c>
    </row>
    <row r="100" spans="2:8" s="66" customFormat="1" ht="36">
      <c r="B100" s="65">
        <v>1236</v>
      </c>
      <c r="C100" s="65">
        <v>32004</v>
      </c>
      <c r="D100" s="48" t="s">
        <v>234</v>
      </c>
      <c r="E100" s="30">
        <f>+E102+E105</f>
        <v>-1381691.9</v>
      </c>
      <c r="F100" s="30">
        <f t="shared" ref="F100:G100" si="57">+F102+F105</f>
        <v>-2111691.9</v>
      </c>
      <c r="G100" s="30">
        <f t="shared" si="57"/>
        <v>-2761691.9</v>
      </c>
    </row>
    <row r="101" spans="2:8" s="66" customFormat="1">
      <c r="B101" s="67"/>
      <c r="C101" s="67"/>
      <c r="D101" s="68" t="s">
        <v>15</v>
      </c>
      <c r="E101" s="69"/>
      <c r="F101" s="69"/>
      <c r="G101" s="69"/>
    </row>
    <row r="102" spans="2:8" s="66" customFormat="1" ht="36">
      <c r="B102" s="70"/>
      <c r="C102" s="70"/>
      <c r="D102" s="71" t="s">
        <v>239</v>
      </c>
      <c r="E102" s="72">
        <f t="shared" ref="E102:G102" si="58">+E104</f>
        <v>0</v>
      </c>
      <c r="F102" s="72">
        <f t="shared" si="58"/>
        <v>-509124.89999999997</v>
      </c>
      <c r="G102" s="72">
        <f t="shared" si="58"/>
        <v>-509124.89999999997</v>
      </c>
      <c r="H102" s="155"/>
    </row>
    <row r="103" spans="2:8" s="66" customFormat="1">
      <c r="B103" s="70"/>
      <c r="C103" s="70"/>
      <c r="D103" s="227" t="s">
        <v>59</v>
      </c>
      <c r="E103" s="158"/>
      <c r="F103" s="158"/>
      <c r="G103" s="158"/>
    </row>
    <row r="104" spans="2:8" s="66" customFormat="1" ht="36">
      <c r="B104" s="70"/>
      <c r="C104" s="70"/>
      <c r="D104" s="75" t="s">
        <v>234</v>
      </c>
      <c r="E104" s="76">
        <v>0</v>
      </c>
      <c r="F104" s="76">
        <f>+G104</f>
        <v>-509124.89999999997</v>
      </c>
      <c r="G104" s="76">
        <f>-'Հավելված N 9'!I26</f>
        <v>-509124.89999999997</v>
      </c>
    </row>
    <row r="105" spans="2:8" s="66" customFormat="1" ht="18">
      <c r="B105" s="70"/>
      <c r="C105" s="70"/>
      <c r="D105" s="71" t="s">
        <v>237</v>
      </c>
      <c r="E105" s="72">
        <f t="shared" ref="E105:G105" si="59">+E107</f>
        <v>-1381691.9</v>
      </c>
      <c r="F105" s="72">
        <f t="shared" si="59"/>
        <v>-1602567</v>
      </c>
      <c r="G105" s="72">
        <f t="shared" si="59"/>
        <v>-2252567</v>
      </c>
      <c r="H105" s="155"/>
    </row>
    <row r="106" spans="2:8" s="66" customFormat="1">
      <c r="B106" s="70"/>
      <c r="C106" s="70"/>
      <c r="D106" s="73" t="s">
        <v>59</v>
      </c>
      <c r="E106" s="158"/>
      <c r="F106" s="158"/>
      <c r="G106" s="158"/>
    </row>
    <row r="107" spans="2:8" s="66" customFormat="1" ht="36">
      <c r="B107" s="70"/>
      <c r="C107" s="70"/>
      <c r="D107" s="75" t="s">
        <v>234</v>
      </c>
      <c r="E107" s="76">
        <f>-300000-700000-'Հավելված N 9'!I36-379124.9</f>
        <v>-1381691.9</v>
      </c>
      <c r="F107" s="76">
        <f>-600000-1000000-'Հավելված N 9'!I36</f>
        <v>-1602567</v>
      </c>
      <c r="G107" s="76">
        <f>+'Հավելված N 4'!D68+'Հավելված N 9'!I26</f>
        <v>-2252567</v>
      </c>
    </row>
  </sheetData>
  <mergeCells count="7">
    <mergeCell ref="B9:C9"/>
    <mergeCell ref="D9:D10"/>
    <mergeCell ref="F1:G1"/>
    <mergeCell ref="E2:G2"/>
    <mergeCell ref="F3:G3"/>
    <mergeCell ref="B6:G6"/>
    <mergeCell ref="E9:G9"/>
  </mergeCells>
  <pageMargins left="0.25" right="0.25" top="0.75" bottom="0.75" header="0.3" footer="0.3"/>
  <pageSetup paperSize="9" scale="42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E0457-51CF-4B3D-953A-EEAF0B73B7E6}">
  <sheetPr>
    <tabColor rgb="FF92D050"/>
  </sheetPr>
  <dimension ref="A1:P28"/>
  <sheetViews>
    <sheetView topLeftCell="A10" zoomScale="65" zoomScaleNormal="55" workbookViewId="0">
      <selection activeCell="C28" sqref="C28"/>
    </sheetView>
  </sheetViews>
  <sheetFormatPr defaultColWidth="8.21875" defaultRowHeight="17.399999999999999"/>
  <cols>
    <col min="1" max="1" width="9.77734375" style="165" customWidth="1"/>
    <col min="2" max="2" width="14.33203125" style="165" bestFit="1" customWidth="1"/>
    <col min="3" max="3" width="68.44140625" style="165" customWidth="1"/>
    <col min="4" max="4" width="22.5546875" style="165" customWidth="1"/>
    <col min="5" max="6" width="22.44140625" style="165" customWidth="1"/>
    <col min="7" max="7" width="22.5546875" style="165" customWidth="1"/>
    <col min="8" max="9" width="22.44140625" style="165" customWidth="1"/>
    <col min="10" max="10" width="22.5546875" style="165" customWidth="1"/>
    <col min="11" max="12" width="22.44140625" style="165" customWidth="1"/>
    <col min="13" max="13" width="13.77734375" style="165" customWidth="1"/>
    <col min="14" max="16384" width="8.21875" style="165"/>
  </cols>
  <sheetData>
    <row r="1" spans="1:16" s="17" customFormat="1" ht="25.5" customHeight="1">
      <c r="D1" s="339"/>
      <c r="E1" s="339"/>
      <c r="F1" s="339"/>
      <c r="G1" s="339"/>
      <c r="H1" s="339"/>
      <c r="I1" s="339"/>
      <c r="J1" s="339" t="s">
        <v>208</v>
      </c>
      <c r="K1" s="339"/>
      <c r="L1" s="339"/>
    </row>
    <row r="2" spans="1:16" s="18" customFormat="1" ht="17.850000000000001" customHeight="1">
      <c r="D2" s="326"/>
      <c r="E2" s="326"/>
      <c r="F2" s="326"/>
      <c r="G2" s="326"/>
      <c r="H2" s="326"/>
      <c r="I2" s="326"/>
      <c r="J2" s="326" t="s">
        <v>54</v>
      </c>
      <c r="K2" s="326"/>
      <c r="L2" s="326"/>
    </row>
    <row r="3" spans="1:16" s="18" customFormat="1" ht="17.399999999999999" customHeight="1">
      <c r="D3" s="326"/>
      <c r="E3" s="326"/>
      <c r="F3" s="326"/>
      <c r="G3" s="326"/>
      <c r="H3" s="326"/>
      <c r="I3" s="326"/>
      <c r="J3" s="326" t="s">
        <v>19</v>
      </c>
      <c r="K3" s="326"/>
      <c r="L3" s="326"/>
    </row>
    <row r="4" spans="1:16" s="18" customFormat="1" ht="13.65" customHeight="1"/>
    <row r="5" spans="1:16" s="18" customFormat="1" ht="13.65" customHeight="1"/>
    <row r="6" spans="1:16" s="18" customFormat="1" ht="85.65" customHeight="1">
      <c r="A6" s="322" t="s">
        <v>242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</row>
    <row r="8" spans="1:16">
      <c r="F8" s="59"/>
      <c r="I8" s="59"/>
      <c r="L8" s="59" t="s">
        <v>9</v>
      </c>
    </row>
    <row r="9" spans="1:16" s="9" customFormat="1" ht="40.200000000000003" customHeight="1">
      <c r="A9" s="327" t="s">
        <v>1</v>
      </c>
      <c r="B9" s="328"/>
      <c r="C9" s="288" t="s">
        <v>5</v>
      </c>
      <c r="D9" s="336" t="s">
        <v>249</v>
      </c>
      <c r="E9" s="337"/>
      <c r="F9" s="337"/>
      <c r="G9" s="337"/>
      <c r="H9" s="337"/>
      <c r="I9" s="337"/>
      <c r="J9" s="337"/>
      <c r="K9" s="337"/>
      <c r="L9" s="338"/>
    </row>
    <row r="10" spans="1:16" s="9" customFormat="1" ht="17.399999999999999" customHeight="1">
      <c r="A10" s="329"/>
      <c r="B10" s="330"/>
      <c r="C10" s="333"/>
      <c r="D10" s="334" t="s">
        <v>24</v>
      </c>
      <c r="E10" s="334"/>
      <c r="F10" s="334"/>
      <c r="G10" s="334" t="s">
        <v>243</v>
      </c>
      <c r="H10" s="334"/>
      <c r="I10" s="334"/>
      <c r="J10" s="334" t="s">
        <v>244</v>
      </c>
      <c r="K10" s="334"/>
      <c r="L10" s="334"/>
    </row>
    <row r="11" spans="1:16" s="9" customFormat="1" ht="38.700000000000003" customHeight="1">
      <c r="A11" s="331"/>
      <c r="B11" s="332"/>
      <c r="C11" s="289"/>
      <c r="D11" s="303" t="s">
        <v>245</v>
      </c>
      <c r="E11" s="335" t="s">
        <v>6</v>
      </c>
      <c r="F11" s="293"/>
      <c r="G11" s="303" t="s">
        <v>245</v>
      </c>
      <c r="H11" s="335" t="s">
        <v>6</v>
      </c>
      <c r="I11" s="293"/>
      <c r="J11" s="303" t="s">
        <v>245</v>
      </c>
      <c r="K11" s="335" t="s">
        <v>6</v>
      </c>
      <c r="L11" s="293"/>
    </row>
    <row r="12" spans="1:16" s="9" customFormat="1" ht="37.049999999999997" customHeight="1">
      <c r="A12" s="57" t="s">
        <v>13</v>
      </c>
      <c r="B12" s="57" t="s">
        <v>246</v>
      </c>
      <c r="C12" s="195"/>
      <c r="D12" s="305"/>
      <c r="E12" s="57" t="s">
        <v>247</v>
      </c>
      <c r="F12" s="57" t="s">
        <v>248</v>
      </c>
      <c r="G12" s="305"/>
      <c r="H12" s="57" t="s">
        <v>247</v>
      </c>
      <c r="I12" s="57" t="s">
        <v>248</v>
      </c>
      <c r="J12" s="305"/>
      <c r="K12" s="57" t="s">
        <v>247</v>
      </c>
      <c r="L12" s="57" t="s">
        <v>248</v>
      </c>
      <c r="N12" s="196"/>
      <c r="O12" s="196"/>
      <c r="P12" s="196"/>
    </row>
    <row r="13" spans="1:16" s="206" customFormat="1" ht="18">
      <c r="A13" s="202"/>
      <c r="B13" s="202"/>
      <c r="C13" s="212" t="s">
        <v>8</v>
      </c>
      <c r="D13" s="197">
        <f t="shared" ref="D13" si="0">+E13+F13</f>
        <v>12676.5</v>
      </c>
      <c r="E13" s="197">
        <f>+E15</f>
        <v>0</v>
      </c>
      <c r="F13" s="197">
        <f>+F15</f>
        <v>12676.5</v>
      </c>
      <c r="G13" s="197">
        <f t="shared" ref="G13" si="1">+H13+I13</f>
        <v>12676.5</v>
      </c>
      <c r="H13" s="197">
        <f>+H15</f>
        <v>0</v>
      </c>
      <c r="I13" s="197">
        <f>+I15</f>
        <v>12676.5</v>
      </c>
      <c r="J13" s="197">
        <f t="shared" ref="J13" si="2">+K13+L13</f>
        <v>12676.5</v>
      </c>
      <c r="K13" s="197">
        <f>+K15</f>
        <v>0</v>
      </c>
      <c r="L13" s="197">
        <f>+L15</f>
        <v>12676.5</v>
      </c>
    </row>
    <row r="14" spans="1:16" s="209" customFormat="1">
      <c r="A14" s="204"/>
      <c r="B14" s="204"/>
      <c r="C14" s="204" t="s">
        <v>6</v>
      </c>
      <c r="D14" s="213"/>
      <c r="E14" s="213"/>
      <c r="F14" s="213"/>
      <c r="G14" s="213"/>
      <c r="H14" s="213"/>
      <c r="I14" s="213"/>
      <c r="J14" s="213"/>
      <c r="K14" s="213"/>
      <c r="L14" s="213"/>
    </row>
    <row r="15" spans="1:16" s="209" customFormat="1" ht="18">
      <c r="A15" s="204"/>
      <c r="B15" s="204"/>
      <c r="C15" s="199" t="s">
        <v>61</v>
      </c>
      <c r="D15" s="198">
        <f t="shared" ref="D15:D16" si="3">+E15+F15</f>
        <v>12676.5</v>
      </c>
      <c r="E15" s="198">
        <f>+E16</f>
        <v>0</v>
      </c>
      <c r="F15" s="198">
        <f>+F16</f>
        <v>12676.5</v>
      </c>
      <c r="G15" s="198">
        <f t="shared" ref="G15:G16" si="4">+H15+I15</f>
        <v>12676.5</v>
      </c>
      <c r="H15" s="198">
        <f>+H16</f>
        <v>0</v>
      </c>
      <c r="I15" s="198">
        <f>+I16</f>
        <v>12676.5</v>
      </c>
      <c r="J15" s="198">
        <f t="shared" ref="J15:J16" si="5">+K15+L15</f>
        <v>12676.5</v>
      </c>
      <c r="K15" s="198">
        <f>+K16</f>
        <v>0</v>
      </c>
      <c r="L15" s="198">
        <f>+L16</f>
        <v>12676.5</v>
      </c>
    </row>
    <row r="16" spans="1:16" s="209" customFormat="1" ht="36">
      <c r="A16" s="204"/>
      <c r="B16" s="204"/>
      <c r="C16" s="199" t="s">
        <v>250</v>
      </c>
      <c r="D16" s="198">
        <f t="shared" si="3"/>
        <v>12676.5</v>
      </c>
      <c r="E16" s="198">
        <f>+E18</f>
        <v>0</v>
      </c>
      <c r="F16" s="198">
        <f>+F18</f>
        <v>12676.5</v>
      </c>
      <c r="G16" s="198">
        <f t="shared" si="4"/>
        <v>12676.5</v>
      </c>
      <c r="H16" s="198">
        <f>+H18</f>
        <v>0</v>
      </c>
      <c r="I16" s="198">
        <f>+I18</f>
        <v>12676.5</v>
      </c>
      <c r="J16" s="198">
        <f t="shared" si="5"/>
        <v>12676.5</v>
      </c>
      <c r="K16" s="198">
        <f>+K18</f>
        <v>0</v>
      </c>
      <c r="L16" s="198">
        <f>+L18</f>
        <v>12676.5</v>
      </c>
    </row>
    <row r="17" spans="1:12" s="209" customFormat="1">
      <c r="A17" s="204"/>
      <c r="B17" s="204"/>
      <c r="C17" s="204" t="s">
        <v>6</v>
      </c>
      <c r="D17" s="213"/>
      <c r="E17" s="213"/>
      <c r="F17" s="213"/>
      <c r="G17" s="213"/>
      <c r="H17" s="213"/>
      <c r="I17" s="213"/>
      <c r="J17" s="213"/>
      <c r="K17" s="213"/>
      <c r="L17" s="213"/>
    </row>
    <row r="18" spans="1:12" s="200" customFormat="1" ht="18">
      <c r="A18" s="199" t="s">
        <v>251</v>
      </c>
      <c r="B18" s="199"/>
      <c r="C18" s="199" t="s">
        <v>252</v>
      </c>
      <c r="D18" s="198">
        <f>SUM(E18:F18)</f>
        <v>12676.5</v>
      </c>
      <c r="E18" s="198">
        <f>+E20</f>
        <v>0</v>
      </c>
      <c r="F18" s="198">
        <f>+F20</f>
        <v>12676.5</v>
      </c>
      <c r="G18" s="198">
        <f>SUM(H18:I18)</f>
        <v>12676.5</v>
      </c>
      <c r="H18" s="198">
        <f>+H20</f>
        <v>0</v>
      </c>
      <c r="I18" s="198">
        <f>+I20</f>
        <v>12676.5</v>
      </c>
      <c r="J18" s="198">
        <f>SUM(K18:L18)</f>
        <v>12676.5</v>
      </c>
      <c r="K18" s="198">
        <f>+K20</f>
        <v>0</v>
      </c>
      <c r="L18" s="198">
        <f>+L20</f>
        <v>12676.5</v>
      </c>
    </row>
    <row r="19" spans="1:12" s="9" customFormat="1">
      <c r="A19" s="49"/>
      <c r="B19" s="49"/>
      <c r="C19" s="49" t="s">
        <v>6</v>
      </c>
      <c r="D19" s="201"/>
      <c r="E19" s="201"/>
      <c r="F19" s="201"/>
      <c r="G19" s="201"/>
      <c r="H19" s="201"/>
      <c r="I19" s="201"/>
      <c r="J19" s="201"/>
      <c r="K19" s="201"/>
      <c r="L19" s="201"/>
    </row>
    <row r="20" spans="1:12" s="206" customFormat="1" ht="52.2">
      <c r="A20" s="202"/>
      <c r="B20" s="203" t="s">
        <v>253</v>
      </c>
      <c r="C20" s="204" t="s">
        <v>254</v>
      </c>
      <c r="D20" s="205">
        <f>SUM(E20:F20)</f>
        <v>12676.5</v>
      </c>
      <c r="E20" s="205">
        <f>+E22</f>
        <v>0</v>
      </c>
      <c r="F20" s="205">
        <f>+F22</f>
        <v>12676.5</v>
      </c>
      <c r="G20" s="205">
        <f>SUM(H20:I20)</f>
        <v>12676.5</v>
      </c>
      <c r="H20" s="205">
        <f>+H22</f>
        <v>0</v>
      </c>
      <c r="I20" s="205">
        <f>+I22</f>
        <v>12676.5</v>
      </c>
      <c r="J20" s="205">
        <f>SUM(K20:L20)</f>
        <v>12676.5</v>
      </c>
      <c r="K20" s="205">
        <f>+K22</f>
        <v>0</v>
      </c>
      <c r="L20" s="205">
        <f>+L22</f>
        <v>12676.5</v>
      </c>
    </row>
    <row r="21" spans="1:12" s="9" customFormat="1">
      <c r="A21" s="49"/>
      <c r="B21" s="49"/>
      <c r="C21" s="49" t="s">
        <v>15</v>
      </c>
      <c r="D21" s="201"/>
      <c r="E21" s="201"/>
      <c r="F21" s="201"/>
      <c r="G21" s="201"/>
      <c r="H21" s="201"/>
      <c r="I21" s="201"/>
      <c r="J21" s="201"/>
      <c r="K21" s="201"/>
      <c r="L21" s="201"/>
    </row>
    <row r="22" spans="1:12" s="209" customFormat="1" ht="34.799999999999997">
      <c r="A22" s="204"/>
      <c r="B22" s="204"/>
      <c r="C22" s="207" t="s">
        <v>255</v>
      </c>
      <c r="D22" s="208">
        <f>SUM(E22:F22)</f>
        <v>12676.5</v>
      </c>
      <c r="E22" s="208">
        <f>+E24</f>
        <v>0</v>
      </c>
      <c r="F22" s="208">
        <f>+F24</f>
        <v>12676.5</v>
      </c>
      <c r="G22" s="208">
        <f>SUM(H22:I22)</f>
        <v>12676.5</v>
      </c>
      <c r="H22" s="208">
        <f>+H24</f>
        <v>0</v>
      </c>
      <c r="I22" s="208">
        <f>+I24</f>
        <v>12676.5</v>
      </c>
      <c r="J22" s="208">
        <f>SUM(K22:L22)</f>
        <v>12676.5</v>
      </c>
      <c r="K22" s="208">
        <f>+K24</f>
        <v>0</v>
      </c>
      <c r="L22" s="208">
        <f>+L24</f>
        <v>12676.5</v>
      </c>
    </row>
    <row r="23" spans="1:12" s="9" customFormat="1" ht="34.799999999999997">
      <c r="A23" s="49"/>
      <c r="B23" s="49"/>
      <c r="C23" s="49" t="s">
        <v>63</v>
      </c>
      <c r="D23" s="201"/>
      <c r="E23" s="201"/>
      <c r="F23" s="201"/>
      <c r="G23" s="201"/>
      <c r="H23" s="201"/>
      <c r="I23" s="201"/>
      <c r="J23" s="201"/>
      <c r="K23" s="201"/>
      <c r="L23" s="201"/>
    </row>
    <row r="24" spans="1:12" s="206" customFormat="1">
      <c r="A24" s="202"/>
      <c r="B24" s="202"/>
      <c r="C24" s="202" t="s">
        <v>7</v>
      </c>
      <c r="D24" s="205">
        <f t="shared" ref="D24:D27" si="6">+E24+F24</f>
        <v>12676.5</v>
      </c>
      <c r="E24" s="205">
        <f t="shared" ref="E24:F27" si="7">+E25</f>
        <v>0</v>
      </c>
      <c r="F24" s="205">
        <f t="shared" si="7"/>
        <v>12676.5</v>
      </c>
      <c r="G24" s="205">
        <f t="shared" ref="G24:G27" si="8">+H24+I24</f>
        <v>12676.5</v>
      </c>
      <c r="H24" s="205">
        <f t="shared" ref="H24:I27" si="9">+H25</f>
        <v>0</v>
      </c>
      <c r="I24" s="205">
        <f t="shared" si="9"/>
        <v>12676.5</v>
      </c>
      <c r="J24" s="205">
        <f t="shared" ref="J24:J27" si="10">+K24+L24</f>
        <v>12676.5</v>
      </c>
      <c r="K24" s="205">
        <f t="shared" ref="K24:L27" si="11">+K25</f>
        <v>0</v>
      </c>
      <c r="L24" s="205">
        <f t="shared" si="11"/>
        <v>12676.5</v>
      </c>
    </row>
    <row r="25" spans="1:12" s="9" customFormat="1">
      <c r="A25" s="49"/>
      <c r="B25" s="49"/>
      <c r="C25" s="49" t="s">
        <v>256</v>
      </c>
      <c r="D25" s="210">
        <f t="shared" si="6"/>
        <v>12676.5</v>
      </c>
      <c r="E25" s="210">
        <f t="shared" si="7"/>
        <v>0</v>
      </c>
      <c r="F25" s="210">
        <f t="shared" si="7"/>
        <v>12676.5</v>
      </c>
      <c r="G25" s="210">
        <f t="shared" si="8"/>
        <v>12676.5</v>
      </c>
      <c r="H25" s="210">
        <f t="shared" si="9"/>
        <v>0</v>
      </c>
      <c r="I25" s="210">
        <f t="shared" si="9"/>
        <v>12676.5</v>
      </c>
      <c r="J25" s="210">
        <f t="shared" si="10"/>
        <v>12676.5</v>
      </c>
      <c r="K25" s="210">
        <f t="shared" si="11"/>
        <v>0</v>
      </c>
      <c r="L25" s="210">
        <f t="shared" si="11"/>
        <v>12676.5</v>
      </c>
    </row>
    <row r="26" spans="1:12" s="9" customFormat="1">
      <c r="A26" s="49"/>
      <c r="B26" s="49"/>
      <c r="C26" s="49" t="s">
        <v>257</v>
      </c>
      <c r="D26" s="210">
        <f t="shared" si="6"/>
        <v>12676.5</v>
      </c>
      <c r="E26" s="210">
        <f t="shared" si="7"/>
        <v>0</v>
      </c>
      <c r="F26" s="210">
        <f t="shared" si="7"/>
        <v>12676.5</v>
      </c>
      <c r="G26" s="210">
        <f t="shared" si="8"/>
        <v>12676.5</v>
      </c>
      <c r="H26" s="210">
        <f t="shared" si="9"/>
        <v>0</v>
      </c>
      <c r="I26" s="210">
        <f t="shared" si="9"/>
        <v>12676.5</v>
      </c>
      <c r="J26" s="210">
        <f t="shared" si="10"/>
        <v>12676.5</v>
      </c>
      <c r="K26" s="210">
        <f t="shared" si="11"/>
        <v>0</v>
      </c>
      <c r="L26" s="210">
        <f t="shared" si="11"/>
        <v>12676.5</v>
      </c>
    </row>
    <row r="27" spans="1:12" s="9" customFormat="1" ht="34.799999999999997">
      <c r="A27" s="49"/>
      <c r="B27" s="49"/>
      <c r="C27" s="211" t="s">
        <v>258</v>
      </c>
      <c r="D27" s="210">
        <f t="shared" si="6"/>
        <v>12676.5</v>
      </c>
      <c r="E27" s="210">
        <f t="shared" si="7"/>
        <v>0</v>
      </c>
      <c r="F27" s="210">
        <f>+F28</f>
        <v>12676.5</v>
      </c>
      <c r="G27" s="210">
        <f t="shared" si="8"/>
        <v>12676.5</v>
      </c>
      <c r="H27" s="210">
        <f t="shared" si="9"/>
        <v>0</v>
      </c>
      <c r="I27" s="210">
        <f>+I28</f>
        <v>12676.5</v>
      </c>
      <c r="J27" s="210">
        <f t="shared" si="10"/>
        <v>12676.5</v>
      </c>
      <c r="K27" s="210">
        <f t="shared" si="11"/>
        <v>0</v>
      </c>
      <c r="L27" s="210">
        <f>+L28</f>
        <v>12676.5</v>
      </c>
    </row>
    <row r="28" spans="1:12" s="9" customFormat="1" ht="34.799999999999997">
      <c r="A28" s="49"/>
      <c r="B28" s="49"/>
      <c r="C28" s="51" t="s">
        <v>372</v>
      </c>
      <c r="D28" s="210">
        <f>+E28+F28</f>
        <v>12676.5</v>
      </c>
      <c r="E28" s="210"/>
      <c r="F28" s="210">
        <f>+L28</f>
        <v>12676.5</v>
      </c>
      <c r="G28" s="210">
        <f>+H28+I28</f>
        <v>12676.5</v>
      </c>
      <c r="H28" s="210"/>
      <c r="I28" s="210">
        <f>+L28</f>
        <v>12676.5</v>
      </c>
      <c r="J28" s="210">
        <f>+K28+L28</f>
        <v>12676.5</v>
      </c>
      <c r="K28" s="210"/>
      <c r="L28" s="210">
        <v>12676.5</v>
      </c>
    </row>
  </sheetData>
  <mergeCells count="22">
    <mergeCell ref="D1:F1"/>
    <mergeCell ref="G1:I1"/>
    <mergeCell ref="J1:L1"/>
    <mergeCell ref="D2:F2"/>
    <mergeCell ref="G2:I2"/>
    <mergeCell ref="J2:L2"/>
    <mergeCell ref="D3:F3"/>
    <mergeCell ref="G3:I3"/>
    <mergeCell ref="J3:L3"/>
    <mergeCell ref="A6:L6"/>
    <mergeCell ref="A9:B11"/>
    <mergeCell ref="C9:C11"/>
    <mergeCell ref="D10:F10"/>
    <mergeCell ref="G10:I10"/>
    <mergeCell ref="J10:L10"/>
    <mergeCell ref="D11:D12"/>
    <mergeCell ref="E11:F11"/>
    <mergeCell ref="G11:G12"/>
    <mergeCell ref="H11:I11"/>
    <mergeCell ref="J11:J12"/>
    <mergeCell ref="K11:L11"/>
    <mergeCell ref="D9:L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W51"/>
  <sheetViews>
    <sheetView topLeftCell="A13" zoomScale="76" zoomScaleNormal="76" workbookViewId="0">
      <selection activeCell="D26" sqref="A26:XFD29"/>
    </sheetView>
  </sheetViews>
  <sheetFormatPr defaultColWidth="8.77734375" defaultRowHeight="17.399999999999999"/>
  <cols>
    <col min="1" max="1" width="6.44140625" style="38" bestFit="1" customWidth="1"/>
    <col min="2" max="2" width="10" style="40" customWidth="1"/>
    <col min="3" max="3" width="16.88671875" style="38" customWidth="1"/>
    <col min="4" max="4" width="16.33203125" style="40" customWidth="1"/>
    <col min="5" max="5" width="15.77734375" style="38" customWidth="1"/>
    <col min="6" max="6" width="15.44140625" style="38" customWidth="1"/>
    <col min="7" max="7" width="12" style="38" customWidth="1"/>
    <col min="8" max="8" width="22.5546875" style="38" customWidth="1"/>
    <col min="9" max="9" width="46.33203125" style="38" customWidth="1"/>
    <col min="10" max="12" width="19.44140625" style="38" customWidth="1"/>
    <col min="13" max="16384" width="8.77734375" style="38"/>
  </cols>
  <sheetData>
    <row r="1" spans="1:36" ht="28.5" customHeight="1">
      <c r="D1" s="17"/>
      <c r="E1" s="17"/>
      <c r="F1" s="17"/>
      <c r="G1" s="320"/>
      <c r="H1" s="320"/>
      <c r="J1" s="320" t="s">
        <v>209</v>
      </c>
      <c r="K1" s="320"/>
      <c r="L1" s="320"/>
    </row>
    <row r="2" spans="1:36" ht="17.7" customHeight="1">
      <c r="D2" s="18"/>
      <c r="E2" s="18"/>
      <c r="F2" s="19"/>
      <c r="H2" s="28"/>
      <c r="I2" s="28"/>
      <c r="J2" s="321" t="s">
        <v>54</v>
      </c>
      <c r="K2" s="321"/>
      <c r="L2" s="321"/>
    </row>
    <row r="3" spans="1:36">
      <c r="D3" s="18"/>
      <c r="E3" s="18"/>
      <c r="F3" s="19"/>
      <c r="G3" s="321"/>
      <c r="H3" s="321"/>
      <c r="J3" s="321" t="s">
        <v>19</v>
      </c>
      <c r="K3" s="321"/>
      <c r="L3" s="321"/>
    </row>
    <row r="4" spans="1:36">
      <c r="D4" s="18"/>
      <c r="E4" s="18"/>
      <c r="F4" s="19"/>
      <c r="G4" s="28"/>
      <c r="H4" s="28"/>
      <c r="I4" s="28"/>
    </row>
    <row r="5" spans="1:36">
      <c r="D5" s="18"/>
      <c r="E5" s="18"/>
      <c r="F5" s="19"/>
      <c r="G5" s="28"/>
      <c r="H5" s="28"/>
      <c r="I5" s="28"/>
    </row>
    <row r="6" spans="1:36" ht="18">
      <c r="A6" s="322" t="s">
        <v>299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</row>
    <row r="8" spans="1:36">
      <c r="K8" s="340" t="s">
        <v>55</v>
      </c>
      <c r="L8" s="340"/>
    </row>
    <row r="9" spans="1:36" ht="43.8" customHeight="1">
      <c r="A9" s="273" t="s">
        <v>38</v>
      </c>
      <c r="B9" s="273" t="s">
        <v>39</v>
      </c>
      <c r="C9" s="273"/>
      <c r="D9" s="273" t="s">
        <v>40</v>
      </c>
      <c r="E9" s="273"/>
      <c r="F9" s="273"/>
      <c r="G9" s="273"/>
      <c r="H9" s="273" t="s">
        <v>41</v>
      </c>
      <c r="I9" s="273" t="s">
        <v>42</v>
      </c>
      <c r="J9" s="357" t="s">
        <v>25</v>
      </c>
      <c r="K9" s="358"/>
      <c r="L9" s="359"/>
    </row>
    <row r="10" spans="1:36" ht="51" customHeight="1">
      <c r="A10" s="273"/>
      <c r="B10" s="32" t="s">
        <v>49</v>
      </c>
      <c r="C10" s="32" t="s">
        <v>48</v>
      </c>
      <c r="D10" s="32" t="s">
        <v>43</v>
      </c>
      <c r="E10" s="32" t="s">
        <v>48</v>
      </c>
      <c r="F10" s="32" t="s">
        <v>50</v>
      </c>
      <c r="G10" s="32" t="s">
        <v>44</v>
      </c>
      <c r="H10" s="273"/>
      <c r="I10" s="273"/>
      <c r="J10" s="32" t="s">
        <v>45</v>
      </c>
      <c r="K10" s="32" t="s">
        <v>46</v>
      </c>
      <c r="L10" s="32" t="s">
        <v>47</v>
      </c>
    </row>
    <row r="11" spans="1:36" s="44" customFormat="1" ht="48.45" customHeight="1">
      <c r="A11" s="341" t="s">
        <v>51</v>
      </c>
      <c r="B11" s="341"/>
      <c r="C11" s="341"/>
      <c r="D11" s="341"/>
      <c r="E11" s="341"/>
      <c r="F11" s="341"/>
      <c r="G11" s="341"/>
      <c r="H11" s="341"/>
      <c r="I11" s="341"/>
      <c r="J11" s="43">
        <f t="shared" ref="J11:L11" si="0">+J13</f>
        <v>973786.10000000009</v>
      </c>
      <c r="K11" s="43">
        <f t="shared" si="0"/>
        <v>967965.90000000037</v>
      </c>
      <c r="L11" s="43">
        <f t="shared" si="0"/>
        <v>4.6566128730773926E-10</v>
      </c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</row>
    <row r="12" spans="1:36" s="41" customFormat="1" ht="18">
      <c r="A12" s="342" t="s">
        <v>31</v>
      </c>
      <c r="B12" s="342"/>
      <c r="C12" s="342"/>
      <c r="D12" s="342"/>
      <c r="E12" s="342"/>
      <c r="F12" s="342"/>
      <c r="G12" s="342"/>
      <c r="H12" s="342"/>
      <c r="I12" s="342"/>
      <c r="J12" s="16"/>
      <c r="K12" s="16"/>
      <c r="L12" s="16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</row>
    <row r="13" spans="1:36" s="41" customFormat="1" ht="30" customHeight="1">
      <c r="A13" s="343" t="s">
        <v>52</v>
      </c>
      <c r="B13" s="343"/>
      <c r="C13" s="343"/>
      <c r="D13" s="343"/>
      <c r="E13" s="343"/>
      <c r="F13" s="343"/>
      <c r="G13" s="343"/>
      <c r="H13" s="343"/>
      <c r="I13" s="343"/>
      <c r="J13" s="42">
        <f>+J14+J20+J25</f>
        <v>973786.10000000009</v>
      </c>
      <c r="K13" s="42">
        <f t="shared" ref="K13:L13" si="1">+K14+K20+K25</f>
        <v>967965.90000000037</v>
      </c>
      <c r="L13" s="42">
        <f t="shared" si="1"/>
        <v>4.6566128730773926E-10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ht="18" customHeight="1">
      <c r="A14" s="367"/>
      <c r="B14" s="221">
        <v>1041</v>
      </c>
      <c r="C14" s="350" t="s">
        <v>352</v>
      </c>
      <c r="D14" s="350"/>
      <c r="E14" s="350"/>
      <c r="F14" s="350"/>
      <c r="G14" s="350"/>
      <c r="H14" s="350"/>
      <c r="I14" s="350"/>
      <c r="J14" s="30">
        <f t="shared" ref="J14:L14" si="2">+J15</f>
        <v>8400</v>
      </c>
      <c r="K14" s="30">
        <f t="shared" si="2"/>
        <v>0</v>
      </c>
      <c r="L14" s="30">
        <f t="shared" si="2"/>
        <v>0</v>
      </c>
    </row>
    <row r="15" spans="1:36" s="41" customFormat="1" ht="16.5" customHeight="1">
      <c r="A15" s="368"/>
      <c r="B15" s="351"/>
      <c r="C15" s="351"/>
      <c r="D15" s="254" t="s">
        <v>353</v>
      </c>
      <c r="E15" s="370" t="s">
        <v>323</v>
      </c>
      <c r="F15" s="370"/>
      <c r="G15" s="370"/>
      <c r="H15" s="370"/>
      <c r="I15" s="370"/>
      <c r="J15" s="255">
        <f>+'Հավելված N 2'!G17</f>
        <v>8400</v>
      </c>
      <c r="K15" s="255">
        <f>+'Հավելված N 2'!H17</f>
        <v>0</v>
      </c>
      <c r="L15" s="255">
        <f>+'Հավելված N 2'!I17</f>
        <v>0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</row>
    <row r="16" spans="1:36" s="41" customFormat="1" ht="16.5" customHeight="1">
      <c r="A16" s="368"/>
      <c r="B16" s="352"/>
      <c r="C16" s="352"/>
      <c r="D16" s="371"/>
      <c r="E16" s="371"/>
      <c r="F16" s="370" t="s">
        <v>354</v>
      </c>
      <c r="G16" s="370"/>
      <c r="H16" s="370"/>
      <c r="I16" s="370"/>
      <c r="J16" s="370"/>
      <c r="K16" s="370"/>
      <c r="L16" s="370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</row>
    <row r="17" spans="1:49" s="41" customFormat="1" ht="16.5" customHeight="1">
      <c r="A17" s="368"/>
      <c r="B17" s="352"/>
      <c r="C17" s="352"/>
      <c r="D17" s="373"/>
      <c r="E17" s="373"/>
      <c r="F17" s="371"/>
      <c r="G17" s="370" t="s">
        <v>355</v>
      </c>
      <c r="H17" s="370"/>
      <c r="I17" s="370"/>
      <c r="J17" s="370"/>
      <c r="K17" s="370"/>
      <c r="L17" s="370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</row>
    <row r="18" spans="1:49" s="41" customFormat="1" ht="16.5" customHeight="1">
      <c r="A18" s="368"/>
      <c r="B18" s="352"/>
      <c r="C18" s="352"/>
      <c r="D18" s="373"/>
      <c r="E18" s="373"/>
      <c r="F18" s="373"/>
      <c r="G18" s="371"/>
      <c r="H18" s="350" t="s">
        <v>356</v>
      </c>
      <c r="I18" s="350"/>
      <c r="J18" s="350"/>
      <c r="K18" s="350"/>
      <c r="L18" s="350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</row>
    <row r="19" spans="1:49" s="41" customFormat="1" ht="52.2">
      <c r="A19" s="368"/>
      <c r="B19" s="353"/>
      <c r="C19" s="353"/>
      <c r="D19" s="372"/>
      <c r="E19" s="372"/>
      <c r="F19" s="372"/>
      <c r="G19" s="372"/>
      <c r="H19" s="232"/>
      <c r="I19" s="187" t="s">
        <v>357</v>
      </c>
      <c r="J19" s="220">
        <v>1</v>
      </c>
      <c r="K19" s="220" t="s">
        <v>204</v>
      </c>
      <c r="L19" s="220">
        <v>1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</row>
    <row r="20" spans="1:49" ht="18" customHeight="1">
      <c r="A20" s="368"/>
      <c r="B20" s="221" t="s">
        <v>293</v>
      </c>
      <c r="C20" s="350" t="s">
        <v>294</v>
      </c>
      <c r="D20" s="350"/>
      <c r="E20" s="350"/>
      <c r="F20" s="350"/>
      <c r="G20" s="350"/>
      <c r="H20" s="350"/>
      <c r="I20" s="350"/>
      <c r="J20" s="30">
        <f t="shared" ref="J20:L20" si="3">+J21</f>
        <v>12676.5</v>
      </c>
      <c r="K20" s="30">
        <f t="shared" si="3"/>
        <v>12676.5</v>
      </c>
      <c r="L20" s="30">
        <f t="shared" si="3"/>
        <v>12676.5</v>
      </c>
    </row>
    <row r="21" spans="1:49" s="41" customFormat="1" ht="16.5" customHeight="1">
      <c r="A21" s="368"/>
      <c r="B21" s="351"/>
      <c r="C21" s="351"/>
      <c r="D21" s="217" t="s">
        <v>295</v>
      </c>
      <c r="E21" s="350" t="s">
        <v>281</v>
      </c>
      <c r="F21" s="350"/>
      <c r="G21" s="350"/>
      <c r="H21" s="350"/>
      <c r="I21" s="350"/>
      <c r="J21" s="218">
        <f>+'Հավելված N 2'!G19</f>
        <v>12676.5</v>
      </c>
      <c r="K21" s="218">
        <f>+'Հավելված N 2'!H19</f>
        <v>12676.5</v>
      </c>
      <c r="L21" s="218">
        <f>+'Հավելված N 2'!I19</f>
        <v>12676.5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</row>
    <row r="22" spans="1:49" s="41" customFormat="1" ht="16.5" customHeight="1">
      <c r="A22" s="368"/>
      <c r="B22" s="352"/>
      <c r="C22" s="352"/>
      <c r="D22" s="288"/>
      <c r="E22" s="288"/>
      <c r="F22" s="350" t="s">
        <v>296</v>
      </c>
      <c r="G22" s="350"/>
      <c r="H22" s="350"/>
      <c r="I22" s="350"/>
      <c r="J22" s="350"/>
      <c r="K22" s="350"/>
      <c r="L22" s="350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</row>
    <row r="23" spans="1:49" s="41" customFormat="1" ht="16.5" customHeight="1">
      <c r="A23" s="368"/>
      <c r="B23" s="352"/>
      <c r="C23" s="352"/>
      <c r="D23" s="333"/>
      <c r="E23" s="333"/>
      <c r="F23" s="288"/>
      <c r="G23" s="350" t="s">
        <v>297</v>
      </c>
      <c r="H23" s="350"/>
      <c r="I23" s="350"/>
      <c r="J23" s="350"/>
      <c r="K23" s="350"/>
      <c r="L23" s="350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</row>
    <row r="24" spans="1:49" s="41" customFormat="1" ht="16.5" customHeight="1">
      <c r="A24" s="368"/>
      <c r="B24" s="353"/>
      <c r="C24" s="353"/>
      <c r="D24" s="289"/>
      <c r="E24" s="289"/>
      <c r="F24" s="289"/>
      <c r="G24" s="219"/>
      <c r="H24" s="350" t="s">
        <v>298</v>
      </c>
      <c r="I24" s="350"/>
      <c r="J24" s="350"/>
      <c r="K24" s="350"/>
      <c r="L24" s="350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</row>
    <row r="25" spans="1:49" ht="18" customHeight="1">
      <c r="A25" s="368"/>
      <c r="B25" s="156">
        <v>1236</v>
      </c>
      <c r="C25" s="347" t="s">
        <v>201</v>
      </c>
      <c r="D25" s="348"/>
      <c r="E25" s="348"/>
      <c r="F25" s="348"/>
      <c r="G25" s="348"/>
      <c r="H25" s="348"/>
      <c r="I25" s="349"/>
      <c r="J25" s="30">
        <f>J26+J30+J35+J44+J48</f>
        <v>952709.60000000009</v>
      </c>
      <c r="K25" s="30">
        <f t="shared" ref="K25:L25" si="4">K26+K30+K35+K44+K48</f>
        <v>955289.40000000037</v>
      </c>
      <c r="L25" s="30">
        <f t="shared" si="4"/>
        <v>-12676.499999999534</v>
      </c>
    </row>
    <row r="26" spans="1:49" s="41" customFormat="1" ht="16.5" customHeight="1">
      <c r="A26" s="368"/>
      <c r="B26" s="354"/>
      <c r="C26" s="364"/>
      <c r="D26" s="251" t="s">
        <v>367</v>
      </c>
      <c r="E26" s="360" t="s">
        <v>365</v>
      </c>
      <c r="F26" s="360"/>
      <c r="G26" s="360"/>
      <c r="H26" s="360"/>
      <c r="I26" s="360"/>
      <c r="J26" s="252">
        <f>+'Հավելված N 2'!G21</f>
        <v>379124.9</v>
      </c>
      <c r="K26" s="252">
        <f>+'Հավելված N 2'!H21</f>
        <v>509124.89999999997</v>
      </c>
      <c r="L26" s="252">
        <f>+'Հավելված N 2'!I21</f>
        <v>509124.89999999997</v>
      </c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49" s="41" customFormat="1" ht="16.5" customHeight="1">
      <c r="A27" s="368"/>
      <c r="B27" s="355"/>
      <c r="C27" s="365"/>
      <c r="D27" s="361"/>
      <c r="E27" s="361"/>
      <c r="F27" s="360" t="s">
        <v>368</v>
      </c>
      <c r="G27" s="360"/>
      <c r="H27" s="360"/>
      <c r="I27" s="360"/>
      <c r="J27" s="360"/>
      <c r="K27" s="360"/>
      <c r="L27" s="360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49" s="41" customFormat="1" ht="16.5" customHeight="1">
      <c r="A28" s="368"/>
      <c r="B28" s="355"/>
      <c r="C28" s="365"/>
      <c r="D28" s="363"/>
      <c r="E28" s="363"/>
      <c r="F28" s="361"/>
      <c r="G28" s="360" t="s">
        <v>297</v>
      </c>
      <c r="H28" s="360"/>
      <c r="I28" s="360"/>
      <c r="J28" s="360"/>
      <c r="K28" s="360"/>
      <c r="L28" s="360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1:49" s="41" customFormat="1" ht="16.5" customHeight="1">
      <c r="A29" s="368"/>
      <c r="B29" s="355"/>
      <c r="C29" s="365"/>
      <c r="D29" s="362"/>
      <c r="E29" s="362"/>
      <c r="F29" s="362"/>
      <c r="G29" s="253"/>
      <c r="H29" s="360" t="s">
        <v>298</v>
      </c>
      <c r="I29" s="360"/>
      <c r="J29" s="360"/>
      <c r="K29" s="360"/>
      <c r="L29" s="360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1:49" s="41" customFormat="1" ht="16.5" customHeight="1">
      <c r="A30" s="368"/>
      <c r="B30" s="355"/>
      <c r="C30" s="365"/>
      <c r="D30" s="217" t="s">
        <v>285</v>
      </c>
      <c r="E30" s="350" t="s">
        <v>233</v>
      </c>
      <c r="F30" s="350"/>
      <c r="G30" s="350"/>
      <c r="H30" s="350"/>
      <c r="I30" s="350"/>
      <c r="J30" s="218">
        <f>+'Հավելված N 2'!G22</f>
        <v>1600000</v>
      </c>
      <c r="K30" s="218">
        <f>+'Հավելված N 2'!H22</f>
        <v>2600000</v>
      </c>
      <c r="L30" s="218">
        <f>+'Հավելված N 2'!I22</f>
        <v>3500000</v>
      </c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</row>
    <row r="31" spans="1:49" s="41" customFormat="1" ht="16.5" customHeight="1">
      <c r="A31" s="368"/>
      <c r="B31" s="355"/>
      <c r="C31" s="365"/>
      <c r="D31" s="344"/>
      <c r="E31" s="344"/>
      <c r="F31" s="350" t="s">
        <v>286</v>
      </c>
      <c r="G31" s="350"/>
      <c r="H31" s="350"/>
      <c r="I31" s="350"/>
      <c r="J31" s="350"/>
      <c r="K31" s="350"/>
      <c r="L31" s="350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</row>
    <row r="32" spans="1:49" s="41" customFormat="1" ht="16.5" customHeight="1">
      <c r="A32" s="368"/>
      <c r="B32" s="355"/>
      <c r="C32" s="365"/>
      <c r="D32" s="346"/>
      <c r="E32" s="346"/>
      <c r="F32" s="344"/>
      <c r="G32" s="350" t="s">
        <v>66</v>
      </c>
      <c r="H32" s="350"/>
      <c r="I32" s="350"/>
      <c r="J32" s="350"/>
      <c r="K32" s="350"/>
      <c r="L32" s="350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</row>
    <row r="33" spans="1:36" s="41" customFormat="1" ht="16.5" customHeight="1">
      <c r="A33" s="368"/>
      <c r="B33" s="355"/>
      <c r="C33" s="365"/>
      <c r="D33" s="346"/>
      <c r="E33" s="346"/>
      <c r="F33" s="346"/>
      <c r="G33" s="344"/>
      <c r="H33" s="350" t="s">
        <v>203</v>
      </c>
      <c r="I33" s="350"/>
      <c r="J33" s="350"/>
      <c r="K33" s="350"/>
      <c r="L33" s="350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</row>
    <row r="34" spans="1:36" s="41" customFormat="1" ht="15.6" customHeight="1">
      <c r="A34" s="368"/>
      <c r="B34" s="355"/>
      <c r="C34" s="365"/>
      <c r="D34" s="345"/>
      <c r="E34" s="345"/>
      <c r="F34" s="345"/>
      <c r="G34" s="345"/>
      <c r="H34" s="219"/>
      <c r="I34" s="219" t="s">
        <v>287</v>
      </c>
      <c r="J34" s="220">
        <v>1</v>
      </c>
      <c r="K34" s="220" t="s">
        <v>204</v>
      </c>
      <c r="L34" s="220">
        <v>1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</row>
    <row r="35" spans="1:36" s="39" customFormat="1" ht="18">
      <c r="A35" s="368"/>
      <c r="B35" s="355"/>
      <c r="C35" s="365"/>
      <c r="D35" s="217" t="s">
        <v>300</v>
      </c>
      <c r="E35" s="347" t="s">
        <v>190</v>
      </c>
      <c r="F35" s="348"/>
      <c r="G35" s="348"/>
      <c r="H35" s="348"/>
      <c r="I35" s="349"/>
      <c r="J35" s="218">
        <f>+'Հավելված N 2'!G23</f>
        <v>952709.6</v>
      </c>
      <c r="K35" s="218">
        <f>+'Հավելված N 2'!H23</f>
        <v>955289.40000000037</v>
      </c>
      <c r="L35" s="218">
        <f>+'Հավելված N 2'!I23</f>
        <v>-12676.499999999534</v>
      </c>
    </row>
    <row r="36" spans="1:36" ht="18" customHeight="1">
      <c r="A36" s="368"/>
      <c r="B36" s="355"/>
      <c r="C36" s="365"/>
      <c r="D36" s="354"/>
      <c r="E36" s="344"/>
      <c r="F36" s="347" t="s">
        <v>202</v>
      </c>
      <c r="G36" s="348"/>
      <c r="H36" s="348"/>
      <c r="I36" s="348"/>
      <c r="J36" s="348"/>
      <c r="K36" s="348"/>
      <c r="L36" s="349"/>
    </row>
    <row r="37" spans="1:36" ht="17.7" customHeight="1">
      <c r="A37" s="368"/>
      <c r="B37" s="355"/>
      <c r="C37" s="365"/>
      <c r="D37" s="355"/>
      <c r="E37" s="346"/>
      <c r="F37" s="344"/>
      <c r="G37" s="347" t="s">
        <v>66</v>
      </c>
      <c r="H37" s="348"/>
      <c r="I37" s="348"/>
      <c r="J37" s="348"/>
      <c r="K37" s="348"/>
      <c r="L37" s="349"/>
    </row>
    <row r="38" spans="1:36" ht="18" customHeight="1">
      <c r="A38" s="368"/>
      <c r="B38" s="355"/>
      <c r="C38" s="365"/>
      <c r="D38" s="355"/>
      <c r="E38" s="346"/>
      <c r="F38" s="346"/>
      <c r="G38" s="344"/>
      <c r="H38" s="347" t="s">
        <v>203</v>
      </c>
      <c r="I38" s="348"/>
      <c r="J38" s="348"/>
      <c r="K38" s="348"/>
      <c r="L38" s="349"/>
    </row>
    <row r="39" spans="1:36" s="41" customFormat="1" ht="34.799999999999997">
      <c r="A39" s="368"/>
      <c r="B39" s="355"/>
      <c r="C39" s="365"/>
      <c r="D39" s="355"/>
      <c r="E39" s="346"/>
      <c r="F39" s="346"/>
      <c r="G39" s="346"/>
      <c r="H39" s="344"/>
      <c r="I39" s="187" t="s">
        <v>206</v>
      </c>
      <c r="J39" s="220">
        <f>+'Հավելված N 8'!J78+'Հավելված N 8'!J88+'Հավելված N 8'!J98+'Հավելված N 8'!J109+'Հավելված N 8'!J119+'Հավելված N 8'!J129+'Հավելված N 8'!J139+'Հավելված N 8'!J149+'Հավելված N 8'!J159+'Հավելված N 8'!J169</f>
        <v>37</v>
      </c>
      <c r="K39" s="220"/>
      <c r="L39" s="220">
        <f>+'Հավելված N 8'!L78+'Հավելված N 8'!L88+'Հավելված N 8'!L98+'Հավելված N 8'!L109+'Հավելված N 8'!L119+'Հավելված N 8'!L129+'Հավելված N 8'!L139+'Հավելված N 8'!L149+'Հավելված N 8'!L159+'Հավելված N 8'!L169</f>
        <v>37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</row>
    <row r="40" spans="1:36" s="41" customFormat="1" ht="69.599999999999994">
      <c r="A40" s="368"/>
      <c r="B40" s="355"/>
      <c r="C40" s="365"/>
      <c r="D40" s="355"/>
      <c r="E40" s="346"/>
      <c r="F40" s="346"/>
      <c r="G40" s="346"/>
      <c r="H40" s="346"/>
      <c r="I40" s="187" t="s">
        <v>205</v>
      </c>
      <c r="J40" s="220"/>
      <c r="K40" s="220"/>
      <c r="L40" s="220">
        <f>+'Հավելված N 8'!L79+'Հավելված N 8'!L89+'Հավելված N 8'!L99+'Հավելված N 8'!L110+'Հավելված N 8'!L120+'Հավելված N 8'!L130+'Հավելված N 8'!L140+'Հավելված N 8'!L150+'Հավելված N 8'!L160+'Հավելված N 8'!L170</f>
        <v>37</v>
      </c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</row>
    <row r="41" spans="1:36" s="41" customFormat="1" ht="34.799999999999997">
      <c r="A41" s="368"/>
      <c r="B41" s="355"/>
      <c r="C41" s="365"/>
      <c r="D41" s="355"/>
      <c r="E41" s="346"/>
      <c r="F41" s="346"/>
      <c r="G41" s="346"/>
      <c r="H41" s="346"/>
      <c r="I41" s="187" t="s">
        <v>207</v>
      </c>
      <c r="J41" s="220"/>
      <c r="K41" s="220"/>
      <c r="L41" s="220">
        <f>+'Հավելված N 8'!L80+'Հավելված N 8'!L90+'Հավելված N 8'!L100+'Հավելված N 8'!L111+'Հավելված N 8'!L121+'Հավելված N 8'!L131+'Հավելված N 8'!L141+'Հավելված N 8'!L151+'Հավելված N 8'!L161+'Հավելված N 8'!L171</f>
        <v>4706</v>
      </c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</row>
    <row r="42" spans="1:36" s="41" customFormat="1" ht="34.799999999999997">
      <c r="A42" s="368"/>
      <c r="B42" s="355"/>
      <c r="C42" s="365"/>
      <c r="D42" s="355"/>
      <c r="E42" s="346"/>
      <c r="F42" s="346"/>
      <c r="G42" s="346"/>
      <c r="H42" s="346"/>
      <c r="I42" s="187" t="s">
        <v>318</v>
      </c>
      <c r="J42" s="220">
        <f>+'Հավելված N 8'!J38</f>
        <v>1</v>
      </c>
      <c r="K42" s="220"/>
      <c r="L42" s="220">
        <f>+'Հավելված N 8'!L38</f>
        <v>1</v>
      </c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</row>
    <row r="43" spans="1:36" s="41" customFormat="1" ht="104.4">
      <c r="A43" s="368"/>
      <c r="B43" s="355"/>
      <c r="C43" s="365"/>
      <c r="D43" s="356"/>
      <c r="E43" s="345"/>
      <c r="F43" s="345"/>
      <c r="G43" s="345"/>
      <c r="H43" s="345"/>
      <c r="I43" s="187" t="s">
        <v>319</v>
      </c>
      <c r="J43" s="220">
        <f>+'Հավելված N 8'!J101</f>
        <v>2</v>
      </c>
      <c r="K43" s="220"/>
      <c r="L43" s="220">
        <f>+'Հավելված N 8'!L101</f>
        <v>2</v>
      </c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</row>
    <row r="44" spans="1:36" s="41" customFormat="1" ht="16.5" customHeight="1">
      <c r="A44" s="368"/>
      <c r="B44" s="355"/>
      <c r="C44" s="365"/>
      <c r="D44" s="217" t="s">
        <v>288</v>
      </c>
      <c r="E44" s="350" t="s">
        <v>238</v>
      </c>
      <c r="F44" s="350"/>
      <c r="G44" s="350"/>
      <c r="H44" s="350"/>
      <c r="I44" s="350"/>
      <c r="J44" s="218">
        <f>+'Հավելված N 2'!G24</f>
        <v>-600000</v>
      </c>
      <c r="K44" s="218">
        <f>+'Հավելված N 2'!H24</f>
        <v>-1000000</v>
      </c>
      <c r="L44" s="218">
        <f>+'Հավելված N 2'!I24</f>
        <v>-1250000</v>
      </c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</row>
    <row r="45" spans="1:36" s="41" customFormat="1" ht="16.5" customHeight="1">
      <c r="A45" s="368"/>
      <c r="B45" s="355"/>
      <c r="C45" s="365"/>
      <c r="D45" s="344"/>
      <c r="E45" s="344"/>
      <c r="F45" s="350" t="s">
        <v>289</v>
      </c>
      <c r="G45" s="350"/>
      <c r="H45" s="350"/>
      <c r="I45" s="350"/>
      <c r="J45" s="350"/>
      <c r="K45" s="350"/>
      <c r="L45" s="350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</row>
    <row r="46" spans="1:36" s="41" customFormat="1" ht="16.5" customHeight="1">
      <c r="A46" s="368"/>
      <c r="B46" s="355"/>
      <c r="C46" s="365"/>
      <c r="D46" s="346"/>
      <c r="E46" s="346"/>
      <c r="F46" s="344"/>
      <c r="G46" s="350" t="s">
        <v>66</v>
      </c>
      <c r="H46" s="350"/>
      <c r="I46" s="350"/>
      <c r="J46" s="350"/>
      <c r="K46" s="350"/>
      <c r="L46" s="350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</row>
    <row r="47" spans="1:36" s="41" customFormat="1" ht="16.5" customHeight="1">
      <c r="A47" s="368"/>
      <c r="B47" s="355"/>
      <c r="C47" s="365"/>
      <c r="D47" s="345"/>
      <c r="E47" s="345"/>
      <c r="F47" s="345"/>
      <c r="G47" s="219"/>
      <c r="H47" s="350" t="s">
        <v>290</v>
      </c>
      <c r="I47" s="350"/>
      <c r="J47" s="350"/>
      <c r="K47" s="350"/>
      <c r="L47" s="350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</row>
    <row r="48" spans="1:36" s="41" customFormat="1" ht="16.5" customHeight="1">
      <c r="A48" s="368"/>
      <c r="B48" s="355"/>
      <c r="C48" s="365"/>
      <c r="D48" s="217" t="s">
        <v>292</v>
      </c>
      <c r="E48" s="350" t="s">
        <v>234</v>
      </c>
      <c r="F48" s="350"/>
      <c r="G48" s="350"/>
      <c r="H48" s="350"/>
      <c r="I48" s="350"/>
      <c r="J48" s="218">
        <f>+'Հավելված N 2'!G25</f>
        <v>-1379124.9</v>
      </c>
      <c r="K48" s="218">
        <f>+'Հավելված N 2'!H25</f>
        <v>-2109124.9</v>
      </c>
      <c r="L48" s="218">
        <f>+'Հավելված N 2'!I25</f>
        <v>-2759124.9</v>
      </c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</row>
    <row r="49" spans="1:36" s="41" customFormat="1" ht="16.5" customHeight="1">
      <c r="A49" s="368"/>
      <c r="B49" s="355"/>
      <c r="C49" s="365"/>
      <c r="D49" s="344"/>
      <c r="E49" s="344"/>
      <c r="F49" s="350" t="s">
        <v>291</v>
      </c>
      <c r="G49" s="350"/>
      <c r="H49" s="350"/>
      <c r="I49" s="350"/>
      <c r="J49" s="350"/>
      <c r="K49" s="350"/>
      <c r="L49" s="350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</row>
    <row r="50" spans="1:36" s="41" customFormat="1" ht="16.2" customHeight="1">
      <c r="A50" s="368"/>
      <c r="B50" s="355"/>
      <c r="C50" s="365"/>
      <c r="D50" s="346"/>
      <c r="E50" s="346"/>
      <c r="F50" s="344"/>
      <c r="G50" s="350" t="s">
        <v>66</v>
      </c>
      <c r="H50" s="350"/>
      <c r="I50" s="350"/>
      <c r="J50" s="350"/>
      <c r="K50" s="350"/>
      <c r="L50" s="350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</row>
    <row r="51" spans="1:36" s="41" customFormat="1" ht="16.5" customHeight="1">
      <c r="A51" s="369"/>
      <c r="B51" s="356"/>
      <c r="C51" s="366"/>
      <c r="D51" s="345"/>
      <c r="E51" s="345"/>
      <c r="F51" s="345"/>
      <c r="G51" s="219"/>
      <c r="H51" s="350" t="s">
        <v>290</v>
      </c>
      <c r="I51" s="350"/>
      <c r="J51" s="350"/>
      <c r="K51" s="350"/>
      <c r="L51" s="350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</row>
  </sheetData>
  <mergeCells count="79">
    <mergeCell ref="B26:B51"/>
    <mergeCell ref="A14:A51"/>
    <mergeCell ref="F16:L16"/>
    <mergeCell ref="G17:L17"/>
    <mergeCell ref="H18:L18"/>
    <mergeCell ref="G18:G19"/>
    <mergeCell ref="F17:F19"/>
    <mergeCell ref="E16:E19"/>
    <mergeCell ref="D16:D19"/>
    <mergeCell ref="C15:C19"/>
    <mergeCell ref="B15:B19"/>
    <mergeCell ref="E26:I26"/>
    <mergeCell ref="F27:L27"/>
    <mergeCell ref="G28:L28"/>
    <mergeCell ref="E15:I15"/>
    <mergeCell ref="F22:L22"/>
    <mergeCell ref="B21:B24"/>
    <mergeCell ref="J9:L9"/>
    <mergeCell ref="H39:H43"/>
    <mergeCell ref="G38:G43"/>
    <mergeCell ref="F37:F43"/>
    <mergeCell ref="E36:E43"/>
    <mergeCell ref="C14:I14"/>
    <mergeCell ref="H29:L29"/>
    <mergeCell ref="F28:F29"/>
    <mergeCell ref="E27:E29"/>
    <mergeCell ref="D27:D29"/>
    <mergeCell ref="C26:C51"/>
    <mergeCell ref="E45:E47"/>
    <mergeCell ref="C20:I20"/>
    <mergeCell ref="E21:I21"/>
    <mergeCell ref="D22:D24"/>
    <mergeCell ref="H51:L51"/>
    <mergeCell ref="F23:F24"/>
    <mergeCell ref="G23:L23"/>
    <mergeCell ref="H24:L24"/>
    <mergeCell ref="C21:C24"/>
    <mergeCell ref="E22:E24"/>
    <mergeCell ref="H47:L47"/>
    <mergeCell ref="D36:D43"/>
    <mergeCell ref="E48:I48"/>
    <mergeCell ref="F49:L49"/>
    <mergeCell ref="G50:L50"/>
    <mergeCell ref="E31:E34"/>
    <mergeCell ref="D31:D34"/>
    <mergeCell ref="E44:I44"/>
    <mergeCell ref="F45:L45"/>
    <mergeCell ref="G46:L46"/>
    <mergeCell ref="F50:F51"/>
    <mergeCell ref="E49:E51"/>
    <mergeCell ref="C25:I25"/>
    <mergeCell ref="E35:I35"/>
    <mergeCell ref="F36:L36"/>
    <mergeCell ref="G37:L37"/>
    <mergeCell ref="H38:L38"/>
    <mergeCell ref="E30:I30"/>
    <mergeCell ref="F31:L31"/>
    <mergeCell ref="G32:L32"/>
    <mergeCell ref="H33:L33"/>
    <mergeCell ref="D49:D51"/>
    <mergeCell ref="F46:F47"/>
    <mergeCell ref="D45:D47"/>
    <mergeCell ref="G33:G34"/>
    <mergeCell ref="F32:F34"/>
    <mergeCell ref="I9:I10"/>
    <mergeCell ref="A11:I11"/>
    <mergeCell ref="A12:I12"/>
    <mergeCell ref="A13:I13"/>
    <mergeCell ref="A9:A10"/>
    <mergeCell ref="B9:C9"/>
    <mergeCell ref="D9:G9"/>
    <mergeCell ref="H9:H10"/>
    <mergeCell ref="K8:L8"/>
    <mergeCell ref="J3:L3"/>
    <mergeCell ref="J2:L2"/>
    <mergeCell ref="J1:L1"/>
    <mergeCell ref="A6:L6"/>
    <mergeCell ref="G1:H1"/>
    <mergeCell ref="G3:H3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BAFDA-EA33-4555-AB3C-3B2D8FE20736}">
  <sheetPr>
    <tabColor rgb="FF92D050"/>
  </sheetPr>
  <dimension ref="A1:BF171"/>
  <sheetViews>
    <sheetView topLeftCell="A37" zoomScale="70" zoomScaleNormal="70" workbookViewId="0">
      <selection activeCell="F53" sqref="F53:L53"/>
    </sheetView>
  </sheetViews>
  <sheetFormatPr defaultColWidth="8.77734375" defaultRowHeight="17.399999999999999"/>
  <cols>
    <col min="1" max="1" width="6.44140625" style="38" bestFit="1" customWidth="1"/>
    <col min="2" max="2" width="9.6640625" style="38" customWidth="1"/>
    <col min="3" max="3" width="13.109375" style="38" customWidth="1"/>
    <col min="4" max="4" width="16.6640625" style="40" customWidth="1"/>
    <col min="5" max="5" width="13.109375" style="38" customWidth="1"/>
    <col min="6" max="6" width="15.44140625" style="38" customWidth="1"/>
    <col min="7" max="7" width="10.44140625" style="38" customWidth="1"/>
    <col min="8" max="8" width="22.5546875" style="38" customWidth="1"/>
    <col min="9" max="9" width="46.33203125" style="38" customWidth="1"/>
    <col min="10" max="12" width="19.44140625" style="38" customWidth="1"/>
    <col min="13" max="50" width="8.77734375" style="38"/>
    <col min="51" max="58" width="8.77734375" style="188"/>
    <col min="59" max="16384" width="8.77734375" style="38"/>
  </cols>
  <sheetData>
    <row r="1" spans="1:58" ht="28.5" customHeight="1">
      <c r="D1" s="17"/>
      <c r="E1" s="17"/>
      <c r="F1" s="17"/>
      <c r="G1" s="320"/>
      <c r="H1" s="320"/>
      <c r="J1" s="320" t="s">
        <v>260</v>
      </c>
      <c r="K1" s="320"/>
      <c r="L1" s="320"/>
    </row>
    <row r="2" spans="1:58" ht="17.7" customHeight="1">
      <c r="D2" s="18"/>
      <c r="E2" s="18"/>
      <c r="F2" s="19"/>
      <c r="H2" s="28"/>
      <c r="I2" s="28"/>
      <c r="J2" s="321" t="s">
        <v>54</v>
      </c>
      <c r="K2" s="321"/>
      <c r="L2" s="321"/>
    </row>
    <row r="3" spans="1:58">
      <c r="D3" s="18"/>
      <c r="E3" s="18"/>
      <c r="F3" s="19"/>
      <c r="G3" s="321"/>
      <c r="H3" s="321"/>
      <c r="J3" s="321" t="s">
        <v>19</v>
      </c>
      <c r="K3" s="321"/>
      <c r="L3" s="321"/>
    </row>
    <row r="4" spans="1:58">
      <c r="D4" s="18"/>
      <c r="E4" s="18"/>
      <c r="F4" s="19"/>
      <c r="G4" s="28"/>
      <c r="H4" s="28"/>
      <c r="I4" s="28"/>
    </row>
    <row r="5" spans="1:58">
      <c r="D5" s="18"/>
      <c r="E5" s="18"/>
      <c r="F5" s="19"/>
      <c r="G5" s="28"/>
      <c r="H5" s="28"/>
      <c r="I5" s="28"/>
    </row>
    <row r="6" spans="1:58" ht="35.4" customHeight="1">
      <c r="A6" s="322" t="s">
        <v>299</v>
      </c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</row>
    <row r="8" spans="1:58">
      <c r="K8" s="374" t="s">
        <v>55</v>
      </c>
      <c r="L8" s="374"/>
    </row>
    <row r="9" spans="1:58" ht="51" customHeight="1">
      <c r="A9" s="273" t="s">
        <v>301</v>
      </c>
      <c r="B9" s="273" t="s">
        <v>39</v>
      </c>
      <c r="C9" s="273"/>
      <c r="D9" s="273" t="s">
        <v>40</v>
      </c>
      <c r="E9" s="273"/>
      <c r="F9" s="273"/>
      <c r="G9" s="273"/>
      <c r="H9" s="273" t="s">
        <v>41</v>
      </c>
      <c r="I9" s="273" t="s">
        <v>42</v>
      </c>
      <c r="J9" s="357" t="s">
        <v>25</v>
      </c>
      <c r="K9" s="358"/>
      <c r="L9" s="359"/>
    </row>
    <row r="10" spans="1:58" ht="51" customHeight="1">
      <c r="A10" s="273"/>
      <c r="B10" s="32" t="s">
        <v>49</v>
      </c>
      <c r="C10" s="32" t="s">
        <v>48</v>
      </c>
      <c r="D10" s="32" t="s">
        <v>43</v>
      </c>
      <c r="E10" s="32" t="s">
        <v>48</v>
      </c>
      <c r="F10" s="32" t="s">
        <v>50</v>
      </c>
      <c r="G10" s="32" t="s">
        <v>44</v>
      </c>
      <c r="H10" s="273"/>
      <c r="I10" s="273"/>
      <c r="J10" s="32" t="s">
        <v>45</v>
      </c>
      <c r="K10" s="32" t="s">
        <v>46</v>
      </c>
      <c r="L10" s="32" t="s">
        <v>47</v>
      </c>
    </row>
    <row r="11" spans="1:58" s="44" customFormat="1" ht="48.45" customHeight="1">
      <c r="A11" s="341" t="s">
        <v>51</v>
      </c>
      <c r="B11" s="341"/>
      <c r="C11" s="341"/>
      <c r="D11" s="341"/>
      <c r="E11" s="341"/>
      <c r="F11" s="341"/>
      <c r="G11" s="341"/>
      <c r="H11" s="341"/>
      <c r="I11" s="341"/>
      <c r="J11" s="43">
        <f>+J13+J44+J72+J65+J82+J92+J103+J113+J123+J133+J143+J153+J163</f>
        <v>973786.1</v>
      </c>
      <c r="K11" s="43">
        <f>+K13+K44+K72+K65+K82+K92+K103+K113+K123+K133+K143+K153+K163</f>
        <v>967965.90000000037</v>
      </c>
      <c r="L11" s="43">
        <f>+L13+L44+L72+L65+L82+L92+L103+L113+L123+L133+L143+L153+L163</f>
        <v>4.6566128730773926E-10</v>
      </c>
      <c r="M11" s="190"/>
      <c r="N11" s="190"/>
      <c r="O11" s="190"/>
      <c r="P11" s="190"/>
      <c r="Q11" s="190"/>
      <c r="R11" s="190"/>
      <c r="S11" s="190"/>
      <c r="T11" s="190"/>
      <c r="U11" s="190"/>
      <c r="V11" s="190"/>
      <c r="W11" s="190"/>
      <c r="X11" s="190"/>
      <c r="Y11" s="190"/>
      <c r="Z11" s="190"/>
      <c r="AA11" s="190"/>
      <c r="AB11" s="190"/>
      <c r="AC11" s="190"/>
      <c r="AD11" s="190"/>
      <c r="AE11" s="190"/>
      <c r="AF11" s="190"/>
      <c r="AG11" s="190"/>
      <c r="AH11" s="190"/>
      <c r="AI11" s="190"/>
      <c r="AJ11" s="190"/>
      <c r="AK11" s="190"/>
      <c r="AL11" s="190"/>
      <c r="AM11" s="190"/>
      <c r="AN11" s="190"/>
      <c r="AO11" s="190"/>
      <c r="AP11" s="190"/>
      <c r="AQ11" s="190"/>
      <c r="AR11" s="190"/>
      <c r="AS11" s="190"/>
      <c r="AT11" s="190"/>
      <c r="AU11" s="190"/>
      <c r="AV11" s="190"/>
      <c r="AW11" s="190"/>
      <c r="AX11" s="190"/>
    </row>
    <row r="12" spans="1:58" s="41" customFormat="1" ht="18">
      <c r="A12" s="342" t="s">
        <v>31</v>
      </c>
      <c r="B12" s="342"/>
      <c r="C12" s="342"/>
      <c r="D12" s="342"/>
      <c r="E12" s="342"/>
      <c r="F12" s="342"/>
      <c r="G12" s="342"/>
      <c r="H12" s="342"/>
      <c r="I12" s="342"/>
      <c r="J12" s="16"/>
      <c r="K12" s="16"/>
      <c r="L12" s="16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spans="1:58" s="41" customFormat="1" ht="30" customHeight="1">
      <c r="A13" s="343" t="s">
        <v>52</v>
      </c>
      <c r="B13" s="343"/>
      <c r="C13" s="343"/>
      <c r="D13" s="343"/>
      <c r="E13" s="343"/>
      <c r="F13" s="343"/>
      <c r="G13" s="343"/>
      <c r="H13" s="343"/>
      <c r="I13" s="343"/>
      <c r="J13" s="42">
        <f>+J14+J19+J24</f>
        <v>1393671.4</v>
      </c>
      <c r="K13" s="42">
        <f>+K14+K19+K24</f>
        <v>1606146.5</v>
      </c>
      <c r="L13" s="42">
        <f>+L14+L19+L24</f>
        <v>2006146.5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</row>
    <row r="14" spans="1:58" ht="18" customHeight="1">
      <c r="A14" s="386"/>
      <c r="B14" s="260">
        <v>1041</v>
      </c>
      <c r="C14" s="350" t="s">
        <v>352</v>
      </c>
      <c r="D14" s="350"/>
      <c r="E14" s="350"/>
      <c r="F14" s="350"/>
      <c r="G14" s="350"/>
      <c r="H14" s="350"/>
      <c r="I14" s="350"/>
      <c r="J14" s="30">
        <f t="shared" ref="J14:L14" si="0">+J15</f>
        <v>0</v>
      </c>
      <c r="K14" s="30">
        <f t="shared" si="0"/>
        <v>-8400</v>
      </c>
      <c r="L14" s="30">
        <f t="shared" si="0"/>
        <v>-8400</v>
      </c>
      <c r="AY14" s="38"/>
      <c r="AZ14" s="38"/>
      <c r="BA14" s="38"/>
      <c r="BB14" s="38"/>
      <c r="BC14" s="38"/>
      <c r="BD14" s="38"/>
      <c r="BE14" s="38"/>
      <c r="BF14" s="38"/>
    </row>
    <row r="15" spans="1:58" s="41" customFormat="1" ht="16.5" customHeight="1">
      <c r="A15" s="386"/>
      <c r="B15" s="294"/>
      <c r="C15" s="351"/>
      <c r="D15" s="254" t="s">
        <v>353</v>
      </c>
      <c r="E15" s="370" t="s">
        <v>323</v>
      </c>
      <c r="F15" s="370"/>
      <c r="G15" s="370"/>
      <c r="H15" s="370"/>
      <c r="I15" s="370"/>
      <c r="J15" s="255">
        <f>+'Հավելված N 3'!G28</f>
        <v>0</v>
      </c>
      <c r="K15" s="255">
        <f>+'Հավելված N 3'!H28</f>
        <v>-8400</v>
      </c>
      <c r="L15" s="255">
        <f>+'Հավելված N 3'!I28</f>
        <v>-8400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</row>
    <row r="16" spans="1:58" s="41" customFormat="1" ht="16.5" customHeight="1">
      <c r="A16" s="386"/>
      <c r="B16" s="295"/>
      <c r="C16" s="352"/>
      <c r="D16" s="371"/>
      <c r="E16" s="371"/>
      <c r="F16" s="370" t="s">
        <v>354</v>
      </c>
      <c r="G16" s="370"/>
      <c r="H16" s="370"/>
      <c r="I16" s="370"/>
      <c r="J16" s="370"/>
      <c r="K16" s="370"/>
      <c r="L16" s="370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</row>
    <row r="17" spans="1:58" s="41" customFormat="1" ht="16.5" customHeight="1">
      <c r="A17" s="386"/>
      <c r="B17" s="295"/>
      <c r="C17" s="352"/>
      <c r="D17" s="373"/>
      <c r="E17" s="373"/>
      <c r="F17" s="371"/>
      <c r="G17" s="370" t="s">
        <v>355</v>
      </c>
      <c r="H17" s="370"/>
      <c r="I17" s="370"/>
      <c r="J17" s="370"/>
      <c r="K17" s="370"/>
      <c r="L17" s="370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</row>
    <row r="18" spans="1:58" s="41" customFormat="1" ht="16.5" customHeight="1">
      <c r="A18" s="386"/>
      <c r="B18" s="295"/>
      <c r="C18" s="352"/>
      <c r="D18" s="373"/>
      <c r="E18" s="373"/>
      <c r="F18" s="373"/>
      <c r="G18" s="256"/>
      <c r="H18" s="350" t="s">
        <v>356</v>
      </c>
      <c r="I18" s="350"/>
      <c r="J18" s="350"/>
      <c r="K18" s="350"/>
      <c r="L18" s="350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</row>
    <row r="19" spans="1:58" ht="18" customHeight="1">
      <c r="A19" s="386"/>
      <c r="B19" s="233" t="s">
        <v>293</v>
      </c>
      <c r="C19" s="350" t="s">
        <v>294</v>
      </c>
      <c r="D19" s="350"/>
      <c r="E19" s="350"/>
      <c r="F19" s="350"/>
      <c r="G19" s="350"/>
      <c r="H19" s="350"/>
      <c r="I19" s="350"/>
      <c r="J19" s="30">
        <f t="shared" ref="J19:L19" si="1">+J20</f>
        <v>12676.5</v>
      </c>
      <c r="K19" s="30">
        <f t="shared" si="1"/>
        <v>12676.5</v>
      </c>
      <c r="L19" s="30">
        <f t="shared" si="1"/>
        <v>12676.5</v>
      </c>
      <c r="AY19" s="38"/>
      <c r="AZ19" s="38"/>
      <c r="BA19" s="38"/>
      <c r="BB19" s="38"/>
      <c r="BC19" s="38"/>
      <c r="BD19" s="38"/>
      <c r="BE19" s="38"/>
      <c r="BF19" s="38"/>
    </row>
    <row r="20" spans="1:58" s="41" customFormat="1" ht="16.5" customHeight="1">
      <c r="A20" s="386"/>
      <c r="B20" s="294"/>
      <c r="C20" s="351"/>
      <c r="D20" s="217" t="s">
        <v>295</v>
      </c>
      <c r="E20" s="350" t="s">
        <v>281</v>
      </c>
      <c r="F20" s="350"/>
      <c r="G20" s="350"/>
      <c r="H20" s="350"/>
      <c r="I20" s="350"/>
      <c r="J20" s="218">
        <f>+'Հավելված N 3'!G214</f>
        <v>12676.5</v>
      </c>
      <c r="K20" s="218">
        <f>+'Հավելված N 3'!H214</f>
        <v>12676.5</v>
      </c>
      <c r="L20" s="218">
        <f>+'Հավելված N 3'!I214</f>
        <v>12676.5</v>
      </c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</row>
    <row r="21" spans="1:58" s="41" customFormat="1" ht="16.5" customHeight="1">
      <c r="A21" s="386"/>
      <c r="B21" s="295"/>
      <c r="C21" s="352"/>
      <c r="D21" s="288"/>
      <c r="E21" s="288"/>
      <c r="F21" s="350" t="s">
        <v>296</v>
      </c>
      <c r="G21" s="350"/>
      <c r="H21" s="350"/>
      <c r="I21" s="350"/>
      <c r="J21" s="350"/>
      <c r="K21" s="350"/>
      <c r="L21" s="350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</row>
    <row r="22" spans="1:58" s="41" customFormat="1" ht="16.5" customHeight="1">
      <c r="A22" s="386"/>
      <c r="B22" s="295"/>
      <c r="C22" s="352"/>
      <c r="D22" s="333"/>
      <c r="E22" s="333"/>
      <c r="F22" s="288"/>
      <c r="G22" s="350" t="s">
        <v>297</v>
      </c>
      <c r="H22" s="350"/>
      <c r="I22" s="350"/>
      <c r="J22" s="350"/>
      <c r="K22" s="350"/>
      <c r="L22" s="350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</row>
    <row r="23" spans="1:58" s="41" customFormat="1" ht="16.5" customHeight="1">
      <c r="A23" s="386"/>
      <c r="B23" s="296"/>
      <c r="C23" s="353"/>
      <c r="D23" s="289"/>
      <c r="E23" s="289"/>
      <c r="F23" s="289"/>
      <c r="G23" s="219"/>
      <c r="H23" s="350" t="s">
        <v>298</v>
      </c>
      <c r="I23" s="350"/>
      <c r="J23" s="350"/>
      <c r="K23" s="350"/>
      <c r="L23" s="350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</row>
    <row r="24" spans="1:58" ht="18" customHeight="1">
      <c r="A24" s="386"/>
      <c r="B24" s="156">
        <v>1236</v>
      </c>
      <c r="C24" s="347" t="s">
        <v>201</v>
      </c>
      <c r="D24" s="348"/>
      <c r="E24" s="348"/>
      <c r="F24" s="348"/>
      <c r="G24" s="348"/>
      <c r="H24" s="348"/>
      <c r="I24" s="349"/>
      <c r="J24" s="30">
        <f>J25+J29+J34+J39</f>
        <v>1380994.9</v>
      </c>
      <c r="K24" s="30">
        <f t="shared" ref="K24:L24" si="2">K25+K29+K34+K39</f>
        <v>1601870</v>
      </c>
      <c r="L24" s="30">
        <f t="shared" si="2"/>
        <v>2001870</v>
      </c>
      <c r="AY24" s="38"/>
      <c r="AZ24" s="38"/>
      <c r="BA24" s="38"/>
      <c r="BB24" s="38"/>
      <c r="BC24" s="38"/>
      <c r="BD24" s="38"/>
      <c r="BE24" s="38"/>
      <c r="BF24" s="38"/>
    </row>
    <row r="25" spans="1:58" s="41" customFormat="1" ht="16.5" customHeight="1">
      <c r="A25" s="386"/>
      <c r="B25" s="380"/>
      <c r="C25" s="390"/>
      <c r="D25" s="261" t="s">
        <v>367</v>
      </c>
      <c r="E25" s="360" t="s">
        <v>365</v>
      </c>
      <c r="F25" s="360"/>
      <c r="G25" s="360"/>
      <c r="H25" s="360"/>
      <c r="I25" s="360"/>
      <c r="J25" s="252">
        <f>+'Հավելված N 3'!G168</f>
        <v>379124.9</v>
      </c>
      <c r="K25" s="252">
        <f>+'Հավելված N 3'!H168</f>
        <v>509124.89999999997</v>
      </c>
      <c r="L25" s="252">
        <f>+'Հավելված N 3'!I168</f>
        <v>509124.89999999997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</row>
    <row r="26" spans="1:58" s="41" customFormat="1" ht="16.5" customHeight="1">
      <c r="A26" s="386"/>
      <c r="B26" s="380"/>
      <c r="C26" s="390"/>
      <c r="D26" s="387"/>
      <c r="E26" s="361"/>
      <c r="F26" s="360" t="s">
        <v>368</v>
      </c>
      <c r="G26" s="360"/>
      <c r="H26" s="360"/>
      <c r="I26" s="360"/>
      <c r="J26" s="360"/>
      <c r="K26" s="360"/>
      <c r="L26" s="360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</row>
    <row r="27" spans="1:58" s="41" customFormat="1" ht="16.5" customHeight="1">
      <c r="A27" s="386"/>
      <c r="B27" s="380"/>
      <c r="C27" s="390"/>
      <c r="D27" s="388"/>
      <c r="E27" s="363"/>
      <c r="F27" s="361"/>
      <c r="G27" s="360" t="s">
        <v>297</v>
      </c>
      <c r="H27" s="360"/>
      <c r="I27" s="360"/>
      <c r="J27" s="360"/>
      <c r="K27" s="360"/>
      <c r="L27" s="360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</row>
    <row r="28" spans="1:58" s="41" customFormat="1" ht="16.5" customHeight="1">
      <c r="A28" s="386"/>
      <c r="B28" s="380"/>
      <c r="C28" s="390"/>
      <c r="D28" s="389"/>
      <c r="E28" s="362"/>
      <c r="F28" s="362"/>
      <c r="G28" s="253"/>
      <c r="H28" s="360" t="s">
        <v>298</v>
      </c>
      <c r="I28" s="360"/>
      <c r="J28" s="360"/>
      <c r="K28" s="360"/>
      <c r="L28" s="360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</row>
    <row r="29" spans="1:58" s="41" customFormat="1" ht="16.5" customHeight="1">
      <c r="A29" s="386"/>
      <c r="B29" s="380"/>
      <c r="C29" s="390"/>
      <c r="D29" s="233" t="s">
        <v>285</v>
      </c>
      <c r="E29" s="350" t="s">
        <v>233</v>
      </c>
      <c r="F29" s="350"/>
      <c r="G29" s="350"/>
      <c r="H29" s="350"/>
      <c r="I29" s="350"/>
      <c r="J29" s="218">
        <f>+'Հավելված N 3'!G54</f>
        <v>1000000</v>
      </c>
      <c r="K29" s="218">
        <f>+'Հավելված N 3'!H54</f>
        <v>1600000</v>
      </c>
      <c r="L29" s="218">
        <f>+'Հավելված N 3'!I54</f>
        <v>2000000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</row>
    <row r="30" spans="1:58" s="41" customFormat="1" ht="16.5" customHeight="1">
      <c r="A30" s="386"/>
      <c r="B30" s="380"/>
      <c r="C30" s="390"/>
      <c r="D30" s="381"/>
      <c r="E30" s="344"/>
      <c r="F30" s="350" t="s">
        <v>286</v>
      </c>
      <c r="G30" s="350"/>
      <c r="H30" s="350"/>
      <c r="I30" s="350"/>
      <c r="J30" s="350"/>
      <c r="K30" s="350"/>
      <c r="L30" s="350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</row>
    <row r="31" spans="1:58" s="41" customFormat="1" ht="16.5" customHeight="1">
      <c r="A31" s="386"/>
      <c r="B31" s="380"/>
      <c r="C31" s="390"/>
      <c r="D31" s="382"/>
      <c r="E31" s="346"/>
      <c r="F31" s="344"/>
      <c r="G31" s="350" t="s">
        <v>66</v>
      </c>
      <c r="H31" s="350"/>
      <c r="I31" s="350"/>
      <c r="J31" s="350"/>
      <c r="K31" s="350"/>
      <c r="L31" s="350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</row>
    <row r="32" spans="1:58" s="41" customFormat="1" ht="16.5" customHeight="1">
      <c r="A32" s="386"/>
      <c r="B32" s="380"/>
      <c r="C32" s="390"/>
      <c r="D32" s="382"/>
      <c r="E32" s="346"/>
      <c r="F32" s="346"/>
      <c r="G32" s="344"/>
      <c r="H32" s="350" t="s">
        <v>203</v>
      </c>
      <c r="I32" s="350"/>
      <c r="J32" s="350"/>
      <c r="K32" s="350"/>
      <c r="L32" s="350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</row>
    <row r="33" spans="1:58" s="41" customFormat="1" ht="15.6" customHeight="1">
      <c r="A33" s="386"/>
      <c r="B33" s="380"/>
      <c r="C33" s="390"/>
      <c r="D33" s="383"/>
      <c r="E33" s="345"/>
      <c r="F33" s="345"/>
      <c r="G33" s="345"/>
      <c r="H33" s="219"/>
      <c r="I33" s="219" t="s">
        <v>287</v>
      </c>
      <c r="J33" s="220">
        <v>1</v>
      </c>
      <c r="K33" s="220" t="s">
        <v>204</v>
      </c>
      <c r="L33" s="220">
        <v>1</v>
      </c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</row>
    <row r="34" spans="1:58" s="39" customFormat="1" ht="33" customHeight="1">
      <c r="A34" s="386"/>
      <c r="B34" s="380"/>
      <c r="C34" s="390"/>
      <c r="D34" s="156" t="s">
        <v>186</v>
      </c>
      <c r="E34" s="347" t="s">
        <v>190</v>
      </c>
      <c r="F34" s="348"/>
      <c r="G34" s="348"/>
      <c r="H34" s="348"/>
      <c r="I34" s="349"/>
      <c r="J34" s="218">
        <f>+'Հավելված N 3'!G70</f>
        <v>1870</v>
      </c>
      <c r="K34" s="218">
        <f>+'Հավելված N 3'!H70</f>
        <v>1870</v>
      </c>
      <c r="L34" s="218">
        <f>+'Հավելված N 3'!I70</f>
        <v>1870</v>
      </c>
      <c r="AY34" s="189"/>
      <c r="AZ34" s="189"/>
      <c r="BA34" s="189"/>
      <c r="BB34" s="189"/>
      <c r="BC34" s="189"/>
      <c r="BD34" s="189"/>
      <c r="BE34" s="189"/>
      <c r="BF34" s="189"/>
    </row>
    <row r="35" spans="1:58" ht="18" customHeight="1">
      <c r="A35" s="386"/>
      <c r="B35" s="380"/>
      <c r="C35" s="390"/>
      <c r="D35" s="385"/>
      <c r="E35" s="379"/>
      <c r="F35" s="348" t="s">
        <v>202</v>
      </c>
      <c r="G35" s="348"/>
      <c r="H35" s="348"/>
      <c r="I35" s="348"/>
      <c r="J35" s="348"/>
      <c r="K35" s="348"/>
      <c r="L35" s="349"/>
    </row>
    <row r="36" spans="1:58" ht="17.7" customHeight="1">
      <c r="A36" s="386"/>
      <c r="B36" s="380"/>
      <c r="C36" s="390"/>
      <c r="D36" s="385"/>
      <c r="E36" s="379"/>
      <c r="F36" s="379"/>
      <c r="G36" s="348" t="s">
        <v>66</v>
      </c>
      <c r="H36" s="348"/>
      <c r="I36" s="348"/>
      <c r="J36" s="348"/>
      <c r="K36" s="348"/>
      <c r="L36" s="349"/>
    </row>
    <row r="37" spans="1:58" ht="18" customHeight="1">
      <c r="A37" s="386"/>
      <c r="B37" s="380"/>
      <c r="C37" s="390"/>
      <c r="D37" s="385"/>
      <c r="E37" s="379"/>
      <c r="F37" s="379"/>
      <c r="G37" s="379"/>
      <c r="H37" s="348" t="s">
        <v>203</v>
      </c>
      <c r="I37" s="348"/>
      <c r="J37" s="348"/>
      <c r="K37" s="348"/>
      <c r="L37" s="349"/>
    </row>
    <row r="38" spans="1:58" s="41" customFormat="1" ht="34.799999999999997">
      <c r="A38" s="386"/>
      <c r="B38" s="380"/>
      <c r="C38" s="390"/>
      <c r="D38" s="385"/>
      <c r="E38" s="379"/>
      <c r="F38" s="379"/>
      <c r="G38" s="379"/>
      <c r="H38" s="236"/>
      <c r="I38" s="187" t="s">
        <v>318</v>
      </c>
      <c r="J38" s="220">
        <v>1</v>
      </c>
      <c r="K38" s="220" t="s">
        <v>204</v>
      </c>
      <c r="L38" s="220">
        <v>1</v>
      </c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spans="1:58" s="41" customFormat="1" ht="16.5" customHeight="1">
      <c r="A39" s="386"/>
      <c r="B39" s="380"/>
      <c r="C39" s="390"/>
      <c r="D39" s="233" t="s">
        <v>292</v>
      </c>
      <c r="E39" s="350" t="s">
        <v>234</v>
      </c>
      <c r="F39" s="350"/>
      <c r="G39" s="350"/>
      <c r="H39" s="350"/>
      <c r="I39" s="350"/>
      <c r="J39" s="218">
        <f>+'Հավելված N 3'!G186</f>
        <v>0</v>
      </c>
      <c r="K39" s="218">
        <f>+'Հավելված N 3'!H186</f>
        <v>-509124.89999999997</v>
      </c>
      <c r="L39" s="218">
        <f>+'Հավելված N 3'!I186</f>
        <v>-509124.89999999997</v>
      </c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</row>
    <row r="40" spans="1:58" s="41" customFormat="1" ht="16.5" customHeight="1">
      <c r="A40" s="386"/>
      <c r="B40" s="380"/>
      <c r="C40" s="390"/>
      <c r="D40" s="385"/>
      <c r="E40" s="379"/>
      <c r="F40" s="350" t="s">
        <v>291</v>
      </c>
      <c r="G40" s="350"/>
      <c r="H40" s="350"/>
      <c r="I40" s="350"/>
      <c r="J40" s="350"/>
      <c r="K40" s="350"/>
      <c r="L40" s="350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</row>
    <row r="41" spans="1:58" s="41" customFormat="1" ht="16.2" customHeight="1">
      <c r="A41" s="386"/>
      <c r="B41" s="380"/>
      <c r="C41" s="390"/>
      <c r="D41" s="385"/>
      <c r="E41" s="379"/>
      <c r="F41" s="379"/>
      <c r="G41" s="350" t="s">
        <v>66</v>
      </c>
      <c r="H41" s="350"/>
      <c r="I41" s="350"/>
      <c r="J41" s="350"/>
      <c r="K41" s="350"/>
      <c r="L41" s="350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</row>
    <row r="42" spans="1:58" s="41" customFormat="1" ht="16.5" customHeight="1">
      <c r="A42" s="386"/>
      <c r="B42" s="380"/>
      <c r="C42" s="390"/>
      <c r="D42" s="385"/>
      <c r="E42" s="379"/>
      <c r="F42" s="379"/>
      <c r="G42" s="235"/>
      <c r="H42" s="350" t="s">
        <v>290</v>
      </c>
      <c r="I42" s="350"/>
      <c r="J42" s="350"/>
      <c r="K42" s="350"/>
      <c r="L42" s="350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</row>
    <row r="44" spans="1:58" s="41" customFormat="1" ht="30" customHeight="1">
      <c r="A44" s="343" t="s">
        <v>235</v>
      </c>
      <c r="B44" s="343"/>
      <c r="C44" s="343"/>
      <c r="D44" s="343"/>
      <c r="E44" s="343"/>
      <c r="F44" s="343"/>
      <c r="G44" s="343"/>
      <c r="H44" s="343"/>
      <c r="I44" s="343"/>
      <c r="J44" s="42">
        <f>+J45+J51</f>
        <v>-1370724.9</v>
      </c>
      <c r="K44" s="42">
        <f t="shared" ref="K44:L44" si="3">+K45+K51</f>
        <v>-1591600</v>
      </c>
      <c r="L44" s="42">
        <f t="shared" si="3"/>
        <v>-1991600</v>
      </c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8" ht="18" customHeight="1">
      <c r="A45" s="367"/>
      <c r="B45" s="221">
        <v>1041</v>
      </c>
      <c r="C45" s="350" t="s">
        <v>352</v>
      </c>
      <c r="D45" s="350"/>
      <c r="E45" s="350"/>
      <c r="F45" s="350"/>
      <c r="G45" s="350"/>
      <c r="H45" s="350"/>
      <c r="I45" s="350"/>
      <c r="J45" s="30">
        <f t="shared" ref="J45:L45" si="4">+J46</f>
        <v>8400</v>
      </c>
      <c r="K45" s="30">
        <f t="shared" si="4"/>
        <v>8400</v>
      </c>
      <c r="L45" s="30">
        <f t="shared" si="4"/>
        <v>8400</v>
      </c>
      <c r="AY45" s="38"/>
      <c r="AZ45" s="38"/>
      <c r="BA45" s="38"/>
      <c r="BB45" s="38"/>
      <c r="BC45" s="38"/>
      <c r="BD45" s="38"/>
      <c r="BE45" s="38"/>
      <c r="BF45" s="38"/>
    </row>
    <row r="46" spans="1:58" s="41" customFormat="1" ht="16.5" customHeight="1">
      <c r="A46" s="368"/>
      <c r="B46" s="351"/>
      <c r="C46" s="351"/>
      <c r="D46" s="254" t="s">
        <v>353</v>
      </c>
      <c r="E46" s="370" t="s">
        <v>323</v>
      </c>
      <c r="F46" s="370"/>
      <c r="G46" s="370"/>
      <c r="H46" s="370"/>
      <c r="I46" s="370"/>
      <c r="J46" s="255">
        <f>+'Հավելված N 3'!G35</f>
        <v>8400</v>
      </c>
      <c r="K46" s="255">
        <f>+'Հավելված N 3'!H35</f>
        <v>8400</v>
      </c>
      <c r="L46" s="255">
        <f>+'Հավելված N 3'!I35</f>
        <v>8400</v>
      </c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</row>
    <row r="47" spans="1:58" s="41" customFormat="1" ht="16.5" customHeight="1">
      <c r="A47" s="368"/>
      <c r="B47" s="352"/>
      <c r="C47" s="352"/>
      <c r="D47" s="371"/>
      <c r="E47" s="371"/>
      <c r="F47" s="370" t="s">
        <v>354</v>
      </c>
      <c r="G47" s="370"/>
      <c r="H47" s="370"/>
      <c r="I47" s="370"/>
      <c r="J47" s="370"/>
      <c r="K47" s="370"/>
      <c r="L47" s="370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</row>
    <row r="48" spans="1:58" s="41" customFormat="1" ht="16.5" customHeight="1">
      <c r="A48" s="368"/>
      <c r="B48" s="352"/>
      <c r="C48" s="352"/>
      <c r="D48" s="373"/>
      <c r="E48" s="373"/>
      <c r="F48" s="371"/>
      <c r="G48" s="370" t="s">
        <v>355</v>
      </c>
      <c r="H48" s="370"/>
      <c r="I48" s="370"/>
      <c r="J48" s="370"/>
      <c r="K48" s="370"/>
      <c r="L48" s="370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</row>
    <row r="49" spans="1:58" s="41" customFormat="1" ht="16.5" customHeight="1">
      <c r="A49" s="368"/>
      <c r="B49" s="352"/>
      <c r="C49" s="352"/>
      <c r="D49" s="373"/>
      <c r="E49" s="373"/>
      <c r="F49" s="373"/>
      <c r="G49" s="371"/>
      <c r="H49" s="350" t="s">
        <v>356</v>
      </c>
      <c r="I49" s="350"/>
      <c r="J49" s="350"/>
      <c r="K49" s="350"/>
      <c r="L49" s="350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</row>
    <row r="50" spans="1:58" s="41" customFormat="1" ht="52.2">
      <c r="A50" s="368"/>
      <c r="B50" s="353"/>
      <c r="C50" s="353"/>
      <c r="D50" s="372"/>
      <c r="E50" s="372"/>
      <c r="F50" s="372"/>
      <c r="G50" s="372"/>
      <c r="H50" s="232"/>
      <c r="I50" s="187" t="s">
        <v>357</v>
      </c>
      <c r="J50" s="220">
        <v>1</v>
      </c>
      <c r="K50" s="220" t="s">
        <v>204</v>
      </c>
      <c r="L50" s="220">
        <v>1</v>
      </c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8" ht="18" customHeight="1">
      <c r="A51" s="368"/>
      <c r="B51" s="222">
        <v>1236</v>
      </c>
      <c r="C51" s="350" t="s">
        <v>201</v>
      </c>
      <c r="D51" s="350"/>
      <c r="E51" s="350"/>
      <c r="F51" s="350"/>
      <c r="G51" s="350"/>
      <c r="H51" s="350"/>
      <c r="I51" s="350"/>
      <c r="J51" s="30">
        <f t="shared" ref="J51:L51" si="5">+J52+J56+J60</f>
        <v>-1379124.9</v>
      </c>
      <c r="K51" s="30">
        <f t="shared" si="5"/>
        <v>-1600000</v>
      </c>
      <c r="L51" s="30">
        <f t="shared" si="5"/>
        <v>-2000000</v>
      </c>
      <c r="AY51" s="38"/>
      <c r="AZ51" s="38"/>
      <c r="BA51" s="38"/>
      <c r="BB51" s="38"/>
      <c r="BC51" s="38"/>
      <c r="BD51" s="38"/>
      <c r="BE51" s="38"/>
      <c r="BF51" s="38"/>
    </row>
    <row r="52" spans="1:58" s="41" customFormat="1" ht="16.5" customHeight="1">
      <c r="A52" s="368"/>
      <c r="B52" s="384"/>
      <c r="C52" s="384"/>
      <c r="D52" s="217" t="s">
        <v>285</v>
      </c>
      <c r="E52" s="350" t="s">
        <v>233</v>
      </c>
      <c r="F52" s="350"/>
      <c r="G52" s="350"/>
      <c r="H52" s="350"/>
      <c r="I52" s="350"/>
      <c r="J52" s="218">
        <f>+'Հավելված N 3'!G61</f>
        <v>600000</v>
      </c>
      <c r="K52" s="218">
        <f>+'Հավելված N 3'!H61</f>
        <v>1000000</v>
      </c>
      <c r="L52" s="218">
        <f>+'Հավելված N 3'!I61</f>
        <v>1500000</v>
      </c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</row>
    <row r="53" spans="1:58" s="41" customFormat="1" ht="16.5" customHeight="1">
      <c r="A53" s="368"/>
      <c r="B53" s="384"/>
      <c r="C53" s="384"/>
      <c r="D53" s="379"/>
      <c r="E53" s="379"/>
      <c r="F53" s="350" t="s">
        <v>286</v>
      </c>
      <c r="G53" s="350"/>
      <c r="H53" s="350"/>
      <c r="I53" s="350"/>
      <c r="J53" s="350"/>
      <c r="K53" s="350"/>
      <c r="L53" s="350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</row>
    <row r="54" spans="1:58" s="41" customFormat="1" ht="16.5" customHeight="1">
      <c r="A54" s="368"/>
      <c r="B54" s="384"/>
      <c r="C54" s="384"/>
      <c r="D54" s="379"/>
      <c r="E54" s="379"/>
      <c r="F54" s="379"/>
      <c r="G54" s="350" t="s">
        <v>66</v>
      </c>
      <c r="H54" s="350"/>
      <c r="I54" s="350"/>
      <c r="J54" s="350"/>
      <c r="K54" s="350"/>
      <c r="L54" s="350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</row>
    <row r="55" spans="1:58" s="41" customFormat="1" ht="16.5" customHeight="1">
      <c r="A55" s="368"/>
      <c r="B55" s="384"/>
      <c r="C55" s="384"/>
      <c r="D55" s="379"/>
      <c r="E55" s="379"/>
      <c r="F55" s="379"/>
      <c r="G55" s="223"/>
      <c r="H55" s="350" t="s">
        <v>203</v>
      </c>
      <c r="I55" s="350"/>
      <c r="J55" s="350"/>
      <c r="K55" s="350"/>
      <c r="L55" s="350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</row>
    <row r="56" spans="1:58" s="41" customFormat="1" ht="16.5" customHeight="1">
      <c r="A56" s="368"/>
      <c r="B56" s="384"/>
      <c r="C56" s="384"/>
      <c r="D56" s="217" t="s">
        <v>288</v>
      </c>
      <c r="E56" s="350" t="s">
        <v>238</v>
      </c>
      <c r="F56" s="350"/>
      <c r="G56" s="350"/>
      <c r="H56" s="350"/>
      <c r="I56" s="350"/>
      <c r="J56" s="218">
        <f>+'Հավելված N 3'!G177</f>
        <v>-600000</v>
      </c>
      <c r="K56" s="218">
        <f>+'Հավելված N 3'!H177</f>
        <v>-1000000</v>
      </c>
      <c r="L56" s="218">
        <f>+'Հավելված N 3'!I177</f>
        <v>-1250000</v>
      </c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</row>
    <row r="57" spans="1:58" s="41" customFormat="1" ht="16.5" customHeight="1">
      <c r="A57" s="368"/>
      <c r="B57" s="384"/>
      <c r="C57" s="384"/>
      <c r="D57" s="379"/>
      <c r="E57" s="379"/>
      <c r="F57" s="350" t="s">
        <v>289</v>
      </c>
      <c r="G57" s="350"/>
      <c r="H57" s="350"/>
      <c r="I57" s="350"/>
      <c r="J57" s="350"/>
      <c r="K57" s="350"/>
      <c r="L57" s="350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</row>
    <row r="58" spans="1:58" s="41" customFormat="1" ht="16.5" customHeight="1">
      <c r="A58" s="368"/>
      <c r="B58" s="384"/>
      <c r="C58" s="384"/>
      <c r="D58" s="379"/>
      <c r="E58" s="379"/>
      <c r="F58" s="379"/>
      <c r="G58" s="350" t="s">
        <v>66</v>
      </c>
      <c r="H58" s="350"/>
      <c r="I58" s="350"/>
      <c r="J58" s="350"/>
      <c r="K58" s="350"/>
      <c r="L58" s="350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</row>
    <row r="59" spans="1:58" s="41" customFormat="1" ht="16.5" customHeight="1">
      <c r="A59" s="368"/>
      <c r="B59" s="384"/>
      <c r="C59" s="384"/>
      <c r="D59" s="379"/>
      <c r="E59" s="379"/>
      <c r="F59" s="379"/>
      <c r="G59" s="219"/>
      <c r="H59" s="350" t="s">
        <v>290</v>
      </c>
      <c r="I59" s="350"/>
      <c r="J59" s="350"/>
      <c r="K59" s="350"/>
      <c r="L59" s="350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</row>
    <row r="60" spans="1:58" s="41" customFormat="1" ht="16.5" customHeight="1">
      <c r="A60" s="368"/>
      <c r="B60" s="384"/>
      <c r="C60" s="384"/>
      <c r="D60" s="217" t="s">
        <v>292</v>
      </c>
      <c r="E60" s="350" t="s">
        <v>234</v>
      </c>
      <c r="F60" s="350"/>
      <c r="G60" s="350"/>
      <c r="H60" s="350"/>
      <c r="I60" s="350"/>
      <c r="J60" s="218">
        <f>+'Հավելված N 3'!G193</f>
        <v>-1379124.9</v>
      </c>
      <c r="K60" s="218">
        <f>+'Հավելված N 3'!H193</f>
        <v>-1600000</v>
      </c>
      <c r="L60" s="218">
        <f>+'Հավելված N 3'!I193</f>
        <v>-2250000</v>
      </c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</row>
    <row r="61" spans="1:58" s="41" customFormat="1" ht="16.5" customHeight="1">
      <c r="A61" s="368"/>
      <c r="B61" s="384"/>
      <c r="C61" s="384"/>
      <c r="D61" s="379"/>
      <c r="E61" s="379"/>
      <c r="F61" s="350" t="s">
        <v>291</v>
      </c>
      <c r="G61" s="350"/>
      <c r="H61" s="350"/>
      <c r="I61" s="350"/>
      <c r="J61" s="350"/>
      <c r="K61" s="350"/>
      <c r="L61" s="350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</row>
    <row r="62" spans="1:58" s="41" customFormat="1" ht="16.2" customHeight="1">
      <c r="A62" s="368"/>
      <c r="B62" s="384"/>
      <c r="C62" s="384"/>
      <c r="D62" s="379"/>
      <c r="E62" s="379"/>
      <c r="F62" s="379"/>
      <c r="G62" s="350" t="s">
        <v>66</v>
      </c>
      <c r="H62" s="350"/>
      <c r="I62" s="350"/>
      <c r="J62" s="350"/>
      <c r="K62" s="350"/>
      <c r="L62" s="350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</row>
    <row r="63" spans="1:58" s="41" customFormat="1" ht="16.5" customHeight="1">
      <c r="A63" s="369"/>
      <c r="B63" s="384"/>
      <c r="C63" s="384"/>
      <c r="D63" s="379"/>
      <c r="E63" s="379"/>
      <c r="F63" s="379"/>
      <c r="G63" s="219"/>
      <c r="H63" s="350" t="s">
        <v>290</v>
      </c>
      <c r="I63" s="350"/>
      <c r="J63" s="350"/>
      <c r="K63" s="350"/>
      <c r="L63" s="350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</row>
    <row r="65" spans="1:58" s="41" customFormat="1" ht="30" customHeight="1">
      <c r="A65" s="343" t="s">
        <v>302</v>
      </c>
      <c r="B65" s="343"/>
      <c r="C65" s="343"/>
      <c r="D65" s="343"/>
      <c r="E65" s="343"/>
      <c r="F65" s="343"/>
      <c r="G65" s="343"/>
      <c r="H65" s="343"/>
      <c r="I65" s="343"/>
      <c r="J65" s="42">
        <f t="shared" ref="J65:L66" si="6">+J66</f>
        <v>-1091682.6000000001</v>
      </c>
      <c r="K65" s="42">
        <f t="shared" si="6"/>
        <v>-2183365.2999999998</v>
      </c>
      <c r="L65" s="42">
        <f t="shared" si="6"/>
        <v>-3531957.9</v>
      </c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spans="1:58" ht="18" customHeight="1">
      <c r="A66" s="378"/>
      <c r="B66" s="156">
        <v>1236</v>
      </c>
      <c r="C66" s="347" t="s">
        <v>201</v>
      </c>
      <c r="D66" s="348"/>
      <c r="E66" s="348"/>
      <c r="F66" s="348"/>
      <c r="G66" s="348"/>
      <c r="H66" s="348"/>
      <c r="I66" s="349"/>
      <c r="J66" s="30">
        <f t="shared" si="6"/>
        <v>-1091682.6000000001</v>
      </c>
      <c r="K66" s="30">
        <f t="shared" si="6"/>
        <v>-2183365.2999999998</v>
      </c>
      <c r="L66" s="30">
        <f t="shared" si="6"/>
        <v>-3531957.9</v>
      </c>
    </row>
    <row r="67" spans="1:58" s="39" customFormat="1" ht="18">
      <c r="A67" s="378"/>
      <c r="B67" s="380"/>
      <c r="C67" s="380"/>
      <c r="D67" s="156" t="s">
        <v>186</v>
      </c>
      <c r="E67" s="347" t="s">
        <v>190</v>
      </c>
      <c r="F67" s="348"/>
      <c r="G67" s="348"/>
      <c r="H67" s="348"/>
      <c r="I67" s="349"/>
      <c r="J67" s="218">
        <f>+'Հավելված N 3'!G77</f>
        <v>-1091682.6000000001</v>
      </c>
      <c r="K67" s="218">
        <f>+'Հավելված N 3'!H77</f>
        <v>-2183365.2999999998</v>
      </c>
      <c r="L67" s="218">
        <f>+'Հավելված N 3'!I77</f>
        <v>-3531957.9</v>
      </c>
      <c r="AY67" s="189"/>
      <c r="AZ67" s="189"/>
      <c r="BA67" s="189"/>
      <c r="BB67" s="189"/>
      <c r="BC67" s="189"/>
      <c r="BD67" s="189"/>
      <c r="BE67" s="189"/>
      <c r="BF67" s="189"/>
    </row>
    <row r="68" spans="1:58" ht="18" customHeight="1">
      <c r="A68" s="378"/>
      <c r="B68" s="380"/>
      <c r="C68" s="380"/>
      <c r="D68" s="380"/>
      <c r="E68" s="379"/>
      <c r="F68" s="348" t="s">
        <v>202</v>
      </c>
      <c r="G68" s="348"/>
      <c r="H68" s="348"/>
      <c r="I68" s="348"/>
      <c r="J68" s="348"/>
      <c r="K68" s="348"/>
      <c r="L68" s="349"/>
    </row>
    <row r="69" spans="1:58" ht="17.7" customHeight="1">
      <c r="A69" s="378"/>
      <c r="B69" s="380"/>
      <c r="C69" s="380"/>
      <c r="D69" s="380"/>
      <c r="E69" s="379"/>
      <c r="F69" s="379"/>
      <c r="G69" s="348" t="s">
        <v>66</v>
      </c>
      <c r="H69" s="348"/>
      <c r="I69" s="348"/>
      <c r="J69" s="348"/>
      <c r="K69" s="348"/>
      <c r="L69" s="349"/>
    </row>
    <row r="70" spans="1:58" ht="18" customHeight="1">
      <c r="A70" s="378"/>
      <c r="B70" s="380"/>
      <c r="C70" s="380"/>
      <c r="D70" s="380"/>
      <c r="E70" s="379"/>
      <c r="F70" s="379"/>
      <c r="G70" s="223"/>
      <c r="H70" s="348" t="s">
        <v>203</v>
      </c>
      <c r="I70" s="348"/>
      <c r="J70" s="348"/>
      <c r="K70" s="348"/>
      <c r="L70" s="349"/>
    </row>
    <row r="72" spans="1:58" s="41" customFormat="1" ht="30" customHeight="1">
      <c r="A72" s="343" t="s">
        <v>210</v>
      </c>
      <c r="B72" s="343"/>
      <c r="C72" s="343"/>
      <c r="D72" s="343"/>
      <c r="E72" s="343"/>
      <c r="F72" s="343"/>
      <c r="G72" s="343"/>
      <c r="H72" s="343"/>
      <c r="I72" s="343"/>
      <c r="J72" s="42">
        <f t="shared" ref="J72:L73" si="7">+J73</f>
        <v>195098.4</v>
      </c>
      <c r="K72" s="42">
        <f t="shared" si="7"/>
        <v>277831.09999999998</v>
      </c>
      <c r="L72" s="42">
        <f t="shared" si="7"/>
        <v>296331.7</v>
      </c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spans="1:58" ht="18" customHeight="1">
      <c r="A73" s="375"/>
      <c r="B73" s="156">
        <v>1236</v>
      </c>
      <c r="C73" s="347" t="s">
        <v>201</v>
      </c>
      <c r="D73" s="348"/>
      <c r="E73" s="348"/>
      <c r="F73" s="348"/>
      <c r="G73" s="348"/>
      <c r="H73" s="348"/>
      <c r="I73" s="349"/>
      <c r="J73" s="30">
        <f t="shared" si="7"/>
        <v>195098.4</v>
      </c>
      <c r="K73" s="30">
        <f t="shared" si="7"/>
        <v>277831.09999999998</v>
      </c>
      <c r="L73" s="30">
        <f t="shared" si="7"/>
        <v>296331.7</v>
      </c>
    </row>
    <row r="74" spans="1:58" s="39" customFormat="1" ht="33" customHeight="1">
      <c r="A74" s="376"/>
      <c r="B74" s="354"/>
      <c r="C74" s="354"/>
      <c r="D74" s="156" t="s">
        <v>186</v>
      </c>
      <c r="E74" s="347" t="s">
        <v>190</v>
      </c>
      <c r="F74" s="348"/>
      <c r="G74" s="348"/>
      <c r="H74" s="348"/>
      <c r="I74" s="349"/>
      <c r="J74" s="218">
        <f>+'Հավելված N 3'!G84</f>
        <v>195098.4</v>
      </c>
      <c r="K74" s="218">
        <f>+'Հավելված N 3'!H84</f>
        <v>277831.09999999998</v>
      </c>
      <c r="L74" s="218">
        <f>+'Հավելված N 3'!I84</f>
        <v>296331.7</v>
      </c>
      <c r="AY74" s="189"/>
      <c r="AZ74" s="189"/>
      <c r="BA74" s="189"/>
      <c r="BB74" s="189"/>
      <c r="BC74" s="189"/>
      <c r="BD74" s="189"/>
      <c r="BE74" s="189"/>
      <c r="BF74" s="189"/>
    </row>
    <row r="75" spans="1:58" ht="18" customHeight="1">
      <c r="A75" s="376"/>
      <c r="B75" s="355"/>
      <c r="C75" s="355"/>
      <c r="D75" s="354"/>
      <c r="E75" s="344"/>
      <c r="F75" s="347" t="s">
        <v>202</v>
      </c>
      <c r="G75" s="348"/>
      <c r="H75" s="348"/>
      <c r="I75" s="348"/>
      <c r="J75" s="348"/>
      <c r="K75" s="348"/>
      <c r="L75" s="349"/>
    </row>
    <row r="76" spans="1:58" ht="17.7" customHeight="1">
      <c r="A76" s="376"/>
      <c r="B76" s="355"/>
      <c r="C76" s="355"/>
      <c r="D76" s="355"/>
      <c r="E76" s="346"/>
      <c r="F76" s="344"/>
      <c r="G76" s="347" t="s">
        <v>66</v>
      </c>
      <c r="H76" s="348"/>
      <c r="I76" s="348"/>
      <c r="J76" s="348"/>
      <c r="K76" s="348"/>
      <c r="L76" s="349"/>
    </row>
    <row r="77" spans="1:58" ht="18" customHeight="1">
      <c r="A77" s="376"/>
      <c r="B77" s="355"/>
      <c r="C77" s="355"/>
      <c r="D77" s="355"/>
      <c r="E77" s="346"/>
      <c r="F77" s="346"/>
      <c r="G77" s="344"/>
      <c r="H77" s="347" t="s">
        <v>203</v>
      </c>
      <c r="I77" s="348"/>
      <c r="J77" s="348"/>
      <c r="K77" s="348"/>
      <c r="L77" s="349"/>
    </row>
    <row r="78" spans="1:58" s="41" customFormat="1" ht="34.799999999999997">
      <c r="A78" s="376"/>
      <c r="B78" s="355"/>
      <c r="C78" s="355"/>
      <c r="D78" s="355"/>
      <c r="E78" s="346"/>
      <c r="F78" s="346"/>
      <c r="G78" s="346"/>
      <c r="H78" s="344"/>
      <c r="I78" s="187" t="s">
        <v>206</v>
      </c>
      <c r="J78" s="220">
        <v>5</v>
      </c>
      <c r="K78" s="220" t="s">
        <v>204</v>
      </c>
      <c r="L78" s="220">
        <v>5</v>
      </c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spans="1:58" s="41" customFormat="1" ht="69.599999999999994">
      <c r="A79" s="376"/>
      <c r="B79" s="355"/>
      <c r="C79" s="355"/>
      <c r="D79" s="355"/>
      <c r="E79" s="346"/>
      <c r="F79" s="346"/>
      <c r="G79" s="346"/>
      <c r="H79" s="346"/>
      <c r="I79" s="187" t="s">
        <v>205</v>
      </c>
      <c r="J79" s="220"/>
      <c r="K79" s="220" t="s">
        <v>204</v>
      </c>
      <c r="L79" s="220">
        <f>+L78</f>
        <v>5</v>
      </c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spans="1:58" s="41" customFormat="1" ht="34.799999999999997">
      <c r="A80" s="377"/>
      <c r="B80" s="356"/>
      <c r="C80" s="356"/>
      <c r="D80" s="356"/>
      <c r="E80" s="345"/>
      <c r="F80" s="345"/>
      <c r="G80" s="345"/>
      <c r="H80" s="345"/>
      <c r="I80" s="187" t="s">
        <v>207</v>
      </c>
      <c r="J80" s="220"/>
      <c r="K80" s="220" t="s">
        <v>204</v>
      </c>
      <c r="L80" s="220">
        <v>530</v>
      </c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2" spans="1:58" s="41" customFormat="1" ht="30" customHeight="1">
      <c r="A82" s="343" t="s">
        <v>211</v>
      </c>
      <c r="B82" s="343"/>
      <c r="C82" s="343"/>
      <c r="D82" s="343"/>
      <c r="E82" s="343"/>
      <c r="F82" s="343"/>
      <c r="G82" s="343"/>
      <c r="H82" s="343"/>
      <c r="I82" s="343"/>
      <c r="J82" s="42">
        <f t="shared" ref="J82:J83" si="8">+J83</f>
        <v>370059.6</v>
      </c>
      <c r="K82" s="42">
        <f t="shared" ref="K82:K83" si="9">+K83</f>
        <v>524791.80000000005</v>
      </c>
      <c r="L82" s="42">
        <f t="shared" ref="L82:L83" si="10">+L83</f>
        <v>605952.5</v>
      </c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spans="1:58" ht="18" customHeight="1">
      <c r="A83" s="375"/>
      <c r="B83" s="156">
        <v>1236</v>
      </c>
      <c r="C83" s="347" t="s">
        <v>201</v>
      </c>
      <c r="D83" s="348"/>
      <c r="E83" s="348"/>
      <c r="F83" s="348"/>
      <c r="G83" s="348"/>
      <c r="H83" s="348"/>
      <c r="I83" s="349"/>
      <c r="J83" s="30">
        <f t="shared" si="8"/>
        <v>370059.6</v>
      </c>
      <c r="K83" s="30">
        <f t="shared" si="9"/>
        <v>524791.80000000005</v>
      </c>
      <c r="L83" s="30">
        <f t="shared" si="10"/>
        <v>605952.5</v>
      </c>
    </row>
    <row r="84" spans="1:58" s="39" customFormat="1" ht="33" customHeight="1">
      <c r="A84" s="376"/>
      <c r="B84" s="354"/>
      <c r="C84" s="354"/>
      <c r="D84" s="156" t="s">
        <v>186</v>
      </c>
      <c r="E84" s="347" t="s">
        <v>190</v>
      </c>
      <c r="F84" s="348"/>
      <c r="G84" s="348"/>
      <c r="H84" s="348"/>
      <c r="I84" s="349"/>
      <c r="J84" s="218">
        <f>+'Հավելված N 3'!G91</f>
        <v>370059.6</v>
      </c>
      <c r="K84" s="218">
        <f>+'Հավելված N 3'!H91</f>
        <v>524791.80000000005</v>
      </c>
      <c r="L84" s="218">
        <f>+'Հավելված N 3'!I91</f>
        <v>605952.5</v>
      </c>
      <c r="AY84" s="189"/>
      <c r="AZ84" s="189"/>
      <c r="BA84" s="189"/>
      <c r="BB84" s="189"/>
      <c r="BC84" s="189"/>
      <c r="BD84" s="189"/>
      <c r="BE84" s="189"/>
      <c r="BF84" s="189"/>
    </row>
    <row r="85" spans="1:58" ht="18" customHeight="1">
      <c r="A85" s="376"/>
      <c r="B85" s="355"/>
      <c r="C85" s="355"/>
      <c r="D85" s="354"/>
      <c r="E85" s="344"/>
      <c r="F85" s="347" t="s">
        <v>202</v>
      </c>
      <c r="G85" s="348"/>
      <c r="H85" s="348"/>
      <c r="I85" s="348"/>
      <c r="J85" s="348"/>
      <c r="K85" s="348"/>
      <c r="L85" s="349"/>
    </row>
    <row r="86" spans="1:58" ht="17.7" customHeight="1">
      <c r="A86" s="376"/>
      <c r="B86" s="355"/>
      <c r="C86" s="355"/>
      <c r="D86" s="355"/>
      <c r="E86" s="346"/>
      <c r="F86" s="344"/>
      <c r="G86" s="347" t="s">
        <v>66</v>
      </c>
      <c r="H86" s="348"/>
      <c r="I86" s="348"/>
      <c r="J86" s="348"/>
      <c r="K86" s="348"/>
      <c r="L86" s="349"/>
    </row>
    <row r="87" spans="1:58" ht="18" customHeight="1">
      <c r="A87" s="376"/>
      <c r="B87" s="355"/>
      <c r="C87" s="355"/>
      <c r="D87" s="355"/>
      <c r="E87" s="346"/>
      <c r="F87" s="346"/>
      <c r="G87" s="344"/>
      <c r="H87" s="347" t="s">
        <v>203</v>
      </c>
      <c r="I87" s="348"/>
      <c r="J87" s="348"/>
      <c r="K87" s="348"/>
      <c r="L87" s="349"/>
    </row>
    <row r="88" spans="1:58" s="41" customFormat="1" ht="34.799999999999997">
      <c r="A88" s="376"/>
      <c r="B88" s="355"/>
      <c r="C88" s="355"/>
      <c r="D88" s="355"/>
      <c r="E88" s="346"/>
      <c r="F88" s="346"/>
      <c r="G88" s="346"/>
      <c r="H88" s="344"/>
      <c r="I88" s="187" t="s">
        <v>206</v>
      </c>
      <c r="J88" s="220">
        <v>5</v>
      </c>
      <c r="K88" s="220" t="s">
        <v>204</v>
      </c>
      <c r="L88" s="220">
        <v>5</v>
      </c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spans="1:58" s="41" customFormat="1" ht="69.599999999999994">
      <c r="A89" s="376"/>
      <c r="B89" s="355"/>
      <c r="C89" s="355"/>
      <c r="D89" s="355"/>
      <c r="E89" s="346"/>
      <c r="F89" s="346"/>
      <c r="G89" s="346"/>
      <c r="H89" s="346"/>
      <c r="I89" s="187" t="s">
        <v>205</v>
      </c>
      <c r="J89" s="220"/>
      <c r="K89" s="220" t="s">
        <v>204</v>
      </c>
      <c r="L89" s="220">
        <f>+L88</f>
        <v>5</v>
      </c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spans="1:58" s="41" customFormat="1" ht="34.799999999999997">
      <c r="A90" s="377"/>
      <c r="B90" s="356"/>
      <c r="C90" s="356"/>
      <c r="D90" s="356"/>
      <c r="E90" s="345"/>
      <c r="F90" s="345"/>
      <c r="G90" s="345"/>
      <c r="H90" s="345"/>
      <c r="I90" s="187" t="s">
        <v>207</v>
      </c>
      <c r="J90" s="220"/>
      <c r="K90" s="220" t="s">
        <v>204</v>
      </c>
      <c r="L90" s="220">
        <v>747</v>
      </c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2" spans="1:58" s="41" customFormat="1" ht="30" customHeight="1">
      <c r="A92" s="343" t="s">
        <v>212</v>
      </c>
      <c r="B92" s="343"/>
      <c r="C92" s="343"/>
      <c r="D92" s="343"/>
      <c r="E92" s="343"/>
      <c r="F92" s="343"/>
      <c r="G92" s="343"/>
      <c r="H92" s="343"/>
      <c r="I92" s="343"/>
      <c r="J92" s="42">
        <f t="shared" ref="J92:J93" si="11">+J93</f>
        <v>67911.600000000006</v>
      </c>
      <c r="K92" s="42">
        <f t="shared" ref="K92:K93" si="12">+K93</f>
        <v>155911.6</v>
      </c>
      <c r="L92" s="42">
        <f t="shared" ref="L92:L93" si="13">+L93</f>
        <v>221911.6</v>
      </c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spans="1:58" ht="18" customHeight="1">
      <c r="A93" s="378"/>
      <c r="B93" s="156">
        <v>1236</v>
      </c>
      <c r="C93" s="347" t="s">
        <v>201</v>
      </c>
      <c r="D93" s="348"/>
      <c r="E93" s="348"/>
      <c r="F93" s="348"/>
      <c r="G93" s="348"/>
      <c r="H93" s="348"/>
      <c r="I93" s="349"/>
      <c r="J93" s="30">
        <f t="shared" si="11"/>
        <v>67911.600000000006</v>
      </c>
      <c r="K93" s="30">
        <f t="shared" si="12"/>
        <v>155911.6</v>
      </c>
      <c r="L93" s="30">
        <f t="shared" si="13"/>
        <v>221911.6</v>
      </c>
    </row>
    <row r="94" spans="1:58" s="39" customFormat="1" ht="33" customHeight="1">
      <c r="A94" s="378"/>
      <c r="B94" s="380"/>
      <c r="C94" s="380"/>
      <c r="D94" s="156" t="s">
        <v>186</v>
      </c>
      <c r="E94" s="347" t="s">
        <v>190</v>
      </c>
      <c r="F94" s="348"/>
      <c r="G94" s="348"/>
      <c r="H94" s="348"/>
      <c r="I94" s="349"/>
      <c r="J94" s="218">
        <f>+'Հավելված N 3'!G98</f>
        <v>67911.600000000006</v>
      </c>
      <c r="K94" s="218">
        <f>+'Հավելված N 3'!H98</f>
        <v>155911.6</v>
      </c>
      <c r="L94" s="218">
        <f>+'Հավելված N 3'!I98</f>
        <v>221911.6</v>
      </c>
      <c r="AY94" s="189"/>
      <c r="AZ94" s="189"/>
      <c r="BA94" s="189"/>
      <c r="BB94" s="189"/>
      <c r="BC94" s="189"/>
      <c r="BD94" s="189"/>
      <c r="BE94" s="189"/>
      <c r="BF94" s="189"/>
    </row>
    <row r="95" spans="1:58" ht="18" customHeight="1">
      <c r="A95" s="378"/>
      <c r="B95" s="380"/>
      <c r="C95" s="380"/>
      <c r="D95" s="380"/>
      <c r="E95" s="379"/>
      <c r="F95" s="348" t="s">
        <v>202</v>
      </c>
      <c r="G95" s="348"/>
      <c r="H95" s="348"/>
      <c r="I95" s="348"/>
      <c r="J95" s="348"/>
      <c r="K95" s="348"/>
      <c r="L95" s="349"/>
    </row>
    <row r="96" spans="1:58" ht="17.7" customHeight="1">
      <c r="A96" s="378"/>
      <c r="B96" s="380"/>
      <c r="C96" s="380"/>
      <c r="D96" s="380"/>
      <c r="E96" s="379"/>
      <c r="F96" s="379"/>
      <c r="G96" s="348" t="s">
        <v>66</v>
      </c>
      <c r="H96" s="348"/>
      <c r="I96" s="348"/>
      <c r="J96" s="348"/>
      <c r="K96" s="348"/>
      <c r="L96" s="349"/>
    </row>
    <row r="97" spans="1:58" ht="18" customHeight="1">
      <c r="A97" s="378"/>
      <c r="B97" s="380"/>
      <c r="C97" s="380"/>
      <c r="D97" s="380"/>
      <c r="E97" s="379"/>
      <c r="F97" s="379"/>
      <c r="G97" s="379"/>
      <c r="H97" s="348" t="s">
        <v>203</v>
      </c>
      <c r="I97" s="348"/>
      <c r="J97" s="348"/>
      <c r="K97" s="348"/>
      <c r="L97" s="349"/>
    </row>
    <row r="98" spans="1:58" s="41" customFormat="1" ht="34.799999999999997">
      <c r="A98" s="378"/>
      <c r="B98" s="380"/>
      <c r="C98" s="380"/>
      <c r="D98" s="380"/>
      <c r="E98" s="379"/>
      <c r="F98" s="379"/>
      <c r="G98" s="379"/>
      <c r="H98" s="379"/>
      <c r="I98" s="247" t="s">
        <v>206</v>
      </c>
      <c r="J98" s="220">
        <v>2</v>
      </c>
      <c r="K98" s="220" t="s">
        <v>204</v>
      </c>
      <c r="L98" s="220">
        <v>2</v>
      </c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spans="1:58" s="41" customFormat="1" ht="69.599999999999994">
      <c r="A99" s="378"/>
      <c r="B99" s="380"/>
      <c r="C99" s="380"/>
      <c r="D99" s="380"/>
      <c r="E99" s="379"/>
      <c r="F99" s="379"/>
      <c r="G99" s="379"/>
      <c r="H99" s="379"/>
      <c r="I99" s="247" t="s">
        <v>205</v>
      </c>
      <c r="J99" s="220"/>
      <c r="K99" s="220" t="s">
        <v>204</v>
      </c>
      <c r="L99" s="220">
        <f>+L98</f>
        <v>2</v>
      </c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spans="1:58" s="41" customFormat="1" ht="34.799999999999997">
      <c r="A100" s="378"/>
      <c r="B100" s="380"/>
      <c r="C100" s="380"/>
      <c r="D100" s="380"/>
      <c r="E100" s="379"/>
      <c r="F100" s="379"/>
      <c r="G100" s="379"/>
      <c r="H100" s="379"/>
      <c r="I100" s="247" t="s">
        <v>207</v>
      </c>
      <c r="J100" s="220"/>
      <c r="K100" s="220" t="s">
        <v>204</v>
      </c>
      <c r="L100" s="220">
        <v>220</v>
      </c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spans="1:58" s="41" customFormat="1" ht="104.4">
      <c r="A101" s="378"/>
      <c r="B101" s="380"/>
      <c r="C101" s="380"/>
      <c r="D101" s="380"/>
      <c r="E101" s="379"/>
      <c r="F101" s="379"/>
      <c r="G101" s="379"/>
      <c r="H101" s="379"/>
      <c r="I101" s="247" t="s">
        <v>319</v>
      </c>
      <c r="J101" s="220">
        <v>2</v>
      </c>
      <c r="K101" s="220"/>
      <c r="L101" s="220">
        <v>2</v>
      </c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</row>
    <row r="103" spans="1:58" s="41" customFormat="1" ht="30" customHeight="1">
      <c r="A103" s="343" t="s">
        <v>213</v>
      </c>
      <c r="B103" s="343"/>
      <c r="C103" s="343"/>
      <c r="D103" s="343"/>
      <c r="E103" s="343"/>
      <c r="F103" s="343"/>
      <c r="G103" s="343"/>
      <c r="H103" s="343"/>
      <c r="I103" s="343"/>
      <c r="J103" s="42">
        <f t="shared" ref="J103:J104" si="14">+J104</f>
        <v>311312.10000000003</v>
      </c>
      <c r="K103" s="42">
        <f t="shared" ref="K103:K104" si="15">+K104</f>
        <v>441025.5</v>
      </c>
      <c r="L103" s="42">
        <f t="shared" ref="L103:L104" si="16">+L104</f>
        <v>518853.5</v>
      </c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spans="1:58" ht="18" customHeight="1">
      <c r="A104" s="375"/>
      <c r="B104" s="156">
        <v>1236</v>
      </c>
      <c r="C104" s="347" t="s">
        <v>201</v>
      </c>
      <c r="D104" s="348"/>
      <c r="E104" s="348"/>
      <c r="F104" s="348"/>
      <c r="G104" s="348"/>
      <c r="H104" s="348"/>
      <c r="I104" s="349"/>
      <c r="J104" s="30">
        <f t="shared" si="14"/>
        <v>311312.10000000003</v>
      </c>
      <c r="K104" s="30">
        <f t="shared" si="15"/>
        <v>441025.5</v>
      </c>
      <c r="L104" s="30">
        <f t="shared" si="16"/>
        <v>518853.5</v>
      </c>
    </row>
    <row r="105" spans="1:58" s="39" customFormat="1" ht="33" customHeight="1">
      <c r="A105" s="376"/>
      <c r="B105" s="354"/>
      <c r="C105" s="354"/>
      <c r="D105" s="156" t="s">
        <v>186</v>
      </c>
      <c r="E105" s="347" t="s">
        <v>190</v>
      </c>
      <c r="F105" s="348"/>
      <c r="G105" s="348"/>
      <c r="H105" s="348"/>
      <c r="I105" s="349"/>
      <c r="J105" s="218">
        <f>+'Հավելված N 3'!G109</f>
        <v>311312.10000000003</v>
      </c>
      <c r="K105" s="218">
        <f>+'Հավելված N 3'!H109</f>
        <v>441025.5</v>
      </c>
      <c r="L105" s="218">
        <f>+'Հավելված N 3'!I109</f>
        <v>518853.5</v>
      </c>
      <c r="AY105" s="189"/>
      <c r="AZ105" s="189"/>
      <c r="BA105" s="189"/>
      <c r="BB105" s="189"/>
      <c r="BC105" s="189"/>
      <c r="BD105" s="189"/>
      <c r="BE105" s="189"/>
      <c r="BF105" s="189"/>
    </row>
    <row r="106" spans="1:58" ht="18" customHeight="1">
      <c r="A106" s="376"/>
      <c r="B106" s="355"/>
      <c r="C106" s="355"/>
      <c r="D106" s="354"/>
      <c r="E106" s="344"/>
      <c r="F106" s="347" t="s">
        <v>202</v>
      </c>
      <c r="G106" s="348"/>
      <c r="H106" s="348"/>
      <c r="I106" s="348"/>
      <c r="J106" s="348"/>
      <c r="K106" s="348"/>
      <c r="L106" s="349"/>
    </row>
    <row r="107" spans="1:58" ht="17.7" customHeight="1">
      <c r="A107" s="376"/>
      <c r="B107" s="355"/>
      <c r="C107" s="355"/>
      <c r="D107" s="355"/>
      <c r="E107" s="346"/>
      <c r="F107" s="344"/>
      <c r="G107" s="347" t="s">
        <v>66</v>
      </c>
      <c r="H107" s="348"/>
      <c r="I107" s="348"/>
      <c r="J107" s="348"/>
      <c r="K107" s="348"/>
      <c r="L107" s="349"/>
    </row>
    <row r="108" spans="1:58" ht="18" customHeight="1">
      <c r="A108" s="376"/>
      <c r="B108" s="355"/>
      <c r="C108" s="355"/>
      <c r="D108" s="355"/>
      <c r="E108" s="346"/>
      <c r="F108" s="346"/>
      <c r="G108" s="344"/>
      <c r="H108" s="347" t="s">
        <v>203</v>
      </c>
      <c r="I108" s="348"/>
      <c r="J108" s="348"/>
      <c r="K108" s="348"/>
      <c r="L108" s="349"/>
    </row>
    <row r="109" spans="1:58" s="41" customFormat="1" ht="34.799999999999997">
      <c r="A109" s="376"/>
      <c r="B109" s="355"/>
      <c r="C109" s="355"/>
      <c r="D109" s="355"/>
      <c r="E109" s="346"/>
      <c r="F109" s="346"/>
      <c r="G109" s="346"/>
      <c r="H109" s="344"/>
      <c r="I109" s="187" t="s">
        <v>206</v>
      </c>
      <c r="J109" s="220">
        <v>5</v>
      </c>
      <c r="K109" s="220" t="s">
        <v>204</v>
      </c>
      <c r="L109" s="220">
        <v>5</v>
      </c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spans="1:58" s="41" customFormat="1" ht="69.599999999999994">
      <c r="A110" s="376"/>
      <c r="B110" s="355"/>
      <c r="C110" s="355"/>
      <c r="D110" s="355"/>
      <c r="E110" s="346"/>
      <c r="F110" s="346"/>
      <c r="G110" s="346"/>
      <c r="H110" s="346"/>
      <c r="I110" s="187" t="s">
        <v>205</v>
      </c>
      <c r="J110" s="220"/>
      <c r="K110" s="220" t="s">
        <v>204</v>
      </c>
      <c r="L110" s="220">
        <f>+L109</f>
        <v>5</v>
      </c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spans="1:58" s="41" customFormat="1" ht="34.799999999999997">
      <c r="A111" s="377"/>
      <c r="B111" s="356"/>
      <c r="C111" s="356"/>
      <c r="D111" s="356"/>
      <c r="E111" s="345"/>
      <c r="F111" s="345"/>
      <c r="G111" s="345"/>
      <c r="H111" s="345"/>
      <c r="I111" s="187" t="s">
        <v>207</v>
      </c>
      <c r="J111" s="220"/>
      <c r="K111" s="220" t="s">
        <v>204</v>
      </c>
      <c r="L111" s="220">
        <v>540</v>
      </c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3" spans="1:58" s="41" customFormat="1" ht="30" customHeight="1">
      <c r="A113" s="343" t="s">
        <v>214</v>
      </c>
      <c r="B113" s="343"/>
      <c r="C113" s="343"/>
      <c r="D113" s="343"/>
      <c r="E113" s="343"/>
      <c r="F113" s="343"/>
      <c r="G113" s="343"/>
      <c r="H113" s="343"/>
      <c r="I113" s="343"/>
      <c r="J113" s="42">
        <f t="shared" ref="J113:J114" si="17">+J114</f>
        <v>265676.59999999998</v>
      </c>
      <c r="K113" s="42">
        <f t="shared" ref="K113:K114" si="18">+K114</f>
        <v>566344.19999999995</v>
      </c>
      <c r="L113" s="42">
        <f t="shared" ref="L113:L114" si="19">+L114</f>
        <v>566344.19999999995</v>
      </c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spans="1:58" ht="18" customHeight="1">
      <c r="A114" s="375"/>
      <c r="B114" s="156">
        <v>1236</v>
      </c>
      <c r="C114" s="347" t="s">
        <v>201</v>
      </c>
      <c r="D114" s="348"/>
      <c r="E114" s="348"/>
      <c r="F114" s="348"/>
      <c r="G114" s="348"/>
      <c r="H114" s="348"/>
      <c r="I114" s="349"/>
      <c r="J114" s="30">
        <f t="shared" si="17"/>
        <v>265676.59999999998</v>
      </c>
      <c r="K114" s="30">
        <f t="shared" si="18"/>
        <v>566344.19999999995</v>
      </c>
      <c r="L114" s="30">
        <f t="shared" si="19"/>
        <v>566344.19999999995</v>
      </c>
    </row>
    <row r="115" spans="1:58" s="39" customFormat="1" ht="33" customHeight="1">
      <c r="A115" s="376"/>
      <c r="B115" s="354"/>
      <c r="C115" s="354"/>
      <c r="D115" s="156" t="s">
        <v>186</v>
      </c>
      <c r="E115" s="347" t="s">
        <v>190</v>
      </c>
      <c r="F115" s="348"/>
      <c r="G115" s="348"/>
      <c r="H115" s="348"/>
      <c r="I115" s="349"/>
      <c r="J115" s="218">
        <f>+'Հավելված N 3'!G116</f>
        <v>265676.59999999998</v>
      </c>
      <c r="K115" s="218">
        <f>+'Հավելված N 3'!H116</f>
        <v>566344.19999999995</v>
      </c>
      <c r="L115" s="218">
        <f>+'Հավելված N 3'!I116</f>
        <v>566344.19999999995</v>
      </c>
      <c r="AY115" s="189"/>
      <c r="AZ115" s="189"/>
      <c r="BA115" s="189"/>
      <c r="BB115" s="189"/>
      <c r="BC115" s="189"/>
      <c r="BD115" s="189"/>
      <c r="BE115" s="189"/>
      <c r="BF115" s="189"/>
    </row>
    <row r="116" spans="1:58" ht="18" customHeight="1">
      <c r="A116" s="376"/>
      <c r="B116" s="355"/>
      <c r="C116" s="355"/>
      <c r="D116" s="354"/>
      <c r="E116" s="344"/>
      <c r="F116" s="347" t="s">
        <v>202</v>
      </c>
      <c r="G116" s="348"/>
      <c r="H116" s="348"/>
      <c r="I116" s="348"/>
      <c r="J116" s="348"/>
      <c r="K116" s="348"/>
      <c r="L116" s="349"/>
    </row>
    <row r="117" spans="1:58" ht="17.7" customHeight="1">
      <c r="A117" s="376"/>
      <c r="B117" s="355"/>
      <c r="C117" s="355"/>
      <c r="D117" s="355"/>
      <c r="E117" s="346"/>
      <c r="F117" s="344"/>
      <c r="G117" s="347" t="s">
        <v>66</v>
      </c>
      <c r="H117" s="348"/>
      <c r="I117" s="348"/>
      <c r="J117" s="348"/>
      <c r="K117" s="348"/>
      <c r="L117" s="349"/>
    </row>
    <row r="118" spans="1:58" ht="18" customHeight="1">
      <c r="A118" s="376"/>
      <c r="B118" s="355"/>
      <c r="C118" s="355"/>
      <c r="D118" s="355"/>
      <c r="E118" s="346"/>
      <c r="F118" s="346"/>
      <c r="G118" s="344"/>
      <c r="H118" s="347" t="s">
        <v>203</v>
      </c>
      <c r="I118" s="348"/>
      <c r="J118" s="348"/>
      <c r="K118" s="348"/>
      <c r="L118" s="349"/>
    </row>
    <row r="119" spans="1:58" s="41" customFormat="1" ht="34.799999999999997">
      <c r="A119" s="376"/>
      <c r="B119" s="355"/>
      <c r="C119" s="355"/>
      <c r="D119" s="355"/>
      <c r="E119" s="346"/>
      <c r="F119" s="346"/>
      <c r="G119" s="346"/>
      <c r="H119" s="344"/>
      <c r="I119" s="187" t="s">
        <v>206</v>
      </c>
      <c r="J119" s="220">
        <v>4</v>
      </c>
      <c r="K119" s="220"/>
      <c r="L119" s="220">
        <v>4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spans="1:58" s="41" customFormat="1" ht="69.599999999999994">
      <c r="A120" s="376"/>
      <c r="B120" s="355"/>
      <c r="C120" s="355"/>
      <c r="D120" s="355"/>
      <c r="E120" s="346"/>
      <c r="F120" s="346"/>
      <c r="G120" s="346"/>
      <c r="H120" s="346"/>
      <c r="I120" s="187" t="s">
        <v>205</v>
      </c>
      <c r="J120" s="220"/>
      <c r="K120" s="220" t="s">
        <v>204</v>
      </c>
      <c r="L120" s="220">
        <f>+L119</f>
        <v>4</v>
      </c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spans="1:58" s="41" customFormat="1" ht="34.799999999999997">
      <c r="A121" s="377"/>
      <c r="B121" s="356"/>
      <c r="C121" s="356"/>
      <c r="D121" s="356"/>
      <c r="E121" s="345"/>
      <c r="F121" s="345"/>
      <c r="G121" s="345"/>
      <c r="H121" s="345"/>
      <c r="I121" s="187" t="s">
        <v>207</v>
      </c>
      <c r="J121" s="220"/>
      <c r="K121" s="220" t="s">
        <v>204</v>
      </c>
      <c r="L121" s="220">
        <v>546</v>
      </c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3" spans="1:58" s="41" customFormat="1" ht="30" customHeight="1">
      <c r="A123" s="343" t="s">
        <v>215</v>
      </c>
      <c r="B123" s="343"/>
      <c r="C123" s="343"/>
      <c r="D123" s="343"/>
      <c r="E123" s="343"/>
      <c r="F123" s="343"/>
      <c r="G123" s="343"/>
      <c r="H123" s="343"/>
      <c r="I123" s="343"/>
      <c r="J123" s="42">
        <f t="shared" ref="J123:J124" si="20">+J124</f>
        <v>134650.1</v>
      </c>
      <c r="K123" s="42">
        <f t="shared" ref="K123:K124" si="21">+K124</f>
        <v>191736</v>
      </c>
      <c r="L123" s="42">
        <f t="shared" ref="L123:L124" si="22">+L124</f>
        <v>204784.1</v>
      </c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spans="1:58" ht="18" customHeight="1">
      <c r="A124" s="375"/>
      <c r="B124" s="156">
        <v>1236</v>
      </c>
      <c r="C124" s="347" t="s">
        <v>201</v>
      </c>
      <c r="D124" s="348"/>
      <c r="E124" s="348"/>
      <c r="F124" s="348"/>
      <c r="G124" s="348"/>
      <c r="H124" s="348"/>
      <c r="I124" s="349"/>
      <c r="J124" s="30">
        <f t="shared" si="20"/>
        <v>134650.1</v>
      </c>
      <c r="K124" s="30">
        <f t="shared" si="21"/>
        <v>191736</v>
      </c>
      <c r="L124" s="30">
        <f t="shared" si="22"/>
        <v>204784.1</v>
      </c>
    </row>
    <row r="125" spans="1:58" s="39" customFormat="1" ht="33" customHeight="1">
      <c r="A125" s="376"/>
      <c r="B125" s="354"/>
      <c r="C125" s="354"/>
      <c r="D125" s="156" t="s">
        <v>186</v>
      </c>
      <c r="E125" s="347" t="s">
        <v>190</v>
      </c>
      <c r="F125" s="348"/>
      <c r="G125" s="348"/>
      <c r="H125" s="348"/>
      <c r="I125" s="349"/>
      <c r="J125" s="218">
        <f>+'Հավելված N 3'!G123</f>
        <v>134650.1</v>
      </c>
      <c r="K125" s="218">
        <f>+'Հավելված N 3'!H123</f>
        <v>191736</v>
      </c>
      <c r="L125" s="218">
        <f>+'Հավելված N 3'!I123</f>
        <v>204784.1</v>
      </c>
      <c r="AY125" s="189"/>
      <c r="AZ125" s="189"/>
      <c r="BA125" s="189"/>
      <c r="BB125" s="189"/>
      <c r="BC125" s="189"/>
      <c r="BD125" s="189"/>
      <c r="BE125" s="189"/>
      <c r="BF125" s="189"/>
    </row>
    <row r="126" spans="1:58" ht="18" customHeight="1">
      <c r="A126" s="376"/>
      <c r="B126" s="355"/>
      <c r="C126" s="355"/>
      <c r="D126" s="354"/>
      <c r="E126" s="344"/>
      <c r="F126" s="347" t="s">
        <v>202</v>
      </c>
      <c r="G126" s="348"/>
      <c r="H126" s="348"/>
      <c r="I126" s="348"/>
      <c r="J126" s="348"/>
      <c r="K126" s="348"/>
      <c r="L126" s="349"/>
    </row>
    <row r="127" spans="1:58" ht="17.7" customHeight="1">
      <c r="A127" s="376"/>
      <c r="B127" s="355"/>
      <c r="C127" s="355"/>
      <c r="D127" s="355"/>
      <c r="E127" s="346"/>
      <c r="F127" s="344"/>
      <c r="G127" s="347" t="s">
        <v>66</v>
      </c>
      <c r="H127" s="348"/>
      <c r="I127" s="348"/>
      <c r="J127" s="348"/>
      <c r="K127" s="348"/>
      <c r="L127" s="349"/>
    </row>
    <row r="128" spans="1:58" ht="18" customHeight="1">
      <c r="A128" s="376"/>
      <c r="B128" s="355"/>
      <c r="C128" s="355"/>
      <c r="D128" s="355"/>
      <c r="E128" s="346"/>
      <c r="F128" s="346"/>
      <c r="G128" s="344"/>
      <c r="H128" s="347" t="s">
        <v>203</v>
      </c>
      <c r="I128" s="348"/>
      <c r="J128" s="348"/>
      <c r="K128" s="348"/>
      <c r="L128" s="349"/>
    </row>
    <row r="129" spans="1:58" s="41" customFormat="1" ht="34.799999999999997">
      <c r="A129" s="376"/>
      <c r="B129" s="355"/>
      <c r="C129" s="355"/>
      <c r="D129" s="355"/>
      <c r="E129" s="346"/>
      <c r="F129" s="346"/>
      <c r="G129" s="346"/>
      <c r="H129" s="344"/>
      <c r="I129" s="187" t="s">
        <v>206</v>
      </c>
      <c r="J129" s="220">
        <v>3</v>
      </c>
      <c r="K129" s="220"/>
      <c r="L129" s="220">
        <v>3</v>
      </c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spans="1:58" s="41" customFormat="1" ht="69.599999999999994">
      <c r="A130" s="376"/>
      <c r="B130" s="355"/>
      <c r="C130" s="355"/>
      <c r="D130" s="355"/>
      <c r="E130" s="346"/>
      <c r="F130" s="346"/>
      <c r="G130" s="346"/>
      <c r="H130" s="346"/>
      <c r="I130" s="187" t="s">
        <v>205</v>
      </c>
      <c r="J130" s="220"/>
      <c r="K130" s="220" t="s">
        <v>204</v>
      </c>
      <c r="L130" s="220">
        <f>+L129</f>
        <v>3</v>
      </c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spans="1:58" s="41" customFormat="1" ht="34.799999999999997">
      <c r="A131" s="377"/>
      <c r="B131" s="356"/>
      <c r="C131" s="356"/>
      <c r="D131" s="356"/>
      <c r="E131" s="345"/>
      <c r="F131" s="345"/>
      <c r="G131" s="345"/>
      <c r="H131" s="345"/>
      <c r="I131" s="187" t="s">
        <v>207</v>
      </c>
      <c r="J131" s="220"/>
      <c r="K131" s="220" t="s">
        <v>204</v>
      </c>
      <c r="L131" s="220">
        <v>540</v>
      </c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3" spans="1:58" s="41" customFormat="1" ht="30" customHeight="1">
      <c r="A133" s="343" t="s">
        <v>216</v>
      </c>
      <c r="B133" s="343"/>
      <c r="C133" s="343"/>
      <c r="D133" s="343"/>
      <c r="E133" s="343"/>
      <c r="F133" s="343"/>
      <c r="G133" s="343"/>
      <c r="H133" s="343"/>
      <c r="I133" s="343"/>
      <c r="J133" s="42">
        <f t="shared" ref="J133:J134" si="23">+J134</f>
        <v>119021</v>
      </c>
      <c r="K133" s="42">
        <f t="shared" ref="K133:K134" si="24">+K134</f>
        <v>170029.9</v>
      </c>
      <c r="L133" s="42">
        <f t="shared" ref="L133:L134" si="25">+L134</f>
        <v>170029.9</v>
      </c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spans="1:58" ht="18" customHeight="1">
      <c r="A134" s="375"/>
      <c r="B134" s="156">
        <v>1236</v>
      </c>
      <c r="C134" s="347" t="s">
        <v>201</v>
      </c>
      <c r="D134" s="348"/>
      <c r="E134" s="348"/>
      <c r="F134" s="348"/>
      <c r="G134" s="348"/>
      <c r="H134" s="348"/>
      <c r="I134" s="349"/>
      <c r="J134" s="30">
        <f t="shared" si="23"/>
        <v>119021</v>
      </c>
      <c r="K134" s="30">
        <f t="shared" si="24"/>
        <v>170029.9</v>
      </c>
      <c r="L134" s="30">
        <f t="shared" si="25"/>
        <v>170029.9</v>
      </c>
    </row>
    <row r="135" spans="1:58" s="39" customFormat="1" ht="33" customHeight="1">
      <c r="A135" s="376"/>
      <c r="B135" s="354"/>
      <c r="C135" s="354"/>
      <c r="D135" s="156" t="s">
        <v>186</v>
      </c>
      <c r="E135" s="347" t="s">
        <v>190</v>
      </c>
      <c r="F135" s="348"/>
      <c r="G135" s="348"/>
      <c r="H135" s="348"/>
      <c r="I135" s="349"/>
      <c r="J135" s="218">
        <f>+'Հավելված N 3'!G130</f>
        <v>119021</v>
      </c>
      <c r="K135" s="218">
        <f>+'Հավելված N 3'!H130</f>
        <v>170029.9</v>
      </c>
      <c r="L135" s="218">
        <f>+'Հավելված N 3'!I130</f>
        <v>170029.9</v>
      </c>
      <c r="AY135" s="189"/>
      <c r="AZ135" s="189"/>
      <c r="BA135" s="189"/>
      <c r="BB135" s="189"/>
      <c r="BC135" s="189"/>
      <c r="BD135" s="189"/>
      <c r="BE135" s="189"/>
      <c r="BF135" s="189"/>
    </row>
    <row r="136" spans="1:58" ht="18" customHeight="1">
      <c r="A136" s="376"/>
      <c r="B136" s="355"/>
      <c r="C136" s="355"/>
      <c r="D136" s="354"/>
      <c r="E136" s="344"/>
      <c r="F136" s="347" t="s">
        <v>202</v>
      </c>
      <c r="G136" s="348"/>
      <c r="H136" s="348"/>
      <c r="I136" s="348"/>
      <c r="J136" s="348"/>
      <c r="K136" s="348"/>
      <c r="L136" s="349"/>
    </row>
    <row r="137" spans="1:58" ht="17.7" customHeight="1">
      <c r="A137" s="376"/>
      <c r="B137" s="355"/>
      <c r="C137" s="355"/>
      <c r="D137" s="355"/>
      <c r="E137" s="346"/>
      <c r="F137" s="344"/>
      <c r="G137" s="347" t="s">
        <v>66</v>
      </c>
      <c r="H137" s="348"/>
      <c r="I137" s="348"/>
      <c r="J137" s="348"/>
      <c r="K137" s="348"/>
      <c r="L137" s="349"/>
    </row>
    <row r="138" spans="1:58" ht="18" customHeight="1">
      <c r="A138" s="376"/>
      <c r="B138" s="355"/>
      <c r="C138" s="355"/>
      <c r="D138" s="355"/>
      <c r="E138" s="346"/>
      <c r="F138" s="346"/>
      <c r="G138" s="344"/>
      <c r="H138" s="347" t="s">
        <v>203</v>
      </c>
      <c r="I138" s="348"/>
      <c r="J138" s="348"/>
      <c r="K138" s="348"/>
      <c r="L138" s="349"/>
    </row>
    <row r="139" spans="1:58" s="41" customFormat="1" ht="34.799999999999997">
      <c r="A139" s="376"/>
      <c r="B139" s="355"/>
      <c r="C139" s="355"/>
      <c r="D139" s="355"/>
      <c r="E139" s="346"/>
      <c r="F139" s="346"/>
      <c r="G139" s="346"/>
      <c r="H139" s="344"/>
      <c r="I139" s="187" t="s">
        <v>206</v>
      </c>
      <c r="J139" s="220">
        <v>3</v>
      </c>
      <c r="K139" s="220"/>
      <c r="L139" s="220">
        <v>3</v>
      </c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spans="1:58" s="41" customFormat="1" ht="69.599999999999994">
      <c r="A140" s="376"/>
      <c r="B140" s="355"/>
      <c r="C140" s="355"/>
      <c r="D140" s="355"/>
      <c r="E140" s="346"/>
      <c r="F140" s="346"/>
      <c r="G140" s="346"/>
      <c r="H140" s="346"/>
      <c r="I140" s="187" t="s">
        <v>205</v>
      </c>
      <c r="J140" s="220"/>
      <c r="K140" s="220" t="s">
        <v>204</v>
      </c>
      <c r="L140" s="220">
        <f>+L139</f>
        <v>3</v>
      </c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spans="1:58" s="41" customFormat="1" ht="34.799999999999997">
      <c r="A141" s="377"/>
      <c r="B141" s="356"/>
      <c r="C141" s="356"/>
      <c r="D141" s="356"/>
      <c r="E141" s="345"/>
      <c r="F141" s="345"/>
      <c r="G141" s="345"/>
      <c r="H141" s="345"/>
      <c r="I141" s="187" t="s">
        <v>207</v>
      </c>
      <c r="J141" s="220"/>
      <c r="K141" s="220" t="s">
        <v>204</v>
      </c>
      <c r="L141" s="220">
        <v>513</v>
      </c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3" spans="1:58" s="41" customFormat="1" ht="30" customHeight="1">
      <c r="A143" s="343" t="s">
        <v>217</v>
      </c>
      <c r="B143" s="343"/>
      <c r="C143" s="343"/>
      <c r="D143" s="343"/>
      <c r="E143" s="343"/>
      <c r="F143" s="343"/>
      <c r="G143" s="343"/>
      <c r="H143" s="343"/>
      <c r="I143" s="343"/>
      <c r="J143" s="42">
        <f t="shared" ref="J143:J144" si="26">+J144</f>
        <v>102798.39999999999</v>
      </c>
      <c r="K143" s="42">
        <f t="shared" ref="K143:K144" si="27">+K144</f>
        <v>146138.29999999999</v>
      </c>
      <c r="L143" s="42">
        <f t="shared" ref="L143:L144" si="28">+L144</f>
        <v>161185.5</v>
      </c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spans="1:58" ht="18" customHeight="1">
      <c r="A144" s="375"/>
      <c r="B144" s="156">
        <v>1236</v>
      </c>
      <c r="C144" s="347" t="s">
        <v>201</v>
      </c>
      <c r="D144" s="348"/>
      <c r="E144" s="348"/>
      <c r="F144" s="348"/>
      <c r="G144" s="348"/>
      <c r="H144" s="348"/>
      <c r="I144" s="349"/>
      <c r="J144" s="30">
        <f t="shared" si="26"/>
        <v>102798.39999999999</v>
      </c>
      <c r="K144" s="30">
        <f t="shared" si="27"/>
        <v>146138.29999999999</v>
      </c>
      <c r="L144" s="30">
        <f t="shared" si="28"/>
        <v>161185.5</v>
      </c>
    </row>
    <row r="145" spans="1:58" s="39" customFormat="1" ht="33" customHeight="1">
      <c r="A145" s="376"/>
      <c r="B145" s="354"/>
      <c r="C145" s="354"/>
      <c r="D145" s="156" t="s">
        <v>186</v>
      </c>
      <c r="E145" s="347" t="s">
        <v>190</v>
      </c>
      <c r="F145" s="348"/>
      <c r="G145" s="348"/>
      <c r="H145" s="348"/>
      <c r="I145" s="349"/>
      <c r="J145" s="218">
        <f>+'Հավելված N 3'!G137</f>
        <v>102798.39999999999</v>
      </c>
      <c r="K145" s="218">
        <f>+'Հավելված N 3'!H137</f>
        <v>146138.29999999999</v>
      </c>
      <c r="L145" s="218">
        <f>+'Հավելված N 3'!I137</f>
        <v>161185.5</v>
      </c>
      <c r="AY145" s="189"/>
      <c r="AZ145" s="189"/>
      <c r="BA145" s="189"/>
      <c r="BB145" s="189"/>
      <c r="BC145" s="189"/>
      <c r="BD145" s="189"/>
      <c r="BE145" s="189"/>
      <c r="BF145" s="189"/>
    </row>
    <row r="146" spans="1:58" ht="18" customHeight="1">
      <c r="A146" s="376"/>
      <c r="B146" s="355"/>
      <c r="C146" s="355"/>
      <c r="D146" s="354"/>
      <c r="E146" s="344"/>
      <c r="F146" s="347" t="s">
        <v>202</v>
      </c>
      <c r="G146" s="348"/>
      <c r="H146" s="348"/>
      <c r="I146" s="348"/>
      <c r="J146" s="348"/>
      <c r="K146" s="348"/>
      <c r="L146" s="349"/>
    </row>
    <row r="147" spans="1:58" ht="17.7" customHeight="1">
      <c r="A147" s="376"/>
      <c r="B147" s="355"/>
      <c r="C147" s="355"/>
      <c r="D147" s="355"/>
      <c r="E147" s="346"/>
      <c r="F147" s="344"/>
      <c r="G147" s="347" t="s">
        <v>66</v>
      </c>
      <c r="H147" s="348"/>
      <c r="I147" s="348"/>
      <c r="J147" s="348"/>
      <c r="K147" s="348"/>
      <c r="L147" s="349"/>
    </row>
    <row r="148" spans="1:58" ht="18" customHeight="1">
      <c r="A148" s="376"/>
      <c r="B148" s="355"/>
      <c r="C148" s="355"/>
      <c r="D148" s="355"/>
      <c r="E148" s="346"/>
      <c r="F148" s="346"/>
      <c r="G148" s="344"/>
      <c r="H148" s="347" t="s">
        <v>203</v>
      </c>
      <c r="I148" s="348"/>
      <c r="J148" s="348"/>
      <c r="K148" s="348"/>
      <c r="L148" s="349"/>
    </row>
    <row r="149" spans="1:58" s="41" customFormat="1" ht="34.799999999999997">
      <c r="A149" s="376"/>
      <c r="B149" s="355"/>
      <c r="C149" s="355"/>
      <c r="D149" s="355"/>
      <c r="E149" s="346"/>
      <c r="F149" s="346"/>
      <c r="G149" s="346"/>
      <c r="H149" s="344"/>
      <c r="I149" s="187" t="s">
        <v>206</v>
      </c>
      <c r="J149" s="220">
        <v>2</v>
      </c>
      <c r="K149" s="220"/>
      <c r="L149" s="220">
        <v>2</v>
      </c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spans="1:58" s="41" customFormat="1" ht="69.599999999999994">
      <c r="A150" s="376"/>
      <c r="B150" s="355"/>
      <c r="C150" s="355"/>
      <c r="D150" s="355"/>
      <c r="E150" s="346"/>
      <c r="F150" s="346"/>
      <c r="G150" s="346"/>
      <c r="H150" s="346"/>
      <c r="I150" s="187" t="s">
        <v>205</v>
      </c>
      <c r="J150" s="220"/>
      <c r="K150" s="220" t="s">
        <v>204</v>
      </c>
      <c r="L150" s="220">
        <f>+L149</f>
        <v>2</v>
      </c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spans="1:58" s="41" customFormat="1" ht="34.799999999999997">
      <c r="A151" s="377"/>
      <c r="B151" s="356"/>
      <c r="C151" s="356"/>
      <c r="D151" s="356"/>
      <c r="E151" s="345"/>
      <c r="F151" s="345"/>
      <c r="G151" s="345"/>
      <c r="H151" s="345"/>
      <c r="I151" s="187" t="s">
        <v>207</v>
      </c>
      <c r="J151" s="220"/>
      <c r="K151" s="220" t="s">
        <v>204</v>
      </c>
      <c r="L151" s="220">
        <v>125</v>
      </c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3" spans="1:58" s="41" customFormat="1" ht="30" customHeight="1">
      <c r="A153" s="343" t="s">
        <v>218</v>
      </c>
      <c r="B153" s="343"/>
      <c r="C153" s="343"/>
      <c r="D153" s="343"/>
      <c r="E153" s="343"/>
      <c r="F153" s="343"/>
      <c r="G153" s="343"/>
      <c r="H153" s="343"/>
      <c r="I153" s="343"/>
      <c r="J153" s="42">
        <f t="shared" ref="J153:J154" si="29">+J154</f>
        <v>209564.9</v>
      </c>
      <c r="K153" s="42">
        <f t="shared" ref="K153:K154" si="30">+K154</f>
        <v>284469.3</v>
      </c>
      <c r="L153" s="42">
        <f t="shared" ref="L153:L154" si="31">+L154</f>
        <v>349274.8</v>
      </c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spans="1:58" ht="18" customHeight="1">
      <c r="A154" s="375"/>
      <c r="B154" s="156">
        <v>1236</v>
      </c>
      <c r="C154" s="347" t="s">
        <v>201</v>
      </c>
      <c r="D154" s="348"/>
      <c r="E154" s="348"/>
      <c r="F154" s="348"/>
      <c r="G154" s="348"/>
      <c r="H154" s="348"/>
      <c r="I154" s="349"/>
      <c r="J154" s="30">
        <f t="shared" si="29"/>
        <v>209564.9</v>
      </c>
      <c r="K154" s="30">
        <f t="shared" si="30"/>
        <v>284469.3</v>
      </c>
      <c r="L154" s="30">
        <f t="shared" si="31"/>
        <v>349274.8</v>
      </c>
    </row>
    <row r="155" spans="1:58" s="39" customFormat="1" ht="33" customHeight="1">
      <c r="A155" s="376"/>
      <c r="B155" s="354"/>
      <c r="C155" s="354"/>
      <c r="D155" s="156" t="s">
        <v>186</v>
      </c>
      <c r="E155" s="347" t="s">
        <v>190</v>
      </c>
      <c r="F155" s="348"/>
      <c r="G155" s="348"/>
      <c r="H155" s="348"/>
      <c r="I155" s="349"/>
      <c r="J155" s="218">
        <f>+'Հավելված N 3'!G144</f>
        <v>209564.9</v>
      </c>
      <c r="K155" s="218">
        <f>+'Հավելված N 3'!H144</f>
        <v>284469.3</v>
      </c>
      <c r="L155" s="218">
        <f>+'Հավելված N 3'!I144</f>
        <v>349274.8</v>
      </c>
      <c r="AY155" s="189"/>
      <c r="AZ155" s="189"/>
      <c r="BA155" s="189"/>
      <c r="BB155" s="189"/>
      <c r="BC155" s="189"/>
      <c r="BD155" s="189"/>
      <c r="BE155" s="189"/>
      <c r="BF155" s="189"/>
    </row>
    <row r="156" spans="1:58" ht="18" customHeight="1">
      <c r="A156" s="376"/>
      <c r="B156" s="355"/>
      <c r="C156" s="355"/>
      <c r="D156" s="354"/>
      <c r="E156" s="344"/>
      <c r="F156" s="347" t="s">
        <v>202</v>
      </c>
      <c r="G156" s="348"/>
      <c r="H156" s="348"/>
      <c r="I156" s="348"/>
      <c r="J156" s="348"/>
      <c r="K156" s="348"/>
      <c r="L156" s="349"/>
    </row>
    <row r="157" spans="1:58" ht="17.7" customHeight="1">
      <c r="A157" s="376"/>
      <c r="B157" s="355"/>
      <c r="C157" s="355"/>
      <c r="D157" s="355"/>
      <c r="E157" s="346"/>
      <c r="F157" s="344"/>
      <c r="G157" s="347" t="s">
        <v>66</v>
      </c>
      <c r="H157" s="348"/>
      <c r="I157" s="348"/>
      <c r="J157" s="348"/>
      <c r="K157" s="348"/>
      <c r="L157" s="349"/>
    </row>
    <row r="158" spans="1:58" ht="18" customHeight="1">
      <c r="A158" s="376"/>
      <c r="B158" s="355"/>
      <c r="C158" s="355"/>
      <c r="D158" s="355"/>
      <c r="E158" s="346"/>
      <c r="F158" s="346"/>
      <c r="G158" s="344"/>
      <c r="H158" s="347" t="s">
        <v>203</v>
      </c>
      <c r="I158" s="348"/>
      <c r="J158" s="348"/>
      <c r="K158" s="348"/>
      <c r="L158" s="349"/>
    </row>
    <row r="159" spans="1:58" s="41" customFormat="1" ht="34.799999999999997">
      <c r="A159" s="376"/>
      <c r="B159" s="355"/>
      <c r="C159" s="355"/>
      <c r="D159" s="355"/>
      <c r="E159" s="346"/>
      <c r="F159" s="346"/>
      <c r="G159" s="346"/>
      <c r="H159" s="344"/>
      <c r="I159" s="187" t="s">
        <v>206</v>
      </c>
      <c r="J159" s="220">
        <v>3</v>
      </c>
      <c r="K159" s="220"/>
      <c r="L159" s="220">
        <v>3</v>
      </c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spans="1:58" s="41" customFormat="1" ht="69.599999999999994">
      <c r="A160" s="376"/>
      <c r="B160" s="355"/>
      <c r="C160" s="355"/>
      <c r="D160" s="355"/>
      <c r="E160" s="346"/>
      <c r="F160" s="346"/>
      <c r="G160" s="346"/>
      <c r="H160" s="346"/>
      <c r="I160" s="187" t="s">
        <v>205</v>
      </c>
      <c r="J160" s="220"/>
      <c r="K160" s="220" t="s">
        <v>204</v>
      </c>
      <c r="L160" s="220">
        <f>+L159</f>
        <v>3</v>
      </c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spans="1:58" s="41" customFormat="1" ht="34.799999999999997">
      <c r="A161" s="377"/>
      <c r="B161" s="356"/>
      <c r="C161" s="356"/>
      <c r="D161" s="356"/>
      <c r="E161" s="345"/>
      <c r="F161" s="345"/>
      <c r="G161" s="345"/>
      <c r="H161" s="345"/>
      <c r="I161" s="187" t="s">
        <v>207</v>
      </c>
      <c r="J161" s="220"/>
      <c r="K161" s="220" t="s">
        <v>204</v>
      </c>
      <c r="L161" s="220">
        <v>380</v>
      </c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3" spans="1:58" s="41" customFormat="1" ht="30" customHeight="1">
      <c r="A163" s="343" t="s">
        <v>219</v>
      </c>
      <c r="B163" s="343"/>
      <c r="C163" s="343"/>
      <c r="D163" s="343"/>
      <c r="E163" s="343"/>
      <c r="F163" s="343"/>
      <c r="G163" s="343"/>
      <c r="H163" s="343"/>
      <c r="I163" s="343"/>
      <c r="J163" s="42">
        <f t="shared" ref="J163:J164" si="32">+J164</f>
        <v>266429.5</v>
      </c>
      <c r="K163" s="42">
        <f t="shared" ref="K163:K164" si="33">+K164</f>
        <v>378507</v>
      </c>
      <c r="L163" s="42">
        <f t="shared" ref="L163:L164" si="34">+L164</f>
        <v>422743.60000000003</v>
      </c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spans="1:58" ht="18" customHeight="1">
      <c r="A164" s="375"/>
      <c r="B164" s="156">
        <v>1236</v>
      </c>
      <c r="C164" s="347" t="s">
        <v>201</v>
      </c>
      <c r="D164" s="348"/>
      <c r="E164" s="348"/>
      <c r="F164" s="348"/>
      <c r="G164" s="348"/>
      <c r="H164" s="348"/>
      <c r="I164" s="349"/>
      <c r="J164" s="30">
        <f t="shared" si="32"/>
        <v>266429.5</v>
      </c>
      <c r="K164" s="30">
        <f t="shared" si="33"/>
        <v>378507</v>
      </c>
      <c r="L164" s="30">
        <f t="shared" si="34"/>
        <v>422743.60000000003</v>
      </c>
    </row>
    <row r="165" spans="1:58" s="39" customFormat="1" ht="33" customHeight="1">
      <c r="A165" s="376"/>
      <c r="B165" s="354"/>
      <c r="C165" s="354"/>
      <c r="D165" s="156" t="s">
        <v>186</v>
      </c>
      <c r="E165" s="347" t="s">
        <v>190</v>
      </c>
      <c r="F165" s="348"/>
      <c r="G165" s="348"/>
      <c r="H165" s="348"/>
      <c r="I165" s="349"/>
      <c r="J165" s="218">
        <f>+'Հավելված N 3'!G151</f>
        <v>266429.5</v>
      </c>
      <c r="K165" s="218">
        <f>+'Հավելված N 3'!H151</f>
        <v>378507</v>
      </c>
      <c r="L165" s="218">
        <f>+'Հավելված N 3'!I151</f>
        <v>422743.60000000003</v>
      </c>
      <c r="AY165" s="189"/>
      <c r="AZ165" s="189"/>
      <c r="BA165" s="189"/>
      <c r="BB165" s="189"/>
      <c r="BC165" s="189"/>
      <c r="BD165" s="189"/>
      <c r="BE165" s="189"/>
      <c r="BF165" s="189"/>
    </row>
    <row r="166" spans="1:58" ht="18" customHeight="1">
      <c r="A166" s="376"/>
      <c r="B166" s="355"/>
      <c r="C166" s="355"/>
      <c r="D166" s="354"/>
      <c r="E166" s="344"/>
      <c r="F166" s="347" t="s">
        <v>202</v>
      </c>
      <c r="G166" s="348"/>
      <c r="H166" s="348"/>
      <c r="I166" s="348"/>
      <c r="J166" s="348"/>
      <c r="K166" s="348"/>
      <c r="L166" s="349"/>
    </row>
    <row r="167" spans="1:58" ht="17.7" customHeight="1">
      <c r="A167" s="376"/>
      <c r="B167" s="355"/>
      <c r="C167" s="355"/>
      <c r="D167" s="355"/>
      <c r="E167" s="346"/>
      <c r="F167" s="344"/>
      <c r="G167" s="347" t="s">
        <v>66</v>
      </c>
      <c r="H167" s="348"/>
      <c r="I167" s="348"/>
      <c r="J167" s="348"/>
      <c r="K167" s="348"/>
      <c r="L167" s="349"/>
    </row>
    <row r="168" spans="1:58" ht="18" customHeight="1">
      <c r="A168" s="376"/>
      <c r="B168" s="355"/>
      <c r="C168" s="355"/>
      <c r="D168" s="355"/>
      <c r="E168" s="346"/>
      <c r="F168" s="346"/>
      <c r="G168" s="344"/>
      <c r="H168" s="347" t="s">
        <v>203</v>
      </c>
      <c r="I168" s="348"/>
      <c r="J168" s="348"/>
      <c r="K168" s="348"/>
      <c r="L168" s="349"/>
    </row>
    <row r="169" spans="1:58" s="41" customFormat="1" ht="34.799999999999997">
      <c r="A169" s="376"/>
      <c r="B169" s="355"/>
      <c r="C169" s="355"/>
      <c r="D169" s="355"/>
      <c r="E169" s="346"/>
      <c r="F169" s="346"/>
      <c r="G169" s="346"/>
      <c r="H169" s="344"/>
      <c r="I169" s="187" t="s">
        <v>206</v>
      </c>
      <c r="J169" s="220">
        <v>5</v>
      </c>
      <c r="K169" s="220"/>
      <c r="L169" s="220">
        <v>5</v>
      </c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spans="1:58" s="41" customFormat="1" ht="69.599999999999994">
      <c r="A170" s="376"/>
      <c r="B170" s="355"/>
      <c r="C170" s="355"/>
      <c r="D170" s="355"/>
      <c r="E170" s="346"/>
      <c r="F170" s="346"/>
      <c r="G170" s="346"/>
      <c r="H170" s="346"/>
      <c r="I170" s="187" t="s">
        <v>205</v>
      </c>
      <c r="J170" s="220"/>
      <c r="K170" s="220" t="s">
        <v>204</v>
      </c>
      <c r="L170" s="220">
        <f>+L169</f>
        <v>5</v>
      </c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spans="1:58" s="41" customFormat="1" ht="34.799999999999997">
      <c r="A171" s="377"/>
      <c r="B171" s="356"/>
      <c r="C171" s="356"/>
      <c r="D171" s="356"/>
      <c r="E171" s="345"/>
      <c r="F171" s="345"/>
      <c r="G171" s="345"/>
      <c r="H171" s="345"/>
      <c r="I171" s="187" t="s">
        <v>207</v>
      </c>
      <c r="J171" s="220"/>
      <c r="K171" s="220" t="s">
        <v>204</v>
      </c>
      <c r="L171" s="220">
        <v>565</v>
      </c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</sheetData>
  <mergeCells count="259">
    <mergeCell ref="B15:B18"/>
    <mergeCell ref="E26:E28"/>
    <mergeCell ref="F26:L26"/>
    <mergeCell ref="F27:F28"/>
    <mergeCell ref="G27:L27"/>
    <mergeCell ref="H28:L28"/>
    <mergeCell ref="E39:I39"/>
    <mergeCell ref="F40:L40"/>
    <mergeCell ref="G41:L41"/>
    <mergeCell ref="F22:F23"/>
    <mergeCell ref="G22:L22"/>
    <mergeCell ref="H23:L23"/>
    <mergeCell ref="C14:I14"/>
    <mergeCell ref="E15:I15"/>
    <mergeCell ref="F16:L16"/>
    <mergeCell ref="G17:L17"/>
    <mergeCell ref="H18:L18"/>
    <mergeCell ref="F17:F18"/>
    <mergeCell ref="E16:E18"/>
    <mergeCell ref="D16:D18"/>
    <mergeCell ref="C15:C18"/>
    <mergeCell ref="A65:I65"/>
    <mergeCell ref="C66:I66"/>
    <mergeCell ref="E67:I67"/>
    <mergeCell ref="F68:L68"/>
    <mergeCell ref="H42:L42"/>
    <mergeCell ref="C25:C42"/>
    <mergeCell ref="B25:B42"/>
    <mergeCell ref="E34:I34"/>
    <mergeCell ref="F35:L35"/>
    <mergeCell ref="G36:L36"/>
    <mergeCell ref="H37:L37"/>
    <mergeCell ref="G37:G38"/>
    <mergeCell ref="F36:F38"/>
    <mergeCell ref="E35:E38"/>
    <mergeCell ref="D35:D38"/>
    <mergeCell ref="E56:I56"/>
    <mergeCell ref="A44:I44"/>
    <mergeCell ref="C51:I51"/>
    <mergeCell ref="E52:I52"/>
    <mergeCell ref="D53:D55"/>
    <mergeCell ref="E53:E55"/>
    <mergeCell ref="F53:L53"/>
    <mergeCell ref="G69:L69"/>
    <mergeCell ref="H70:L70"/>
    <mergeCell ref="F69:F70"/>
    <mergeCell ref="E68:E70"/>
    <mergeCell ref="D68:D70"/>
    <mergeCell ref="C67:C70"/>
    <mergeCell ref="B67:B70"/>
    <mergeCell ref="A66:A70"/>
    <mergeCell ref="D40:D42"/>
    <mergeCell ref="E40:E42"/>
    <mergeCell ref="F47:L47"/>
    <mergeCell ref="F41:F42"/>
    <mergeCell ref="G48:L48"/>
    <mergeCell ref="H49:L49"/>
    <mergeCell ref="A45:A63"/>
    <mergeCell ref="G49:G50"/>
    <mergeCell ref="F48:F50"/>
    <mergeCell ref="A14:A42"/>
    <mergeCell ref="E47:E50"/>
    <mergeCell ref="D47:D50"/>
    <mergeCell ref="C46:C50"/>
    <mergeCell ref="B46:B50"/>
    <mergeCell ref="E25:I25"/>
    <mergeCell ref="D26:D28"/>
    <mergeCell ref="B52:B63"/>
    <mergeCell ref="G58:L58"/>
    <mergeCell ref="H59:L59"/>
    <mergeCell ref="E60:I60"/>
    <mergeCell ref="D61:D63"/>
    <mergeCell ref="E61:E63"/>
    <mergeCell ref="F61:L61"/>
    <mergeCell ref="F62:F63"/>
    <mergeCell ref="G62:L62"/>
    <mergeCell ref="H63:L63"/>
    <mergeCell ref="F57:L57"/>
    <mergeCell ref="F58:F59"/>
    <mergeCell ref="C45:I45"/>
    <mergeCell ref="E46:I46"/>
    <mergeCell ref="D57:D59"/>
    <mergeCell ref="E57:E59"/>
    <mergeCell ref="C24:I24"/>
    <mergeCell ref="E29:I29"/>
    <mergeCell ref="D30:D33"/>
    <mergeCell ref="E30:E33"/>
    <mergeCell ref="F30:L30"/>
    <mergeCell ref="F31:F33"/>
    <mergeCell ref="G31:L31"/>
    <mergeCell ref="G32:G33"/>
    <mergeCell ref="H32:L32"/>
    <mergeCell ref="F54:F55"/>
    <mergeCell ref="G54:L54"/>
    <mergeCell ref="H55:L55"/>
    <mergeCell ref="C52:C63"/>
    <mergeCell ref="G167:L167"/>
    <mergeCell ref="G168:G171"/>
    <mergeCell ref="H168:L168"/>
    <mergeCell ref="H169:H171"/>
    <mergeCell ref="A163:I163"/>
    <mergeCell ref="A164:A171"/>
    <mergeCell ref="C164:I164"/>
    <mergeCell ref="B165:B171"/>
    <mergeCell ref="C165:C171"/>
    <mergeCell ref="E165:I165"/>
    <mergeCell ref="D166:D171"/>
    <mergeCell ref="E166:E171"/>
    <mergeCell ref="F166:L166"/>
    <mergeCell ref="F167:F171"/>
    <mergeCell ref="D156:D161"/>
    <mergeCell ref="E156:E161"/>
    <mergeCell ref="F156:L156"/>
    <mergeCell ref="F157:F161"/>
    <mergeCell ref="G157:L157"/>
    <mergeCell ref="G158:G161"/>
    <mergeCell ref="H158:L158"/>
    <mergeCell ref="H159:H161"/>
    <mergeCell ref="G147:L147"/>
    <mergeCell ref="G148:G151"/>
    <mergeCell ref="H148:L148"/>
    <mergeCell ref="H149:H151"/>
    <mergeCell ref="A153:I153"/>
    <mergeCell ref="A154:A161"/>
    <mergeCell ref="C154:I154"/>
    <mergeCell ref="B155:B161"/>
    <mergeCell ref="C155:C161"/>
    <mergeCell ref="E155:I155"/>
    <mergeCell ref="A143:I143"/>
    <mergeCell ref="A144:A151"/>
    <mergeCell ref="C144:I144"/>
    <mergeCell ref="B145:B151"/>
    <mergeCell ref="C145:C151"/>
    <mergeCell ref="E145:I145"/>
    <mergeCell ref="D146:D151"/>
    <mergeCell ref="E146:E151"/>
    <mergeCell ref="F146:L146"/>
    <mergeCell ref="F147:F151"/>
    <mergeCell ref="D136:D141"/>
    <mergeCell ref="E136:E141"/>
    <mergeCell ref="F136:L136"/>
    <mergeCell ref="F137:F141"/>
    <mergeCell ref="G137:L137"/>
    <mergeCell ref="G138:G141"/>
    <mergeCell ref="H138:L138"/>
    <mergeCell ref="H139:H141"/>
    <mergeCell ref="G127:L127"/>
    <mergeCell ref="G128:G131"/>
    <mergeCell ref="H128:L128"/>
    <mergeCell ref="H129:H131"/>
    <mergeCell ref="A133:I133"/>
    <mergeCell ref="A134:A141"/>
    <mergeCell ref="C134:I134"/>
    <mergeCell ref="B135:B141"/>
    <mergeCell ref="C135:C141"/>
    <mergeCell ref="E135:I135"/>
    <mergeCell ref="A123:I123"/>
    <mergeCell ref="A124:A131"/>
    <mergeCell ref="C124:I124"/>
    <mergeCell ref="B125:B131"/>
    <mergeCell ref="C125:C131"/>
    <mergeCell ref="E125:I125"/>
    <mergeCell ref="D126:D131"/>
    <mergeCell ref="E126:E131"/>
    <mergeCell ref="F126:L126"/>
    <mergeCell ref="F127:F131"/>
    <mergeCell ref="D116:D121"/>
    <mergeCell ref="E116:E121"/>
    <mergeCell ref="F116:L116"/>
    <mergeCell ref="F117:F121"/>
    <mergeCell ref="G117:L117"/>
    <mergeCell ref="G118:G121"/>
    <mergeCell ref="H118:L118"/>
    <mergeCell ref="H119:H121"/>
    <mergeCell ref="G107:L107"/>
    <mergeCell ref="G108:G111"/>
    <mergeCell ref="H108:L108"/>
    <mergeCell ref="H109:H111"/>
    <mergeCell ref="A113:I113"/>
    <mergeCell ref="A114:A121"/>
    <mergeCell ref="C114:I114"/>
    <mergeCell ref="B115:B121"/>
    <mergeCell ref="C115:C121"/>
    <mergeCell ref="E115:I115"/>
    <mergeCell ref="A103:I103"/>
    <mergeCell ref="A104:A111"/>
    <mergeCell ref="C104:I104"/>
    <mergeCell ref="B105:B111"/>
    <mergeCell ref="C105:C111"/>
    <mergeCell ref="E105:I105"/>
    <mergeCell ref="D106:D111"/>
    <mergeCell ref="E106:E111"/>
    <mergeCell ref="F106:L106"/>
    <mergeCell ref="F107:F111"/>
    <mergeCell ref="F95:L95"/>
    <mergeCell ref="G96:L96"/>
    <mergeCell ref="H97:L97"/>
    <mergeCell ref="G86:L86"/>
    <mergeCell ref="G87:G90"/>
    <mergeCell ref="H87:L87"/>
    <mergeCell ref="H88:H90"/>
    <mergeCell ref="A92:I92"/>
    <mergeCell ref="C93:I93"/>
    <mergeCell ref="E94:I94"/>
    <mergeCell ref="A93:A101"/>
    <mergeCell ref="H98:H101"/>
    <mergeCell ref="G97:G101"/>
    <mergeCell ref="F96:F101"/>
    <mergeCell ref="E95:E101"/>
    <mergeCell ref="D95:D101"/>
    <mergeCell ref="C94:C101"/>
    <mergeCell ref="B94:B101"/>
    <mergeCell ref="A82:I82"/>
    <mergeCell ref="A83:A90"/>
    <mergeCell ref="C83:I83"/>
    <mergeCell ref="B84:B90"/>
    <mergeCell ref="C84:C90"/>
    <mergeCell ref="E84:I84"/>
    <mergeCell ref="D85:D90"/>
    <mergeCell ref="E85:E90"/>
    <mergeCell ref="F85:L85"/>
    <mergeCell ref="F86:F90"/>
    <mergeCell ref="F75:L75"/>
    <mergeCell ref="F76:F80"/>
    <mergeCell ref="G76:L76"/>
    <mergeCell ref="G77:G80"/>
    <mergeCell ref="H77:L77"/>
    <mergeCell ref="H78:H80"/>
    <mergeCell ref="A11:I11"/>
    <mergeCell ref="A12:I12"/>
    <mergeCell ref="A72:I72"/>
    <mergeCell ref="A73:A80"/>
    <mergeCell ref="C73:I73"/>
    <mergeCell ref="B74:B80"/>
    <mergeCell ref="C74:C80"/>
    <mergeCell ref="E74:I74"/>
    <mergeCell ref="D75:D80"/>
    <mergeCell ref="E75:E80"/>
    <mergeCell ref="A13:I13"/>
    <mergeCell ref="C19:I19"/>
    <mergeCell ref="B20:B23"/>
    <mergeCell ref="C20:C23"/>
    <mergeCell ref="E20:I20"/>
    <mergeCell ref="D21:D23"/>
    <mergeCell ref="E21:E23"/>
    <mergeCell ref="F21:L21"/>
    <mergeCell ref="K8:L8"/>
    <mergeCell ref="A9:A10"/>
    <mergeCell ref="B9:C9"/>
    <mergeCell ref="D9:G9"/>
    <mergeCell ref="H9:H10"/>
    <mergeCell ref="I9:I10"/>
    <mergeCell ref="G1:H1"/>
    <mergeCell ref="J1:L1"/>
    <mergeCell ref="J2:L2"/>
    <mergeCell ref="G3:H3"/>
    <mergeCell ref="J3:L3"/>
    <mergeCell ref="A6:L6"/>
    <mergeCell ref="J9:L9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53211-AC63-47C1-AF5D-3AE37DBB0341}">
  <sheetPr>
    <tabColor rgb="FF92D050"/>
  </sheetPr>
  <dimension ref="A1:Y160"/>
  <sheetViews>
    <sheetView topLeftCell="A100" zoomScale="82" zoomScaleNormal="100" workbookViewId="0">
      <selection activeCell="E108" sqref="E108:E110"/>
    </sheetView>
  </sheetViews>
  <sheetFormatPr defaultColWidth="9.109375" defaultRowHeight="15.6"/>
  <cols>
    <col min="1" max="4" width="18.21875" style="151" customWidth="1"/>
    <col min="5" max="6" width="14.44140625" style="151" customWidth="1"/>
    <col min="7" max="7" width="17.6640625" style="151" customWidth="1"/>
    <col min="8" max="8" width="14.44140625" style="151" customWidth="1"/>
    <col min="9" max="9" width="30.21875" style="151" customWidth="1"/>
    <col min="10" max="10" width="20.21875" style="152" hidden="1" customWidth="1"/>
    <col min="11" max="11" width="14" style="151" bestFit="1" customWidth="1"/>
    <col min="12" max="16384" width="9.109375" style="151"/>
  </cols>
  <sheetData>
    <row r="1" spans="1:10" s="87" customFormat="1" ht="33.450000000000003" customHeight="1">
      <c r="A1" s="124"/>
      <c r="B1" s="124"/>
      <c r="C1" s="124"/>
      <c r="D1" s="124"/>
      <c r="E1" s="125"/>
      <c r="F1" s="125"/>
      <c r="G1" s="126"/>
      <c r="H1" s="408" t="s">
        <v>259</v>
      </c>
      <c r="I1" s="408"/>
      <c r="J1" s="127"/>
    </row>
    <row r="2" spans="1:10" s="87" customFormat="1" ht="17.399999999999999">
      <c r="A2" s="124"/>
      <c r="B2" s="124"/>
      <c r="C2" s="124"/>
      <c r="D2" s="124"/>
      <c r="E2" s="125"/>
      <c r="F2" s="125"/>
      <c r="G2" s="126"/>
      <c r="H2" s="409" t="s">
        <v>53</v>
      </c>
      <c r="I2" s="409"/>
      <c r="J2" s="127"/>
    </row>
    <row r="3" spans="1:10" s="87" customFormat="1" ht="17.399999999999999">
      <c r="A3" s="124"/>
      <c r="B3" s="124"/>
      <c r="C3" s="124"/>
      <c r="D3" s="124"/>
      <c r="E3" s="125"/>
      <c r="F3" s="125"/>
      <c r="G3" s="126"/>
      <c r="H3" s="409" t="s">
        <v>0</v>
      </c>
      <c r="I3" s="409"/>
      <c r="J3" s="127"/>
    </row>
    <row r="4" spans="1:10" s="87" customFormat="1" ht="17.399999999999999">
      <c r="A4" s="124"/>
      <c r="B4" s="124"/>
      <c r="C4" s="124"/>
      <c r="D4" s="124"/>
      <c r="E4" s="125"/>
      <c r="F4" s="125"/>
      <c r="G4" s="126"/>
      <c r="H4" s="126"/>
      <c r="I4" s="128"/>
      <c r="J4" s="127"/>
    </row>
    <row r="5" spans="1:10" s="87" customFormat="1" ht="17.399999999999999">
      <c r="A5" s="124"/>
      <c r="B5" s="124"/>
      <c r="C5" s="124"/>
      <c r="D5" s="124"/>
      <c r="E5" s="125"/>
      <c r="F5" s="125"/>
      <c r="G5" s="126"/>
      <c r="H5" s="126"/>
      <c r="I5" s="128"/>
      <c r="J5" s="127"/>
    </row>
    <row r="6" spans="1:10" s="87" customFormat="1" ht="32.25" customHeight="1">
      <c r="A6" s="410" t="s">
        <v>369</v>
      </c>
      <c r="B6" s="410"/>
      <c r="C6" s="410"/>
      <c r="D6" s="410"/>
      <c r="E6" s="410"/>
      <c r="F6" s="410"/>
      <c r="G6" s="410"/>
      <c r="H6" s="410"/>
      <c r="I6" s="410"/>
      <c r="J6" s="127"/>
    </row>
    <row r="7" spans="1:10" s="87" customFormat="1" ht="21" customHeight="1">
      <c r="A7" s="410"/>
      <c r="B7" s="410"/>
      <c r="C7" s="410"/>
      <c r="D7" s="410"/>
      <c r="E7" s="410"/>
      <c r="F7" s="410"/>
      <c r="G7" s="410"/>
      <c r="H7" s="410"/>
      <c r="I7" s="410"/>
      <c r="J7" s="127"/>
    </row>
    <row r="8" spans="1:10" s="87" customFormat="1" ht="21" customHeight="1">
      <c r="A8" s="129"/>
      <c r="B8" s="129"/>
      <c r="C8" s="129"/>
      <c r="D8" s="129"/>
      <c r="E8" s="129"/>
      <c r="F8" s="129"/>
      <c r="G8" s="129"/>
      <c r="H8" s="129"/>
      <c r="I8" s="129"/>
      <c r="J8" s="127"/>
    </row>
    <row r="9" spans="1:10" s="87" customFormat="1" ht="21" customHeight="1">
      <c r="A9" s="129"/>
      <c r="B9" s="129"/>
      <c r="C9" s="129"/>
      <c r="D9" s="129"/>
      <c r="E9" s="129"/>
      <c r="F9" s="129"/>
      <c r="G9" s="129"/>
      <c r="H9" s="129"/>
      <c r="I9" s="129"/>
      <c r="J9" s="127"/>
    </row>
    <row r="10" spans="1:10" s="87" customFormat="1" ht="73.8" customHeight="1">
      <c r="A10" s="411" t="s">
        <v>67</v>
      </c>
      <c r="B10" s="411" t="s">
        <v>68</v>
      </c>
      <c r="C10" s="411"/>
      <c r="D10" s="411"/>
      <c r="E10" s="411" t="s">
        <v>69</v>
      </c>
      <c r="F10" s="411" t="s">
        <v>70</v>
      </c>
      <c r="G10" s="411" t="s">
        <v>71</v>
      </c>
      <c r="H10" s="412" t="s">
        <v>370</v>
      </c>
      <c r="I10" s="412"/>
      <c r="J10" s="127"/>
    </row>
    <row r="11" spans="1:10" s="87" customFormat="1" ht="21" customHeight="1">
      <c r="A11" s="411"/>
      <c r="B11" s="411"/>
      <c r="C11" s="411"/>
      <c r="D11" s="411"/>
      <c r="E11" s="411"/>
      <c r="F11" s="411"/>
      <c r="G11" s="411"/>
      <c r="H11" s="130" t="s">
        <v>72</v>
      </c>
      <c r="I11" s="131" t="s">
        <v>73</v>
      </c>
      <c r="J11" s="127"/>
    </row>
    <row r="12" spans="1:10" s="87" customFormat="1" ht="17.399999999999999">
      <c r="A12" s="132">
        <v>1</v>
      </c>
      <c r="B12" s="413">
        <v>2</v>
      </c>
      <c r="C12" s="414"/>
      <c r="D12" s="415"/>
      <c r="E12" s="130">
        <v>3</v>
      </c>
      <c r="F12" s="130">
        <v>4</v>
      </c>
      <c r="G12" s="130">
        <v>5</v>
      </c>
      <c r="H12" s="130">
        <v>6</v>
      </c>
      <c r="I12" s="130">
        <v>7</v>
      </c>
      <c r="J12" s="127"/>
    </row>
    <row r="13" spans="1:10" s="87" customFormat="1" ht="44.85" customHeight="1">
      <c r="A13" s="407" t="s">
        <v>12</v>
      </c>
      <c r="B13" s="407"/>
      <c r="C13" s="407"/>
      <c r="D13" s="407"/>
      <c r="E13" s="407"/>
      <c r="F13" s="407"/>
      <c r="G13" s="407"/>
      <c r="H13" s="407"/>
      <c r="I13" s="133">
        <f>+I14+I20+I25</f>
        <v>502594.89999999997</v>
      </c>
      <c r="J13" s="153"/>
    </row>
    <row r="14" spans="1:10" s="137" customFormat="1" ht="17.399999999999999">
      <c r="A14" s="134" t="s">
        <v>324</v>
      </c>
      <c r="B14" s="134" t="s">
        <v>74</v>
      </c>
      <c r="C14" s="134" t="s">
        <v>75</v>
      </c>
      <c r="D14" s="395" t="s">
        <v>325</v>
      </c>
      <c r="E14" s="396"/>
      <c r="F14" s="396"/>
      <c r="G14" s="396"/>
      <c r="H14" s="397"/>
      <c r="I14" s="135">
        <f>+I15</f>
        <v>-8400</v>
      </c>
      <c r="J14" s="262"/>
    </row>
    <row r="15" spans="1:10" s="87" customFormat="1" ht="54.75" customHeight="1">
      <c r="A15" s="138" t="s">
        <v>326</v>
      </c>
      <c r="B15" s="398" t="s">
        <v>327</v>
      </c>
      <c r="C15" s="399"/>
      <c r="D15" s="399"/>
      <c r="E15" s="399"/>
      <c r="F15" s="399"/>
      <c r="G15" s="399"/>
      <c r="H15" s="400"/>
      <c r="I15" s="139">
        <f>+I16</f>
        <v>-8400</v>
      </c>
      <c r="J15" s="127"/>
    </row>
    <row r="16" spans="1:10" s="87" customFormat="1" ht="16.5" customHeight="1">
      <c r="A16" s="140"/>
      <c r="B16" s="401" t="s">
        <v>328</v>
      </c>
      <c r="C16" s="402"/>
      <c r="D16" s="403"/>
      <c r="E16" s="141"/>
      <c r="F16" s="141"/>
      <c r="G16" s="142"/>
      <c r="H16" s="142"/>
      <c r="I16" s="143">
        <f>SUM(I17:I19)</f>
        <v>-8400</v>
      </c>
      <c r="J16" s="127"/>
    </row>
    <row r="17" spans="1:25" s="150" customFormat="1" ht="17.399999999999999">
      <c r="A17" s="237" t="s">
        <v>329</v>
      </c>
      <c r="B17" s="391" t="s">
        <v>332</v>
      </c>
      <c r="C17" s="391"/>
      <c r="D17" s="391"/>
      <c r="E17" s="145" t="s">
        <v>335</v>
      </c>
      <c r="F17" s="145" t="s">
        <v>77</v>
      </c>
      <c r="G17" s="146">
        <v>300000</v>
      </c>
      <c r="H17" s="147">
        <v>-10</v>
      </c>
      <c r="I17" s="148">
        <f>+ROUNDDOWN(G17*H17/1000,1)</f>
        <v>-3000</v>
      </c>
    </row>
    <row r="18" spans="1:25" s="150" customFormat="1" ht="17.399999999999999">
      <c r="A18" s="237" t="s">
        <v>330</v>
      </c>
      <c r="B18" s="391" t="s">
        <v>333</v>
      </c>
      <c r="C18" s="391"/>
      <c r="D18" s="391"/>
      <c r="E18" s="145" t="s">
        <v>335</v>
      </c>
      <c r="F18" s="145" t="s">
        <v>77</v>
      </c>
      <c r="G18" s="146">
        <v>400000</v>
      </c>
      <c r="H18" s="147">
        <v>-1</v>
      </c>
      <c r="I18" s="148">
        <f t="shared" ref="I18:I19" si="0">+ROUNDDOWN(G18*H18/1000,1)</f>
        <v>-400</v>
      </c>
    </row>
    <row r="19" spans="1:25" s="150" customFormat="1" ht="36.6" customHeight="1">
      <c r="A19" s="237" t="s">
        <v>331</v>
      </c>
      <c r="B19" s="391" t="s">
        <v>334</v>
      </c>
      <c r="C19" s="391"/>
      <c r="D19" s="391"/>
      <c r="E19" s="145" t="s">
        <v>335</v>
      </c>
      <c r="F19" s="145" t="s">
        <v>77</v>
      </c>
      <c r="G19" s="146">
        <v>500000</v>
      </c>
      <c r="H19" s="147">
        <v>-10</v>
      </c>
      <c r="I19" s="148">
        <f t="shared" si="0"/>
        <v>-5000</v>
      </c>
    </row>
    <row r="20" spans="1:25" s="137" customFormat="1" ht="17.399999999999999">
      <c r="A20" s="134" t="s">
        <v>78</v>
      </c>
      <c r="B20" s="134" t="s">
        <v>74</v>
      </c>
      <c r="C20" s="134" t="s">
        <v>75</v>
      </c>
      <c r="D20" s="395" t="s">
        <v>79</v>
      </c>
      <c r="E20" s="396"/>
      <c r="F20" s="396"/>
      <c r="G20" s="396"/>
      <c r="H20" s="397"/>
      <c r="I20" s="135">
        <f>+I21</f>
        <v>1870</v>
      </c>
      <c r="J20" s="136"/>
    </row>
    <row r="21" spans="1:25" s="87" customFormat="1" ht="54.75" customHeight="1">
      <c r="A21" s="138" t="s">
        <v>82</v>
      </c>
      <c r="B21" s="398" t="s">
        <v>83</v>
      </c>
      <c r="C21" s="399"/>
      <c r="D21" s="399"/>
      <c r="E21" s="399"/>
      <c r="F21" s="399"/>
      <c r="G21" s="399"/>
      <c r="H21" s="400"/>
      <c r="I21" s="139">
        <f>+I22</f>
        <v>1870</v>
      </c>
      <c r="J21" s="127"/>
    </row>
    <row r="22" spans="1:25" s="87" customFormat="1" ht="16.5" customHeight="1">
      <c r="A22" s="140"/>
      <c r="B22" s="401" t="s">
        <v>76</v>
      </c>
      <c r="C22" s="402"/>
      <c r="D22" s="403"/>
      <c r="E22" s="141"/>
      <c r="F22" s="141"/>
      <c r="G22" s="142"/>
      <c r="H22" s="142"/>
      <c r="I22" s="143">
        <f>SUM(I23:I24)</f>
        <v>1870</v>
      </c>
      <c r="J22" s="127"/>
    </row>
    <row r="23" spans="1:25" s="150" customFormat="1" ht="17.399999999999999">
      <c r="A23" s="237">
        <v>71241200</v>
      </c>
      <c r="B23" s="391" t="s">
        <v>306</v>
      </c>
      <c r="C23" s="391"/>
      <c r="D23" s="391"/>
      <c r="E23" s="145" t="s">
        <v>307</v>
      </c>
      <c r="F23" s="145" t="s">
        <v>77</v>
      </c>
      <c r="G23" s="146">
        <v>1700000</v>
      </c>
      <c r="H23" s="147">
        <v>1</v>
      </c>
      <c r="I23" s="148">
        <f t="shared" ref="I23" si="1">+ROUNDUP(G23*H23/1000,1)</f>
        <v>1700</v>
      </c>
      <c r="J23" s="149" t="s">
        <v>305</v>
      </c>
    </row>
    <row r="24" spans="1:25" s="150" customFormat="1" ht="17.399999999999999">
      <c r="A24" s="237">
        <v>50531140</v>
      </c>
      <c r="B24" s="391" t="s">
        <v>308</v>
      </c>
      <c r="C24" s="391"/>
      <c r="D24" s="391"/>
      <c r="E24" s="145" t="s">
        <v>158</v>
      </c>
      <c r="F24" s="145" t="s">
        <v>77</v>
      </c>
      <c r="G24" s="146">
        <v>170000</v>
      </c>
      <c r="H24" s="147">
        <v>1</v>
      </c>
      <c r="I24" s="148">
        <f t="shared" ref="I24" si="2">+ROUNDUP(G24*H24/1000,1)</f>
        <v>170</v>
      </c>
      <c r="J24" s="250" t="s">
        <v>305</v>
      </c>
    </row>
    <row r="25" spans="1:25" s="2" customFormat="1" ht="17.7" customHeight="1">
      <c r="A25" s="134" t="s">
        <v>78</v>
      </c>
      <c r="B25" s="134" t="s">
        <v>321</v>
      </c>
      <c r="C25" s="134" t="s">
        <v>75</v>
      </c>
      <c r="D25" s="395" t="s">
        <v>266</v>
      </c>
      <c r="E25" s="396"/>
      <c r="F25" s="396"/>
      <c r="G25" s="396"/>
      <c r="H25" s="397"/>
      <c r="I25" s="241">
        <f>+I26</f>
        <v>509124.89999999997</v>
      </c>
    </row>
    <row r="26" spans="1:25" s="239" customFormat="1" ht="54.9" customHeight="1">
      <c r="A26" s="195" t="s">
        <v>358</v>
      </c>
      <c r="B26" s="422" t="s">
        <v>359</v>
      </c>
      <c r="C26" s="422"/>
      <c r="D26" s="422"/>
      <c r="E26" s="422"/>
      <c r="F26" s="422"/>
      <c r="G26" s="422"/>
      <c r="H26" s="422"/>
      <c r="I26" s="243">
        <f>+I27</f>
        <v>509124.89999999997</v>
      </c>
    </row>
    <row r="27" spans="1:25" s="244" customFormat="1" ht="21" customHeight="1">
      <c r="A27" s="50"/>
      <c r="B27" s="274" t="s">
        <v>76</v>
      </c>
      <c r="C27" s="275"/>
      <c r="D27" s="276"/>
      <c r="E27" s="257" t="s">
        <v>360</v>
      </c>
      <c r="F27" s="257" t="s">
        <v>360</v>
      </c>
      <c r="G27" s="257" t="s">
        <v>360</v>
      </c>
      <c r="H27" s="258"/>
      <c r="I27" s="259">
        <f>+I28</f>
        <v>509124.89999999997</v>
      </c>
    </row>
    <row r="28" spans="1:25" s="240" customFormat="1" ht="34.950000000000003" customHeight="1">
      <c r="A28" s="225">
        <v>71621100</v>
      </c>
      <c r="B28" s="270" t="s">
        <v>361</v>
      </c>
      <c r="C28" s="270"/>
      <c r="D28" s="270"/>
      <c r="E28" s="234" t="s">
        <v>80</v>
      </c>
      <c r="F28" s="234" t="s">
        <v>77</v>
      </c>
      <c r="G28" s="245">
        <v>509124850</v>
      </c>
      <c r="H28" s="246">
        <v>1</v>
      </c>
      <c r="I28" s="148">
        <f t="shared" ref="I28" si="3">+ROUNDUP(G28*H28/1000,1)</f>
        <v>509124.89999999997</v>
      </c>
      <c r="J28" s="244"/>
      <c r="K28" s="244"/>
      <c r="L28" s="244"/>
      <c r="M28" s="244"/>
      <c r="N28" s="244"/>
      <c r="O28" s="244"/>
      <c r="P28" s="244"/>
      <c r="Q28" s="244"/>
      <c r="R28" s="244"/>
      <c r="S28" s="244"/>
      <c r="T28" s="244"/>
      <c r="U28" s="244"/>
      <c r="V28" s="244"/>
      <c r="W28" s="244"/>
      <c r="X28" s="244"/>
      <c r="Y28" s="244"/>
    </row>
    <row r="30" spans="1:25" s="87" customFormat="1" ht="44.85" customHeight="1">
      <c r="A30" s="407" t="s">
        <v>237</v>
      </c>
      <c r="B30" s="407"/>
      <c r="C30" s="407"/>
      <c r="D30" s="407"/>
      <c r="E30" s="407"/>
      <c r="F30" s="407"/>
      <c r="G30" s="407"/>
      <c r="H30" s="407"/>
      <c r="I30" s="133">
        <f>I31+I35</f>
        <v>10967</v>
      </c>
      <c r="J30" s="153"/>
    </row>
    <row r="31" spans="1:25" s="137" customFormat="1" ht="17.399999999999999">
      <c r="A31" s="134" t="s">
        <v>324</v>
      </c>
      <c r="B31" s="134" t="s">
        <v>74</v>
      </c>
      <c r="C31" s="134" t="s">
        <v>75</v>
      </c>
      <c r="D31" s="395" t="s">
        <v>325</v>
      </c>
      <c r="E31" s="396"/>
      <c r="F31" s="396"/>
      <c r="G31" s="396"/>
      <c r="H31" s="397"/>
      <c r="I31" s="135">
        <f>+I32</f>
        <v>8400</v>
      </c>
      <c r="J31" s="136"/>
    </row>
    <row r="32" spans="1:25" s="87" customFormat="1" ht="54.75" customHeight="1">
      <c r="A32" s="138" t="s">
        <v>326</v>
      </c>
      <c r="B32" s="398" t="s">
        <v>327</v>
      </c>
      <c r="C32" s="399"/>
      <c r="D32" s="399"/>
      <c r="E32" s="399"/>
      <c r="F32" s="399"/>
      <c r="G32" s="399"/>
      <c r="H32" s="400"/>
      <c r="I32" s="139">
        <f>+I33</f>
        <v>8400</v>
      </c>
      <c r="J32" s="127"/>
    </row>
    <row r="33" spans="1:23" s="87" customFormat="1" ht="16.5" customHeight="1">
      <c r="A33" s="140"/>
      <c r="B33" s="401" t="s">
        <v>76</v>
      </c>
      <c r="C33" s="402"/>
      <c r="D33" s="403"/>
      <c r="E33" s="141"/>
      <c r="F33" s="141"/>
      <c r="G33" s="142"/>
      <c r="H33" s="142"/>
      <c r="I33" s="143">
        <f>+I34</f>
        <v>8400</v>
      </c>
      <c r="J33" s="127"/>
    </row>
    <row r="34" spans="1:23" s="150" customFormat="1" ht="17.399999999999999">
      <c r="A34" s="237" t="s">
        <v>336</v>
      </c>
      <c r="B34" s="391" t="s">
        <v>337</v>
      </c>
      <c r="C34" s="391"/>
      <c r="D34" s="391"/>
      <c r="E34" s="145" t="s">
        <v>158</v>
      </c>
      <c r="F34" s="145" t="s">
        <v>77</v>
      </c>
      <c r="G34" s="146">
        <v>8400000</v>
      </c>
      <c r="H34" s="147">
        <v>1</v>
      </c>
      <c r="I34" s="148">
        <f>+ROUNDUP(G34*H34/1000,1)</f>
        <v>8400</v>
      </c>
      <c r="J34" s="250" t="s">
        <v>338</v>
      </c>
    </row>
    <row r="35" spans="1:23" s="137" customFormat="1" ht="17.399999999999999" customHeight="1">
      <c r="A35" s="249" t="s">
        <v>78</v>
      </c>
      <c r="B35" s="249" t="s">
        <v>321</v>
      </c>
      <c r="C35" s="249" t="s">
        <v>75</v>
      </c>
      <c r="D35" s="395" t="s">
        <v>266</v>
      </c>
      <c r="E35" s="396"/>
      <c r="F35" s="396"/>
      <c r="G35" s="396"/>
      <c r="H35" s="397"/>
      <c r="I35" s="135">
        <f>+I36</f>
        <v>2567</v>
      </c>
      <c r="J35" s="136"/>
    </row>
    <row r="36" spans="1:23" s="87" customFormat="1" ht="54.75" customHeight="1">
      <c r="A36" s="248" t="s">
        <v>320</v>
      </c>
      <c r="B36" s="416" t="s">
        <v>269</v>
      </c>
      <c r="C36" s="417"/>
      <c r="D36" s="417"/>
      <c r="E36" s="417"/>
      <c r="F36" s="417"/>
      <c r="G36" s="417"/>
      <c r="H36" s="418"/>
      <c r="I36" s="139">
        <f>+I37</f>
        <v>2567</v>
      </c>
      <c r="J36" s="127"/>
    </row>
    <row r="37" spans="1:23" s="87" customFormat="1" ht="16.5" customHeight="1">
      <c r="A37" s="140"/>
      <c r="B37" s="401" t="s">
        <v>76</v>
      </c>
      <c r="C37" s="402"/>
      <c r="D37" s="403"/>
      <c r="E37" s="141"/>
      <c r="F37" s="141"/>
      <c r="G37" s="142"/>
      <c r="H37" s="142"/>
      <c r="I37" s="143">
        <f>SUM(I38:I38)</f>
        <v>2567</v>
      </c>
      <c r="J37" s="127"/>
    </row>
    <row r="38" spans="1:23" s="242" customFormat="1" ht="17.7" customHeight="1">
      <c r="A38" s="235">
        <v>71621100</v>
      </c>
      <c r="B38" s="419" t="s">
        <v>311</v>
      </c>
      <c r="C38" s="420"/>
      <c r="D38" s="421"/>
      <c r="E38" s="234" t="s">
        <v>307</v>
      </c>
      <c r="F38" s="234" t="s">
        <v>312</v>
      </c>
      <c r="G38" s="245">
        <v>2567000</v>
      </c>
      <c r="H38" s="246">
        <v>1</v>
      </c>
      <c r="I38" s="148">
        <f t="shared" ref="I38" si="4">+ROUNDUP(H38*G38/1000,1)</f>
        <v>2567</v>
      </c>
      <c r="J38" s="250" t="s">
        <v>322</v>
      </c>
      <c r="K38" s="150"/>
      <c r="L38" s="150"/>
      <c r="M38" s="150"/>
      <c r="N38" s="150"/>
      <c r="O38" s="150"/>
      <c r="P38" s="150"/>
      <c r="Q38" s="150"/>
      <c r="R38" s="150"/>
      <c r="S38" s="150"/>
      <c r="T38" s="150"/>
      <c r="U38" s="150"/>
      <c r="V38" s="150"/>
      <c r="W38" s="150"/>
    </row>
    <row r="40" spans="1:23" s="87" customFormat="1" ht="44.85" customHeight="1">
      <c r="A40" s="407" t="s">
        <v>84</v>
      </c>
      <c r="B40" s="407"/>
      <c r="C40" s="407"/>
      <c r="D40" s="407"/>
      <c r="E40" s="407"/>
      <c r="F40" s="407"/>
      <c r="G40" s="407"/>
      <c r="H40" s="407"/>
      <c r="I40" s="133">
        <f>+I41</f>
        <v>296331.7</v>
      </c>
      <c r="J40" s="153"/>
    </row>
    <row r="41" spans="1:23" s="137" customFormat="1" ht="17.399999999999999">
      <c r="A41" s="134" t="s">
        <v>78</v>
      </c>
      <c r="B41" s="134" t="s">
        <v>74</v>
      </c>
      <c r="C41" s="134" t="s">
        <v>75</v>
      </c>
      <c r="D41" s="395" t="s">
        <v>79</v>
      </c>
      <c r="E41" s="396"/>
      <c r="F41" s="396"/>
      <c r="G41" s="396"/>
      <c r="H41" s="397"/>
      <c r="I41" s="135">
        <f>+I42</f>
        <v>296331.7</v>
      </c>
      <c r="J41" s="136"/>
    </row>
    <row r="42" spans="1:23" s="87" customFormat="1" ht="54.75" customHeight="1">
      <c r="A42" s="138" t="s">
        <v>82</v>
      </c>
      <c r="B42" s="398" t="s">
        <v>83</v>
      </c>
      <c r="C42" s="399"/>
      <c r="D42" s="399"/>
      <c r="E42" s="399"/>
      <c r="F42" s="399"/>
      <c r="G42" s="399"/>
      <c r="H42" s="400"/>
      <c r="I42" s="139">
        <f>+I43+I49</f>
        <v>296331.7</v>
      </c>
      <c r="J42" s="127"/>
    </row>
    <row r="43" spans="1:23" s="87" customFormat="1" ht="16.5" customHeight="1">
      <c r="A43" s="140"/>
      <c r="B43" s="401" t="s">
        <v>304</v>
      </c>
      <c r="C43" s="402"/>
      <c r="D43" s="403"/>
      <c r="E43" s="141"/>
      <c r="F43" s="141"/>
      <c r="G43" s="142"/>
      <c r="H43" s="142"/>
      <c r="I43" s="143">
        <f>SUM(I44:I48)</f>
        <v>289402.8</v>
      </c>
      <c r="J43" s="127"/>
    </row>
    <row r="44" spans="1:23" s="150" customFormat="1" ht="31.2" customHeight="1">
      <c r="A44" s="144" t="s">
        <v>85</v>
      </c>
      <c r="B44" s="391" t="s">
        <v>86</v>
      </c>
      <c r="C44" s="391"/>
      <c r="D44" s="391"/>
      <c r="E44" s="145" t="s">
        <v>80</v>
      </c>
      <c r="F44" s="145" t="s">
        <v>77</v>
      </c>
      <c r="G44" s="146">
        <f>71880000*0.7</f>
        <v>50316000</v>
      </c>
      <c r="H44" s="147">
        <v>1</v>
      </c>
      <c r="I44" s="148">
        <f t="shared" ref="I44" si="5">+ROUNDUP(G44*H44/1000,1)</f>
        <v>50316</v>
      </c>
      <c r="J44" s="149" t="s">
        <v>87</v>
      </c>
    </row>
    <row r="45" spans="1:23" s="150" customFormat="1" ht="31.2" customHeight="1">
      <c r="A45" s="144" t="s">
        <v>88</v>
      </c>
      <c r="B45" s="391" t="s">
        <v>86</v>
      </c>
      <c r="C45" s="391"/>
      <c r="D45" s="391"/>
      <c r="E45" s="145" t="s">
        <v>80</v>
      </c>
      <c r="F45" s="145" t="s">
        <v>77</v>
      </c>
      <c r="G45" s="146">
        <f>218880000*0.55</f>
        <v>120384000.00000001</v>
      </c>
      <c r="H45" s="147">
        <v>1</v>
      </c>
      <c r="I45" s="148">
        <f t="shared" ref="I45:I48" si="6">+ROUNDUP(G45*H45/1000,1)</f>
        <v>120384</v>
      </c>
      <c r="J45" s="149" t="s">
        <v>92</v>
      </c>
    </row>
    <row r="46" spans="1:23" s="150" customFormat="1" ht="31.2" customHeight="1">
      <c r="A46" s="144" t="s">
        <v>89</v>
      </c>
      <c r="B46" s="391" t="s">
        <v>86</v>
      </c>
      <c r="C46" s="391"/>
      <c r="D46" s="391"/>
      <c r="E46" s="145" t="s">
        <v>80</v>
      </c>
      <c r="F46" s="145" t="s">
        <v>77</v>
      </c>
      <c r="G46" s="146">
        <f>81900000*0.7</f>
        <v>57330000</v>
      </c>
      <c r="H46" s="147">
        <v>1</v>
      </c>
      <c r="I46" s="148">
        <f t="shared" si="6"/>
        <v>57330</v>
      </c>
      <c r="J46" s="149" t="s">
        <v>93</v>
      </c>
    </row>
    <row r="47" spans="1:23" s="150" customFormat="1" ht="31.2" customHeight="1">
      <c r="A47" s="144" t="s">
        <v>90</v>
      </c>
      <c r="B47" s="391" t="s">
        <v>86</v>
      </c>
      <c r="C47" s="391"/>
      <c r="D47" s="391"/>
      <c r="E47" s="145" t="s">
        <v>80</v>
      </c>
      <c r="F47" s="145" t="s">
        <v>77</v>
      </c>
      <c r="G47" s="146">
        <v>26280000</v>
      </c>
      <c r="H47" s="147">
        <v>1</v>
      </c>
      <c r="I47" s="148">
        <f t="shared" si="6"/>
        <v>26280</v>
      </c>
      <c r="J47" s="149" t="s">
        <v>94</v>
      </c>
    </row>
    <row r="48" spans="1:23" s="150" customFormat="1" ht="31.2" customHeight="1">
      <c r="A48" s="144" t="s">
        <v>91</v>
      </c>
      <c r="B48" s="391" t="s">
        <v>86</v>
      </c>
      <c r="C48" s="391"/>
      <c r="D48" s="391"/>
      <c r="E48" s="145" t="s">
        <v>80</v>
      </c>
      <c r="F48" s="145" t="s">
        <v>77</v>
      </c>
      <c r="G48" s="146">
        <v>35092800</v>
      </c>
      <c r="H48" s="147">
        <v>1</v>
      </c>
      <c r="I48" s="148">
        <f t="shared" si="6"/>
        <v>35092.800000000003</v>
      </c>
      <c r="J48" s="149" t="s">
        <v>95</v>
      </c>
    </row>
    <row r="49" spans="1:10" s="87" customFormat="1" ht="16.5" customHeight="1">
      <c r="A49" s="140"/>
      <c r="B49" s="401" t="s">
        <v>76</v>
      </c>
      <c r="C49" s="402"/>
      <c r="D49" s="403"/>
      <c r="E49" s="141"/>
      <c r="F49" s="141"/>
      <c r="G49" s="142"/>
      <c r="H49" s="142"/>
      <c r="I49" s="143">
        <f>SUM(I50:I54)</f>
        <v>6928.9</v>
      </c>
      <c r="J49" s="127"/>
    </row>
    <row r="50" spans="1:10" s="150" customFormat="1" ht="18" customHeight="1">
      <c r="A50" s="144">
        <v>71521100</v>
      </c>
      <c r="B50" s="391" t="s">
        <v>96</v>
      </c>
      <c r="C50" s="391"/>
      <c r="D50" s="391"/>
      <c r="E50" s="145" t="s">
        <v>81</v>
      </c>
      <c r="F50" s="145" t="s">
        <v>77</v>
      </c>
      <c r="G50" s="146">
        <f>1798374*0.7</f>
        <v>1258861.7999999998</v>
      </c>
      <c r="H50" s="147">
        <v>1</v>
      </c>
      <c r="I50" s="148">
        <f t="shared" ref="I50" si="7">+ROUNDUP(G50*H50/1000,1)</f>
        <v>1258.8999999999999</v>
      </c>
      <c r="J50" s="149" t="s">
        <v>87</v>
      </c>
    </row>
    <row r="51" spans="1:10" s="150" customFormat="1" ht="18" customHeight="1">
      <c r="A51" s="144">
        <v>71521100</v>
      </c>
      <c r="B51" s="391" t="s">
        <v>96</v>
      </c>
      <c r="C51" s="391"/>
      <c r="D51" s="391"/>
      <c r="E51" s="145" t="s">
        <v>81</v>
      </c>
      <c r="F51" s="145" t="s">
        <v>77</v>
      </c>
      <c r="G51" s="146">
        <f>5369971*0.55</f>
        <v>2953484.0500000003</v>
      </c>
      <c r="H51" s="147">
        <v>1</v>
      </c>
      <c r="I51" s="148">
        <f t="shared" ref="I51:I54" si="8">+ROUNDUP(G51*H51/1000,1)</f>
        <v>2953.5</v>
      </c>
      <c r="J51" s="149" t="s">
        <v>92</v>
      </c>
    </row>
    <row r="52" spans="1:10" s="150" customFormat="1" ht="18" customHeight="1">
      <c r="A52" s="144">
        <v>71521100</v>
      </c>
      <c r="B52" s="391" t="s">
        <v>96</v>
      </c>
      <c r="C52" s="391"/>
      <c r="D52" s="391"/>
      <c r="E52" s="145" t="s">
        <v>81</v>
      </c>
      <c r="F52" s="145" t="s">
        <v>77</v>
      </c>
      <c r="G52" s="146">
        <f>2004037*0.7</f>
        <v>1402825.9</v>
      </c>
      <c r="H52" s="147">
        <v>1</v>
      </c>
      <c r="I52" s="148">
        <f t="shared" si="8"/>
        <v>1402.8999999999999</v>
      </c>
      <c r="J52" s="149" t="s">
        <v>93</v>
      </c>
    </row>
    <row r="53" spans="1:10" s="150" customFormat="1" ht="18" customHeight="1">
      <c r="A53" s="144">
        <v>71521100</v>
      </c>
      <c r="B53" s="391" t="s">
        <v>96</v>
      </c>
      <c r="C53" s="391"/>
      <c r="D53" s="391"/>
      <c r="E53" s="145" t="s">
        <v>81</v>
      </c>
      <c r="F53" s="145" t="s">
        <v>77</v>
      </c>
      <c r="G53" s="146">
        <v>537919</v>
      </c>
      <c r="H53" s="147">
        <v>1</v>
      </c>
      <c r="I53" s="148">
        <f t="shared" si="8"/>
        <v>538</v>
      </c>
      <c r="J53" s="149" t="s">
        <v>94</v>
      </c>
    </row>
    <row r="54" spans="1:10" s="150" customFormat="1" ht="18" customHeight="1">
      <c r="A54" s="144">
        <v>71521100</v>
      </c>
      <c r="B54" s="391" t="s">
        <v>96</v>
      </c>
      <c r="C54" s="391"/>
      <c r="D54" s="391"/>
      <c r="E54" s="145" t="s">
        <v>81</v>
      </c>
      <c r="F54" s="145" t="s">
        <v>77</v>
      </c>
      <c r="G54" s="146">
        <v>775547</v>
      </c>
      <c r="H54" s="147">
        <v>1</v>
      </c>
      <c r="I54" s="148">
        <f t="shared" si="8"/>
        <v>775.6</v>
      </c>
      <c r="J54" s="149" t="s">
        <v>95</v>
      </c>
    </row>
    <row r="56" spans="1:10" s="87" customFormat="1" ht="44.85" customHeight="1">
      <c r="A56" s="392" t="s">
        <v>115</v>
      </c>
      <c r="B56" s="393"/>
      <c r="C56" s="393"/>
      <c r="D56" s="393"/>
      <c r="E56" s="393"/>
      <c r="F56" s="393"/>
      <c r="G56" s="393"/>
      <c r="H56" s="394"/>
      <c r="I56" s="133">
        <f>+I57</f>
        <v>402911.9</v>
      </c>
      <c r="J56" s="127"/>
    </row>
    <row r="57" spans="1:10" s="137" customFormat="1" ht="17.399999999999999" customHeight="1">
      <c r="A57" s="134" t="s">
        <v>78</v>
      </c>
      <c r="B57" s="134" t="s">
        <v>74</v>
      </c>
      <c r="C57" s="134" t="s">
        <v>75</v>
      </c>
      <c r="D57" s="395" t="s">
        <v>79</v>
      </c>
      <c r="E57" s="396"/>
      <c r="F57" s="396"/>
      <c r="G57" s="396"/>
      <c r="H57" s="397"/>
      <c r="I57" s="135">
        <f>+I58</f>
        <v>402911.9</v>
      </c>
      <c r="J57" s="136"/>
    </row>
    <row r="58" spans="1:10" s="87" customFormat="1" ht="54.75" customHeight="1">
      <c r="A58" s="138" t="s">
        <v>82</v>
      </c>
      <c r="B58" s="398" t="s">
        <v>83</v>
      </c>
      <c r="C58" s="399"/>
      <c r="D58" s="399"/>
      <c r="E58" s="399"/>
      <c r="F58" s="399"/>
      <c r="G58" s="399"/>
      <c r="H58" s="400"/>
      <c r="I58" s="139">
        <f>+I59+I64</f>
        <v>402911.9</v>
      </c>
      <c r="J58" s="127"/>
    </row>
    <row r="59" spans="1:10" s="87" customFormat="1" ht="16.5" customHeight="1">
      <c r="A59" s="140"/>
      <c r="B59" s="401" t="s">
        <v>304</v>
      </c>
      <c r="C59" s="402"/>
      <c r="D59" s="403"/>
      <c r="E59" s="141"/>
      <c r="F59" s="141"/>
      <c r="G59" s="142"/>
      <c r="H59" s="142"/>
      <c r="I59" s="143">
        <f>SUM(I60:I63)</f>
        <v>392666.4</v>
      </c>
      <c r="J59" s="127"/>
    </row>
    <row r="60" spans="1:10" s="150" customFormat="1" ht="31.2" customHeight="1">
      <c r="A60" s="144" t="s">
        <v>122</v>
      </c>
      <c r="B60" s="404" t="s">
        <v>118</v>
      </c>
      <c r="C60" s="405"/>
      <c r="D60" s="406"/>
      <c r="E60" s="145" t="s">
        <v>80</v>
      </c>
      <c r="F60" s="145" t="s">
        <v>77</v>
      </c>
      <c r="G60" s="146">
        <f>249600000*0.55</f>
        <v>137280000</v>
      </c>
      <c r="H60" s="147">
        <v>1</v>
      </c>
      <c r="I60" s="148">
        <f>+ROUNDUP(G60*H60/1000,1)</f>
        <v>137280</v>
      </c>
      <c r="J60" s="149" t="s">
        <v>123</v>
      </c>
    </row>
    <row r="61" spans="1:10" s="150" customFormat="1" ht="31.2" customHeight="1">
      <c r="A61" s="144" t="s">
        <v>124</v>
      </c>
      <c r="B61" s="404" t="s">
        <v>118</v>
      </c>
      <c r="C61" s="405"/>
      <c r="D61" s="406"/>
      <c r="E61" s="145" t="s">
        <v>80</v>
      </c>
      <c r="F61" s="145" t="s">
        <v>77</v>
      </c>
      <c r="G61" s="146">
        <f>142560000*0.7</f>
        <v>99792000</v>
      </c>
      <c r="H61" s="147">
        <v>1</v>
      </c>
      <c r="I61" s="148">
        <f>+ROUNDUP(G61*H61/1000,1)</f>
        <v>99792</v>
      </c>
      <c r="J61" s="149" t="s">
        <v>125</v>
      </c>
    </row>
    <row r="62" spans="1:10" s="150" customFormat="1" ht="31.2" customHeight="1">
      <c r="A62" s="144" t="s">
        <v>120</v>
      </c>
      <c r="B62" s="404" t="s">
        <v>118</v>
      </c>
      <c r="C62" s="405"/>
      <c r="D62" s="406"/>
      <c r="E62" s="145" t="s">
        <v>80</v>
      </c>
      <c r="F62" s="145" t="s">
        <v>77</v>
      </c>
      <c r="G62" s="146">
        <f>168048000*0.55</f>
        <v>92426400.000000015</v>
      </c>
      <c r="H62" s="147">
        <v>1</v>
      </c>
      <c r="I62" s="148">
        <f>+ROUNDUP(G62*H62/1000,1)</f>
        <v>92426.4</v>
      </c>
      <c r="J62" s="149" t="s">
        <v>121</v>
      </c>
    </row>
    <row r="63" spans="1:10" s="150" customFormat="1" ht="31.2" customHeight="1">
      <c r="A63" s="144" t="s">
        <v>117</v>
      </c>
      <c r="B63" s="404" t="s">
        <v>118</v>
      </c>
      <c r="C63" s="405"/>
      <c r="D63" s="406"/>
      <c r="E63" s="145" t="s">
        <v>80</v>
      </c>
      <c r="F63" s="145" t="s">
        <v>77</v>
      </c>
      <c r="G63" s="146">
        <f>90240000*0.7</f>
        <v>63167999.999999993</v>
      </c>
      <c r="H63" s="147">
        <v>1</v>
      </c>
      <c r="I63" s="148">
        <f t="shared" ref="I63" si="9">+ROUNDUP(G63*H63/1000,1)</f>
        <v>63168</v>
      </c>
      <c r="J63" s="149" t="s">
        <v>116</v>
      </c>
    </row>
    <row r="64" spans="1:10" s="87" customFormat="1" ht="16.5" customHeight="1">
      <c r="A64" s="140"/>
      <c r="B64" s="401" t="s">
        <v>76</v>
      </c>
      <c r="C64" s="402"/>
      <c r="D64" s="403"/>
      <c r="E64" s="141"/>
      <c r="F64" s="141"/>
      <c r="G64" s="142"/>
      <c r="H64" s="142"/>
      <c r="I64" s="143">
        <f>SUM(I65:I68)</f>
        <v>10245.5</v>
      </c>
      <c r="J64" s="127"/>
    </row>
    <row r="65" spans="1:10" s="150" customFormat="1" ht="18" customHeight="1">
      <c r="A65" s="144">
        <v>71521100</v>
      </c>
      <c r="B65" s="404" t="s">
        <v>96</v>
      </c>
      <c r="C65" s="405"/>
      <c r="D65" s="406"/>
      <c r="E65" s="145" t="s">
        <v>81</v>
      </c>
      <c r="F65" s="145" t="s">
        <v>77</v>
      </c>
      <c r="G65" s="146">
        <f>6340222*0.55</f>
        <v>3487122.1</v>
      </c>
      <c r="H65" s="147">
        <v>1</v>
      </c>
      <c r="I65" s="148">
        <f>+ROUNDUP(G65*H65/1000,1)</f>
        <v>3487.2</v>
      </c>
      <c r="J65" s="149" t="s">
        <v>123</v>
      </c>
    </row>
    <row r="66" spans="1:10" s="150" customFormat="1" ht="18" customHeight="1">
      <c r="A66" s="144">
        <v>71521100</v>
      </c>
      <c r="B66" s="404" t="s">
        <v>96</v>
      </c>
      <c r="C66" s="405"/>
      <c r="D66" s="406"/>
      <c r="E66" s="145" t="s">
        <v>81</v>
      </c>
      <c r="F66" s="145" t="s">
        <v>77</v>
      </c>
      <c r="G66" s="146">
        <f>3744931*0.7</f>
        <v>2621451.6999999997</v>
      </c>
      <c r="H66" s="147">
        <v>1</v>
      </c>
      <c r="I66" s="148">
        <f>+ROUNDUP(G66*H66/1000,1)</f>
        <v>2621.5</v>
      </c>
      <c r="J66" s="149" t="s">
        <v>125</v>
      </c>
    </row>
    <row r="67" spans="1:10" s="150" customFormat="1" ht="18" customHeight="1">
      <c r="A67" s="144">
        <v>71521100</v>
      </c>
      <c r="B67" s="404" t="s">
        <v>96</v>
      </c>
      <c r="C67" s="405"/>
      <c r="D67" s="406"/>
      <c r="E67" s="145" t="s">
        <v>81</v>
      </c>
      <c r="F67" s="145" t="s">
        <v>77</v>
      </c>
      <c r="G67" s="146">
        <f>4406239*0.55</f>
        <v>2423431.4500000002</v>
      </c>
      <c r="H67" s="147">
        <v>1</v>
      </c>
      <c r="I67" s="148">
        <f>+ROUNDUP(G67*H67/1000,1)</f>
        <v>2423.5</v>
      </c>
      <c r="J67" s="149" t="s">
        <v>121</v>
      </c>
    </row>
    <row r="68" spans="1:10" s="150" customFormat="1" ht="18" customHeight="1">
      <c r="A68" s="144">
        <v>71521100</v>
      </c>
      <c r="B68" s="404" t="s">
        <v>96</v>
      </c>
      <c r="C68" s="405"/>
      <c r="D68" s="406"/>
      <c r="E68" s="145" t="s">
        <v>81</v>
      </c>
      <c r="F68" s="145" t="s">
        <v>77</v>
      </c>
      <c r="G68" s="146">
        <f>2447571*0.7</f>
        <v>1713299.7</v>
      </c>
      <c r="H68" s="147">
        <v>1</v>
      </c>
      <c r="I68" s="148">
        <f t="shared" ref="I68" si="10">+ROUNDUP(G68*H68/1000,1)</f>
        <v>1713.3</v>
      </c>
      <c r="J68" s="149" t="s">
        <v>116</v>
      </c>
    </row>
    <row r="70" spans="1:10" s="87" customFormat="1" ht="44.85" customHeight="1">
      <c r="A70" s="407" t="s">
        <v>129</v>
      </c>
      <c r="B70" s="407"/>
      <c r="C70" s="407"/>
      <c r="D70" s="407"/>
      <c r="E70" s="407"/>
      <c r="F70" s="407"/>
      <c r="G70" s="407"/>
      <c r="H70" s="407"/>
      <c r="I70" s="133">
        <f>+I71</f>
        <v>1911.6</v>
      </c>
      <c r="J70" s="127"/>
    </row>
    <row r="71" spans="1:10" s="137" customFormat="1" ht="17.399999999999999">
      <c r="A71" s="134" t="s">
        <v>78</v>
      </c>
      <c r="B71" s="134" t="s">
        <v>74</v>
      </c>
      <c r="C71" s="134" t="s">
        <v>75</v>
      </c>
      <c r="D71" s="395" t="s">
        <v>79</v>
      </c>
      <c r="E71" s="396"/>
      <c r="F71" s="396"/>
      <c r="G71" s="396"/>
      <c r="H71" s="397"/>
      <c r="I71" s="135">
        <f>+I72</f>
        <v>1911.6</v>
      </c>
      <c r="J71" s="136"/>
    </row>
    <row r="72" spans="1:10" s="87" customFormat="1" ht="54.75" customHeight="1">
      <c r="A72" s="138" t="s">
        <v>82</v>
      </c>
      <c r="B72" s="398" t="s">
        <v>83</v>
      </c>
      <c r="C72" s="399"/>
      <c r="D72" s="399"/>
      <c r="E72" s="399"/>
      <c r="F72" s="399"/>
      <c r="G72" s="399"/>
      <c r="H72" s="400"/>
      <c r="I72" s="139">
        <f>+I73</f>
        <v>1911.6</v>
      </c>
      <c r="J72" s="127"/>
    </row>
    <row r="73" spans="1:10" s="87" customFormat="1" ht="16.5" customHeight="1">
      <c r="A73" s="140"/>
      <c r="B73" s="401" t="s">
        <v>76</v>
      </c>
      <c r="C73" s="402"/>
      <c r="D73" s="403"/>
      <c r="E73" s="141"/>
      <c r="F73" s="141"/>
      <c r="G73" s="142"/>
      <c r="H73" s="142"/>
      <c r="I73" s="143">
        <f>+I74</f>
        <v>1911.6</v>
      </c>
      <c r="J73" s="127"/>
    </row>
    <row r="74" spans="1:10" s="150" customFormat="1" ht="31.2" customHeight="1">
      <c r="A74" s="225" t="s">
        <v>310</v>
      </c>
      <c r="B74" s="404" t="s">
        <v>311</v>
      </c>
      <c r="C74" s="405"/>
      <c r="D74" s="406"/>
      <c r="E74" s="145" t="s">
        <v>80</v>
      </c>
      <c r="F74" s="145" t="s">
        <v>77</v>
      </c>
      <c r="G74" s="146">
        <v>1911600</v>
      </c>
      <c r="H74" s="147">
        <v>1</v>
      </c>
      <c r="I74" s="148">
        <f>+ROUNDUP(G74*H74/1000,1)</f>
        <v>1911.6</v>
      </c>
      <c r="J74" s="149"/>
    </row>
    <row r="76" spans="1:10" s="87" customFormat="1" ht="44.85" customHeight="1">
      <c r="A76" s="407" t="s">
        <v>130</v>
      </c>
      <c r="B76" s="407"/>
      <c r="C76" s="407"/>
      <c r="D76" s="407"/>
      <c r="E76" s="407"/>
      <c r="F76" s="407"/>
      <c r="G76" s="407"/>
      <c r="H76" s="407"/>
      <c r="I76" s="133">
        <f>+I77</f>
        <v>518853.5</v>
      </c>
      <c r="J76" s="127"/>
    </row>
    <row r="77" spans="1:10" s="137" customFormat="1" ht="17.399999999999999">
      <c r="A77" s="134" t="s">
        <v>78</v>
      </c>
      <c r="B77" s="134" t="s">
        <v>74</v>
      </c>
      <c r="C77" s="134" t="s">
        <v>75</v>
      </c>
      <c r="D77" s="395" t="s">
        <v>79</v>
      </c>
      <c r="E77" s="396"/>
      <c r="F77" s="396"/>
      <c r="G77" s="396"/>
      <c r="H77" s="397"/>
      <c r="I77" s="135">
        <f>+I78</f>
        <v>518853.5</v>
      </c>
      <c r="J77" s="136"/>
    </row>
    <row r="78" spans="1:10" s="87" customFormat="1" ht="54.75" customHeight="1">
      <c r="A78" s="138" t="s">
        <v>82</v>
      </c>
      <c r="B78" s="398" t="s">
        <v>83</v>
      </c>
      <c r="C78" s="399"/>
      <c r="D78" s="399"/>
      <c r="E78" s="399"/>
      <c r="F78" s="399"/>
      <c r="G78" s="399"/>
      <c r="H78" s="400"/>
      <c r="I78" s="139">
        <f>+I79+I85</f>
        <v>518853.5</v>
      </c>
      <c r="J78" s="127"/>
    </row>
    <row r="79" spans="1:10" s="87" customFormat="1" ht="16.5" customHeight="1">
      <c r="A79" s="140"/>
      <c r="B79" s="401" t="s">
        <v>304</v>
      </c>
      <c r="C79" s="402"/>
      <c r="D79" s="403"/>
      <c r="E79" s="141"/>
      <c r="F79" s="141"/>
      <c r="G79" s="142"/>
      <c r="H79" s="142"/>
      <c r="I79" s="143">
        <f>SUM(I80:I84)</f>
        <v>506560.4</v>
      </c>
      <c r="J79" s="127"/>
    </row>
    <row r="80" spans="1:10" s="150" customFormat="1" ht="31.2" customHeight="1">
      <c r="A80" s="144" t="s">
        <v>122</v>
      </c>
      <c r="B80" s="404" t="s">
        <v>118</v>
      </c>
      <c r="C80" s="405"/>
      <c r="D80" s="406"/>
      <c r="E80" s="145" t="s">
        <v>80</v>
      </c>
      <c r="F80" s="145" t="s">
        <v>77</v>
      </c>
      <c r="G80" s="146">
        <f>143400000*0.7</f>
        <v>100380000</v>
      </c>
      <c r="H80" s="147">
        <v>1</v>
      </c>
      <c r="I80" s="148">
        <f>+ROUNDUP(G80*H80/1000,1)</f>
        <v>100380</v>
      </c>
      <c r="J80" s="149" t="s">
        <v>134</v>
      </c>
    </row>
    <row r="81" spans="1:10" s="150" customFormat="1" ht="31.2" customHeight="1">
      <c r="A81" s="144" t="s">
        <v>124</v>
      </c>
      <c r="B81" s="404" t="s">
        <v>118</v>
      </c>
      <c r="C81" s="405"/>
      <c r="D81" s="406"/>
      <c r="E81" s="145" t="s">
        <v>80</v>
      </c>
      <c r="F81" s="145" t="s">
        <v>77</v>
      </c>
      <c r="G81" s="146">
        <f>247077077*0.55</f>
        <v>135892392.35000002</v>
      </c>
      <c r="H81" s="147">
        <v>1</v>
      </c>
      <c r="I81" s="148">
        <f>+ROUNDUP(G81*H81/1000,1)</f>
        <v>135892.4</v>
      </c>
      <c r="J81" s="149" t="s">
        <v>131</v>
      </c>
    </row>
    <row r="82" spans="1:10" s="150" customFormat="1" ht="31.2" customHeight="1">
      <c r="A82" s="144" t="s">
        <v>120</v>
      </c>
      <c r="B82" s="404" t="s">
        <v>118</v>
      </c>
      <c r="C82" s="405"/>
      <c r="D82" s="406"/>
      <c r="E82" s="145" t="s">
        <v>80</v>
      </c>
      <c r="F82" s="145" t="s">
        <v>77</v>
      </c>
      <c r="G82" s="146">
        <f>162960000*0.55</f>
        <v>89628000</v>
      </c>
      <c r="H82" s="147">
        <v>1</v>
      </c>
      <c r="I82" s="148">
        <f t="shared" ref="I82" si="11">+ROUNDUP(G82*H82/1000,1)</f>
        <v>89628</v>
      </c>
      <c r="J82" s="149" t="s">
        <v>135</v>
      </c>
    </row>
    <row r="83" spans="1:10" s="150" customFormat="1" ht="31.2" customHeight="1">
      <c r="A83" s="144" t="s">
        <v>117</v>
      </c>
      <c r="B83" s="404" t="s">
        <v>118</v>
      </c>
      <c r="C83" s="405"/>
      <c r="D83" s="406"/>
      <c r="E83" s="145" t="s">
        <v>80</v>
      </c>
      <c r="F83" s="145" t="s">
        <v>77</v>
      </c>
      <c r="G83" s="146">
        <f>171240000*0.55</f>
        <v>94182000.000000015</v>
      </c>
      <c r="H83" s="147">
        <v>1</v>
      </c>
      <c r="I83" s="148">
        <f t="shared" ref="I83" si="12">+ROUNDUP(G83*H83/1000,1)</f>
        <v>94182</v>
      </c>
      <c r="J83" s="149" t="s">
        <v>136</v>
      </c>
    </row>
    <row r="84" spans="1:10" s="150" customFormat="1" ht="31.2" customHeight="1">
      <c r="A84" s="144" t="s">
        <v>119</v>
      </c>
      <c r="B84" s="404" t="s">
        <v>118</v>
      </c>
      <c r="C84" s="405"/>
      <c r="D84" s="406"/>
      <c r="E84" s="145" t="s">
        <v>80</v>
      </c>
      <c r="F84" s="145" t="s">
        <v>77</v>
      </c>
      <c r="G84" s="146">
        <f>123540000*0.7</f>
        <v>86478000</v>
      </c>
      <c r="H84" s="147">
        <v>1</v>
      </c>
      <c r="I84" s="148">
        <f>+ROUNDUP(G84*H84/1000,1)</f>
        <v>86478</v>
      </c>
      <c r="J84" s="149" t="s">
        <v>132</v>
      </c>
    </row>
    <row r="85" spans="1:10" s="87" customFormat="1" ht="16.5" customHeight="1">
      <c r="A85" s="140"/>
      <c r="B85" s="401" t="s">
        <v>76</v>
      </c>
      <c r="C85" s="402"/>
      <c r="D85" s="403"/>
      <c r="E85" s="141"/>
      <c r="F85" s="141"/>
      <c r="G85" s="142"/>
      <c r="H85" s="142"/>
      <c r="I85" s="143">
        <f>SUM(I86:I90)</f>
        <v>12293.1</v>
      </c>
      <c r="J85" s="127"/>
    </row>
    <row r="86" spans="1:10" s="150" customFormat="1" ht="18" customHeight="1">
      <c r="A86" s="144">
        <v>71521100</v>
      </c>
      <c r="B86" s="391" t="s">
        <v>96</v>
      </c>
      <c r="C86" s="391"/>
      <c r="D86" s="391"/>
      <c r="E86" s="145" t="s">
        <v>81</v>
      </c>
      <c r="F86" s="145" t="s">
        <v>77</v>
      </c>
      <c r="G86" s="146">
        <f>3462059*0.7</f>
        <v>2423441.2999999998</v>
      </c>
      <c r="H86" s="147">
        <v>1</v>
      </c>
      <c r="I86" s="148">
        <f>+ROUNDUP(G86*H86/1000,1)</f>
        <v>2423.5</v>
      </c>
      <c r="J86" s="149" t="s">
        <v>134</v>
      </c>
    </row>
    <row r="87" spans="1:10" s="150" customFormat="1" ht="18" customHeight="1">
      <c r="A87" s="144">
        <v>71521100</v>
      </c>
      <c r="B87" s="391" t="s">
        <v>96</v>
      </c>
      <c r="C87" s="391"/>
      <c r="D87" s="391"/>
      <c r="E87" s="145" t="s">
        <v>81</v>
      </c>
      <c r="F87" s="145" t="s">
        <v>77</v>
      </c>
      <c r="G87" s="146">
        <f>5859200*0.55</f>
        <v>3222560.0000000005</v>
      </c>
      <c r="H87" s="147">
        <v>1</v>
      </c>
      <c r="I87" s="148">
        <f>+ROUNDUP(G87*H87/1000,1)</f>
        <v>3222.6</v>
      </c>
      <c r="J87" s="149" t="s">
        <v>131</v>
      </c>
    </row>
    <row r="88" spans="1:10" s="150" customFormat="1" ht="18" customHeight="1">
      <c r="A88" s="144">
        <v>71521100</v>
      </c>
      <c r="B88" s="391" t="s">
        <v>96</v>
      </c>
      <c r="C88" s="391"/>
      <c r="D88" s="391"/>
      <c r="E88" s="145" t="s">
        <v>81</v>
      </c>
      <c r="F88" s="145" t="s">
        <v>77</v>
      </c>
      <c r="G88" s="146">
        <f>4143764*0.55</f>
        <v>2279070.2000000002</v>
      </c>
      <c r="H88" s="147">
        <v>1</v>
      </c>
      <c r="I88" s="148">
        <f t="shared" ref="I88" si="13">+ROUNDUP(G88*H88/1000,1)</f>
        <v>2279.1</v>
      </c>
      <c r="J88" s="149" t="s">
        <v>135</v>
      </c>
    </row>
    <row r="89" spans="1:10" s="150" customFormat="1" ht="18" customHeight="1">
      <c r="A89" s="144">
        <v>71521100</v>
      </c>
      <c r="B89" s="391" t="s">
        <v>96</v>
      </c>
      <c r="C89" s="391"/>
      <c r="D89" s="391"/>
      <c r="E89" s="145" t="s">
        <v>81</v>
      </c>
      <c r="F89" s="145" t="s">
        <v>77</v>
      </c>
      <c r="G89" s="146">
        <f>4187852*0.55</f>
        <v>2303318.6</v>
      </c>
      <c r="H89" s="147">
        <v>1</v>
      </c>
      <c r="I89" s="148">
        <f>+ROUNDUP(G89*H89/1000,1)</f>
        <v>2303.4</v>
      </c>
      <c r="J89" s="149" t="s">
        <v>136</v>
      </c>
    </row>
    <row r="90" spans="1:10" s="150" customFormat="1" ht="18" customHeight="1">
      <c r="A90" s="144">
        <v>71521100</v>
      </c>
      <c r="B90" s="391" t="s">
        <v>96</v>
      </c>
      <c r="C90" s="391"/>
      <c r="D90" s="391"/>
      <c r="E90" s="145" t="s">
        <v>81</v>
      </c>
      <c r="F90" s="145" t="s">
        <v>77</v>
      </c>
      <c r="G90" s="146">
        <f>2949248*0.7</f>
        <v>2064473.5999999999</v>
      </c>
      <c r="H90" s="147">
        <v>1</v>
      </c>
      <c r="I90" s="148">
        <f>+ROUNDUP(G90*H90/1000,1)</f>
        <v>2064.5</v>
      </c>
      <c r="J90" s="149" t="s">
        <v>133</v>
      </c>
    </row>
    <row r="92" spans="1:10" s="87" customFormat="1" ht="44.85" customHeight="1">
      <c r="A92" s="407" t="s">
        <v>139</v>
      </c>
      <c r="B92" s="407"/>
      <c r="C92" s="407"/>
      <c r="D92" s="407"/>
      <c r="E92" s="407"/>
      <c r="F92" s="407"/>
      <c r="G92" s="407"/>
      <c r="H92" s="407"/>
      <c r="I92" s="133">
        <f>+I93</f>
        <v>319244.3</v>
      </c>
      <c r="J92" s="127"/>
    </row>
    <row r="93" spans="1:10" s="137" customFormat="1" ht="17.399999999999999">
      <c r="A93" s="134" t="s">
        <v>78</v>
      </c>
      <c r="B93" s="134" t="s">
        <v>74</v>
      </c>
      <c r="C93" s="134" t="s">
        <v>75</v>
      </c>
      <c r="D93" s="395" t="s">
        <v>79</v>
      </c>
      <c r="E93" s="396"/>
      <c r="F93" s="396"/>
      <c r="G93" s="396"/>
      <c r="H93" s="397"/>
      <c r="I93" s="135">
        <f>+I94</f>
        <v>319244.3</v>
      </c>
      <c r="J93" s="136"/>
    </row>
    <row r="94" spans="1:10" s="87" customFormat="1" ht="54.75" customHeight="1">
      <c r="A94" s="138" t="s">
        <v>82</v>
      </c>
      <c r="B94" s="398" t="s">
        <v>83</v>
      </c>
      <c r="C94" s="399"/>
      <c r="D94" s="399"/>
      <c r="E94" s="399"/>
      <c r="F94" s="399"/>
      <c r="G94" s="399"/>
      <c r="H94" s="400"/>
      <c r="I94" s="139">
        <f>+I95+I99</f>
        <v>319244.3</v>
      </c>
      <c r="J94" s="127"/>
    </row>
    <row r="95" spans="1:10" s="87" customFormat="1" ht="16.5" customHeight="1">
      <c r="A95" s="140"/>
      <c r="B95" s="401" t="s">
        <v>304</v>
      </c>
      <c r="C95" s="402"/>
      <c r="D95" s="403"/>
      <c r="E95" s="141"/>
      <c r="F95" s="141"/>
      <c r="G95" s="142"/>
      <c r="H95" s="142"/>
      <c r="I95" s="143">
        <f>SUM(I96:I98)</f>
        <v>311390.7</v>
      </c>
      <c r="J95" s="127"/>
    </row>
    <row r="96" spans="1:10" s="150" customFormat="1" ht="31.2" customHeight="1">
      <c r="A96" s="144" t="s">
        <v>117</v>
      </c>
      <c r="B96" s="391" t="s">
        <v>118</v>
      </c>
      <c r="C96" s="391"/>
      <c r="D96" s="391"/>
      <c r="E96" s="145" t="s">
        <v>80</v>
      </c>
      <c r="F96" s="145" t="s">
        <v>77</v>
      </c>
      <c r="G96" s="146">
        <f>179866800*0.55</f>
        <v>98926740.000000015</v>
      </c>
      <c r="H96" s="147">
        <v>1</v>
      </c>
      <c r="I96" s="148">
        <f>+ROUNDUP(G96*H96/1000,1)</f>
        <v>98926.8</v>
      </c>
      <c r="J96" s="149" t="s">
        <v>140</v>
      </c>
    </row>
    <row r="97" spans="1:10" s="150" customFormat="1" ht="31.2" customHeight="1">
      <c r="A97" s="144" t="s">
        <v>124</v>
      </c>
      <c r="B97" s="391" t="s">
        <v>118</v>
      </c>
      <c r="C97" s="391"/>
      <c r="D97" s="391"/>
      <c r="E97" s="145" t="s">
        <v>80</v>
      </c>
      <c r="F97" s="145" t="s">
        <v>77</v>
      </c>
      <c r="G97" s="146">
        <f>207498000*0.55</f>
        <v>114123900.00000001</v>
      </c>
      <c r="H97" s="147">
        <v>1</v>
      </c>
      <c r="I97" s="148">
        <f t="shared" ref="I97" si="14">+ROUNDUP(G97*H97/1000,1)</f>
        <v>114123.9</v>
      </c>
      <c r="J97" s="149" t="s">
        <v>142</v>
      </c>
    </row>
    <row r="98" spans="1:10" s="150" customFormat="1" ht="31.2" customHeight="1">
      <c r="A98" s="144" t="s">
        <v>120</v>
      </c>
      <c r="B98" s="391" t="s">
        <v>118</v>
      </c>
      <c r="C98" s="391"/>
      <c r="D98" s="391"/>
      <c r="E98" s="145" t="s">
        <v>80</v>
      </c>
      <c r="F98" s="145" t="s">
        <v>77</v>
      </c>
      <c r="G98" s="146">
        <f>178800000*0.55</f>
        <v>98340000.000000015</v>
      </c>
      <c r="H98" s="147">
        <v>1</v>
      </c>
      <c r="I98" s="148">
        <f>+ROUNDUP(G98*H98/1000,1)</f>
        <v>98340</v>
      </c>
      <c r="J98" s="149" t="s">
        <v>141</v>
      </c>
    </row>
    <row r="99" spans="1:10" s="87" customFormat="1" ht="16.5" customHeight="1">
      <c r="A99" s="140"/>
      <c r="B99" s="401" t="s">
        <v>76</v>
      </c>
      <c r="C99" s="402"/>
      <c r="D99" s="403"/>
      <c r="E99" s="141"/>
      <c r="F99" s="141"/>
      <c r="G99" s="142"/>
      <c r="H99" s="142"/>
      <c r="I99" s="143">
        <f>SUM(I100:I102)</f>
        <v>7853.6</v>
      </c>
      <c r="J99" s="127"/>
    </row>
    <row r="100" spans="1:10" s="150" customFormat="1" ht="18" customHeight="1">
      <c r="A100" s="144">
        <v>71521100</v>
      </c>
      <c r="B100" s="391" t="s">
        <v>96</v>
      </c>
      <c r="C100" s="391"/>
      <c r="D100" s="391"/>
      <c r="E100" s="145" t="s">
        <v>81</v>
      </c>
      <c r="F100" s="145" t="s">
        <v>77</v>
      </c>
      <c r="G100" s="146">
        <f>4740908*0.55</f>
        <v>2607499.4000000004</v>
      </c>
      <c r="H100" s="147">
        <v>1</v>
      </c>
      <c r="I100" s="148">
        <f>+ROUNDUP(G100*H100/1000,1)</f>
        <v>2607.5</v>
      </c>
      <c r="J100" s="149" t="s">
        <v>140</v>
      </c>
    </row>
    <row r="101" spans="1:10" s="150" customFormat="1" ht="18" customHeight="1">
      <c r="A101" s="144">
        <v>71521100</v>
      </c>
      <c r="B101" s="391" t="s">
        <v>96</v>
      </c>
      <c r="C101" s="391"/>
      <c r="D101" s="391"/>
      <c r="E101" s="145" t="s">
        <v>81</v>
      </c>
      <c r="F101" s="145" t="s">
        <v>77</v>
      </c>
      <c r="G101" s="146">
        <f>5187460*0.55</f>
        <v>2853103</v>
      </c>
      <c r="H101" s="147">
        <v>1</v>
      </c>
      <c r="I101" s="148">
        <f t="shared" ref="I101" si="15">+ROUNDUP(G101*H101/1000,1)</f>
        <v>2853.2</v>
      </c>
      <c r="J101" s="149" t="s">
        <v>142</v>
      </c>
    </row>
    <row r="102" spans="1:10" s="150" customFormat="1" ht="18" customHeight="1">
      <c r="A102" s="144">
        <v>71521100</v>
      </c>
      <c r="B102" s="391" t="s">
        <v>96</v>
      </c>
      <c r="C102" s="391"/>
      <c r="D102" s="391"/>
      <c r="E102" s="145" t="s">
        <v>81</v>
      </c>
      <c r="F102" s="145" t="s">
        <v>77</v>
      </c>
      <c r="G102" s="146">
        <f>4350563*0.55</f>
        <v>2392809.6500000004</v>
      </c>
      <c r="H102" s="147">
        <v>1</v>
      </c>
      <c r="I102" s="148">
        <f>+ROUNDUP(G102*H102/1000,1)</f>
        <v>2392.9</v>
      </c>
      <c r="J102" s="149" t="s">
        <v>141</v>
      </c>
    </row>
    <row r="104" spans="1:10" s="87" customFormat="1" ht="44.85" customHeight="1">
      <c r="A104" s="407" t="s">
        <v>146</v>
      </c>
      <c r="B104" s="407"/>
      <c r="C104" s="407"/>
      <c r="D104" s="407"/>
      <c r="E104" s="407"/>
      <c r="F104" s="407"/>
      <c r="G104" s="407"/>
      <c r="H104" s="407"/>
      <c r="I104" s="133">
        <f>+I105</f>
        <v>204784.09999999998</v>
      </c>
      <c r="J104" s="127"/>
    </row>
    <row r="105" spans="1:10" s="137" customFormat="1" ht="17.399999999999999">
      <c r="A105" s="134" t="s">
        <v>78</v>
      </c>
      <c r="B105" s="134" t="s">
        <v>74</v>
      </c>
      <c r="C105" s="134" t="s">
        <v>75</v>
      </c>
      <c r="D105" s="395" t="s">
        <v>79</v>
      </c>
      <c r="E105" s="396"/>
      <c r="F105" s="396"/>
      <c r="G105" s="396"/>
      <c r="H105" s="397"/>
      <c r="I105" s="135">
        <f>+I106</f>
        <v>204784.09999999998</v>
      </c>
      <c r="J105" s="136"/>
    </row>
    <row r="106" spans="1:10" s="87" customFormat="1" ht="54.75" customHeight="1">
      <c r="A106" s="138" t="s">
        <v>82</v>
      </c>
      <c r="B106" s="398" t="s">
        <v>83</v>
      </c>
      <c r="C106" s="399"/>
      <c r="D106" s="399"/>
      <c r="E106" s="399"/>
      <c r="F106" s="399"/>
      <c r="G106" s="399"/>
      <c r="H106" s="400"/>
      <c r="I106" s="139">
        <f>+I107+I111</f>
        <v>204784.09999999998</v>
      </c>
      <c r="J106" s="127"/>
    </row>
    <row r="107" spans="1:10" s="87" customFormat="1" ht="16.5" customHeight="1">
      <c r="A107" s="140"/>
      <c r="B107" s="401" t="s">
        <v>304</v>
      </c>
      <c r="C107" s="402"/>
      <c r="D107" s="403"/>
      <c r="E107" s="141"/>
      <c r="F107" s="141"/>
      <c r="G107" s="142"/>
      <c r="H107" s="142"/>
      <c r="I107" s="143">
        <f>SUM(I108:I110)</f>
        <v>199884.3</v>
      </c>
      <c r="J107" s="127"/>
    </row>
    <row r="108" spans="1:10" s="150" customFormat="1" ht="31.2" customHeight="1">
      <c r="A108" s="144" t="s">
        <v>124</v>
      </c>
      <c r="B108" s="404" t="s">
        <v>118</v>
      </c>
      <c r="C108" s="405"/>
      <c r="D108" s="406"/>
      <c r="E108" s="145" t="s">
        <v>80</v>
      </c>
      <c r="F108" s="145" t="s">
        <v>77</v>
      </c>
      <c r="G108" s="146">
        <f>62400000</f>
        <v>62400000</v>
      </c>
      <c r="H108" s="147">
        <v>1</v>
      </c>
      <c r="I108" s="148">
        <f>+ROUNDUP(G108*H108/1000,1)</f>
        <v>62400</v>
      </c>
      <c r="J108" s="149" t="s">
        <v>147</v>
      </c>
    </row>
    <row r="109" spans="1:10" s="150" customFormat="1" ht="31.2" customHeight="1">
      <c r="A109" s="144" t="s">
        <v>120</v>
      </c>
      <c r="B109" s="404" t="s">
        <v>118</v>
      </c>
      <c r="C109" s="405"/>
      <c r="D109" s="406"/>
      <c r="E109" s="145" t="s">
        <v>80</v>
      </c>
      <c r="F109" s="145" t="s">
        <v>77</v>
      </c>
      <c r="G109" s="146">
        <f>75216000*0.7</f>
        <v>52651200</v>
      </c>
      <c r="H109" s="147">
        <v>1</v>
      </c>
      <c r="I109" s="148">
        <f t="shared" ref="I109" si="16">+ROUNDUP(G109*H109/1000,1)</f>
        <v>52651.199999999997</v>
      </c>
      <c r="J109" s="149" t="s">
        <v>148</v>
      </c>
    </row>
    <row r="110" spans="1:10" s="150" customFormat="1" ht="31.2" customHeight="1">
      <c r="A110" s="144" t="s">
        <v>117</v>
      </c>
      <c r="B110" s="404" t="s">
        <v>118</v>
      </c>
      <c r="C110" s="405"/>
      <c r="D110" s="406"/>
      <c r="E110" s="145" t="s">
        <v>80</v>
      </c>
      <c r="F110" s="145" t="s">
        <v>77</v>
      </c>
      <c r="G110" s="146">
        <f>154242000*0.55</f>
        <v>84833100</v>
      </c>
      <c r="H110" s="147">
        <v>1</v>
      </c>
      <c r="I110" s="148">
        <f>+ROUNDUP(G110*H110/1000,1)</f>
        <v>84833.1</v>
      </c>
      <c r="J110" s="149" t="s">
        <v>149</v>
      </c>
    </row>
    <row r="111" spans="1:10" s="87" customFormat="1" ht="16.5" customHeight="1">
      <c r="A111" s="140"/>
      <c r="B111" s="401" t="s">
        <v>76</v>
      </c>
      <c r="C111" s="402"/>
      <c r="D111" s="403"/>
      <c r="E111" s="141"/>
      <c r="F111" s="141"/>
      <c r="G111" s="142"/>
      <c r="H111" s="142"/>
      <c r="I111" s="143">
        <f>SUM(I112:I114)</f>
        <v>4899.7999999999993</v>
      </c>
      <c r="J111" s="127"/>
    </row>
    <row r="112" spans="1:10" s="150" customFormat="1" ht="18" customHeight="1">
      <c r="A112" s="144">
        <v>71521100</v>
      </c>
      <c r="B112" s="391" t="s">
        <v>96</v>
      </c>
      <c r="C112" s="391"/>
      <c r="D112" s="391"/>
      <c r="E112" s="145" t="s">
        <v>81</v>
      </c>
      <c r="F112" s="145" t="s">
        <v>77</v>
      </c>
      <c r="G112" s="146">
        <f>1503871</f>
        <v>1503871</v>
      </c>
      <c r="H112" s="147">
        <v>1</v>
      </c>
      <c r="I112" s="148">
        <f>+ROUNDUP(G112*H112/1000,1)</f>
        <v>1503.8999999999999</v>
      </c>
      <c r="J112" s="149" t="s">
        <v>147</v>
      </c>
    </row>
    <row r="113" spans="1:10" s="150" customFormat="1" ht="18" customHeight="1">
      <c r="A113" s="144">
        <v>71521100</v>
      </c>
      <c r="B113" s="391" t="s">
        <v>96</v>
      </c>
      <c r="C113" s="391"/>
      <c r="D113" s="391"/>
      <c r="E113" s="145" t="s">
        <v>81</v>
      </c>
      <c r="F113" s="145" t="s">
        <v>77</v>
      </c>
      <c r="G113" s="146">
        <f>1773633*0.7</f>
        <v>1241543.0999999999</v>
      </c>
      <c r="H113" s="147">
        <v>1</v>
      </c>
      <c r="I113" s="148">
        <f t="shared" ref="I113" si="17">+ROUNDUP(G113*H113/1000,1)</f>
        <v>1241.5999999999999</v>
      </c>
      <c r="J113" s="149" t="s">
        <v>148</v>
      </c>
    </row>
    <row r="114" spans="1:10" s="150" customFormat="1" ht="18" customHeight="1">
      <c r="A114" s="144">
        <v>71521100</v>
      </c>
      <c r="B114" s="391" t="s">
        <v>96</v>
      </c>
      <c r="C114" s="391"/>
      <c r="D114" s="391"/>
      <c r="E114" s="145" t="s">
        <v>81</v>
      </c>
      <c r="F114" s="145" t="s">
        <v>77</v>
      </c>
      <c r="G114" s="146">
        <f>3916756*0.55</f>
        <v>2154215.8000000003</v>
      </c>
      <c r="H114" s="147">
        <v>1</v>
      </c>
      <c r="I114" s="148">
        <f>+ROUNDUP(G114*H114/1000,1)</f>
        <v>2154.2999999999997</v>
      </c>
      <c r="J114" s="149" t="s">
        <v>149</v>
      </c>
    </row>
    <row r="116" spans="1:10" s="87" customFormat="1" ht="44.85" customHeight="1">
      <c r="A116" s="407" t="s">
        <v>154</v>
      </c>
      <c r="B116" s="407"/>
      <c r="C116" s="407"/>
      <c r="D116" s="407"/>
      <c r="E116" s="407"/>
      <c r="F116" s="407"/>
      <c r="G116" s="407"/>
      <c r="H116" s="407"/>
      <c r="I116" s="133">
        <f>+I117</f>
        <v>170029.90000000002</v>
      </c>
      <c r="J116" s="127"/>
    </row>
    <row r="117" spans="1:10" s="137" customFormat="1" ht="17.399999999999999">
      <c r="A117" s="134" t="s">
        <v>78</v>
      </c>
      <c r="B117" s="134" t="s">
        <v>74</v>
      </c>
      <c r="C117" s="134" t="s">
        <v>75</v>
      </c>
      <c r="D117" s="395" t="s">
        <v>79</v>
      </c>
      <c r="E117" s="396"/>
      <c r="F117" s="396"/>
      <c r="G117" s="396"/>
      <c r="H117" s="397"/>
      <c r="I117" s="135">
        <f>+I118</f>
        <v>170029.90000000002</v>
      </c>
      <c r="J117" s="136"/>
    </row>
    <row r="118" spans="1:10" s="87" customFormat="1" ht="54.75" customHeight="1">
      <c r="A118" s="138" t="s">
        <v>82</v>
      </c>
      <c r="B118" s="398" t="s">
        <v>83</v>
      </c>
      <c r="C118" s="399"/>
      <c r="D118" s="399"/>
      <c r="E118" s="399"/>
      <c r="F118" s="399"/>
      <c r="G118" s="399"/>
      <c r="H118" s="400"/>
      <c r="I118" s="139">
        <f>+I119+I123</f>
        <v>170029.90000000002</v>
      </c>
      <c r="J118" s="127"/>
    </row>
    <row r="119" spans="1:10" s="87" customFormat="1" ht="16.5" customHeight="1">
      <c r="A119" s="140"/>
      <c r="B119" s="401" t="s">
        <v>304</v>
      </c>
      <c r="C119" s="402"/>
      <c r="D119" s="403"/>
      <c r="E119" s="141"/>
      <c r="F119" s="141"/>
      <c r="G119" s="142"/>
      <c r="H119" s="142"/>
      <c r="I119" s="143">
        <f>SUM(I120:I122)</f>
        <v>165688.20000000001</v>
      </c>
      <c r="J119" s="127"/>
    </row>
    <row r="120" spans="1:10" s="150" customFormat="1" ht="31.2" customHeight="1">
      <c r="A120" s="144" t="s">
        <v>122</v>
      </c>
      <c r="B120" s="404" t="s">
        <v>118</v>
      </c>
      <c r="C120" s="405"/>
      <c r="D120" s="406"/>
      <c r="E120" s="145" t="s">
        <v>80</v>
      </c>
      <c r="F120" s="145" t="s">
        <v>77</v>
      </c>
      <c r="G120" s="146">
        <f>85000000*0.7</f>
        <v>59499999.999999993</v>
      </c>
      <c r="H120" s="147">
        <v>1</v>
      </c>
      <c r="I120" s="148">
        <f>+ROUNDUP(G120*H120/1000,1)</f>
        <v>59500</v>
      </c>
      <c r="J120" s="149" t="s">
        <v>155</v>
      </c>
    </row>
    <row r="121" spans="1:10" s="150" customFormat="1" ht="31.2" customHeight="1">
      <c r="A121" s="144" t="s">
        <v>124</v>
      </c>
      <c r="B121" s="404" t="s">
        <v>118</v>
      </c>
      <c r="C121" s="405"/>
      <c r="D121" s="406"/>
      <c r="E121" s="145" t="s">
        <v>80</v>
      </c>
      <c r="F121" s="145" t="s">
        <v>77</v>
      </c>
      <c r="G121" s="146">
        <f>51000124</f>
        <v>51000124</v>
      </c>
      <c r="H121" s="147">
        <v>1</v>
      </c>
      <c r="I121" s="148">
        <f t="shared" ref="I121" si="18">+ROUNDUP(G121*H121/1000,1)</f>
        <v>51000.2</v>
      </c>
      <c r="J121" s="149" t="s">
        <v>156</v>
      </c>
    </row>
    <row r="122" spans="1:10" s="150" customFormat="1" ht="31.2" customHeight="1">
      <c r="A122" s="144" t="s">
        <v>120</v>
      </c>
      <c r="B122" s="404" t="s">
        <v>118</v>
      </c>
      <c r="C122" s="405"/>
      <c r="D122" s="406"/>
      <c r="E122" s="145" t="s">
        <v>80</v>
      </c>
      <c r="F122" s="145" t="s">
        <v>77</v>
      </c>
      <c r="G122" s="146">
        <f>78840000*0.7</f>
        <v>55188000</v>
      </c>
      <c r="H122" s="147">
        <v>1</v>
      </c>
      <c r="I122" s="148">
        <f>+ROUNDUP(G122*H122/1000,1)</f>
        <v>55188</v>
      </c>
      <c r="J122" s="149" t="s">
        <v>157</v>
      </c>
    </row>
    <row r="123" spans="1:10" s="87" customFormat="1" ht="16.5" customHeight="1">
      <c r="A123" s="140"/>
      <c r="B123" s="401" t="s">
        <v>76</v>
      </c>
      <c r="C123" s="402"/>
      <c r="D123" s="403"/>
      <c r="E123" s="141"/>
      <c r="F123" s="141"/>
      <c r="G123" s="142"/>
      <c r="H123" s="142"/>
      <c r="I123" s="143">
        <f>SUM(I124:I126)</f>
        <v>4341.7</v>
      </c>
      <c r="J123" s="127"/>
    </row>
    <row r="124" spans="1:10" s="150" customFormat="1" ht="18" customHeight="1">
      <c r="A124" s="144">
        <v>71521100</v>
      </c>
      <c r="B124" s="391" t="s">
        <v>96</v>
      </c>
      <c r="C124" s="391"/>
      <c r="D124" s="391"/>
      <c r="E124" s="145" t="s">
        <v>81</v>
      </c>
      <c r="F124" s="145" t="s">
        <v>77</v>
      </c>
      <c r="G124" s="146">
        <f>2079282*0.7</f>
        <v>1455497.4</v>
      </c>
      <c r="H124" s="147">
        <v>1</v>
      </c>
      <c r="I124" s="148">
        <f>+ROUNDUP(G124*H124/1000,1)</f>
        <v>1455.5</v>
      </c>
      <c r="J124" s="149" t="s">
        <v>155</v>
      </c>
    </row>
    <row r="125" spans="1:10" s="150" customFormat="1" ht="18" customHeight="1">
      <c r="A125" s="144">
        <v>71521100</v>
      </c>
      <c r="B125" s="391" t="s">
        <v>96</v>
      </c>
      <c r="C125" s="391"/>
      <c r="D125" s="391"/>
      <c r="E125" s="145" t="s">
        <v>81</v>
      </c>
      <c r="F125" s="145" t="s">
        <v>77</v>
      </c>
      <c r="G125" s="146">
        <f>1402086</f>
        <v>1402086</v>
      </c>
      <c r="H125" s="147">
        <v>1</v>
      </c>
      <c r="I125" s="148">
        <f t="shared" ref="I125" si="19">+ROUNDUP(G125*H125/1000,1)</f>
        <v>1402.1</v>
      </c>
      <c r="J125" s="149" t="s">
        <v>156</v>
      </c>
    </row>
    <row r="126" spans="1:10" s="150" customFormat="1" ht="18" customHeight="1">
      <c r="A126" s="144">
        <v>71521100</v>
      </c>
      <c r="B126" s="391" t="s">
        <v>96</v>
      </c>
      <c r="C126" s="391"/>
      <c r="D126" s="391"/>
      <c r="E126" s="145" t="s">
        <v>81</v>
      </c>
      <c r="F126" s="145" t="s">
        <v>77</v>
      </c>
      <c r="G126" s="146">
        <f>2120019*0.7</f>
        <v>1484013.2999999998</v>
      </c>
      <c r="H126" s="147">
        <v>1</v>
      </c>
      <c r="I126" s="148">
        <f>+ROUNDUP(G126*H126/1000,1)</f>
        <v>1484.1</v>
      </c>
      <c r="J126" s="149" t="s">
        <v>157</v>
      </c>
    </row>
    <row r="128" spans="1:10" s="87" customFormat="1" ht="44.85" customHeight="1">
      <c r="A128" s="407" t="s">
        <v>163</v>
      </c>
      <c r="B128" s="407"/>
      <c r="C128" s="407"/>
      <c r="D128" s="407"/>
      <c r="E128" s="407"/>
      <c r="F128" s="407"/>
      <c r="G128" s="407"/>
      <c r="H128" s="407"/>
      <c r="I128" s="133">
        <f>+I129</f>
        <v>161185.5</v>
      </c>
      <c r="J128" s="127"/>
    </row>
    <row r="129" spans="1:10" s="137" customFormat="1" ht="17.399999999999999">
      <c r="A129" s="134" t="s">
        <v>78</v>
      </c>
      <c r="B129" s="134" t="s">
        <v>74</v>
      </c>
      <c r="C129" s="134" t="s">
        <v>75</v>
      </c>
      <c r="D129" s="395" t="s">
        <v>79</v>
      </c>
      <c r="E129" s="396"/>
      <c r="F129" s="396"/>
      <c r="G129" s="396"/>
      <c r="H129" s="397"/>
      <c r="I129" s="135">
        <f>+I130</f>
        <v>161185.5</v>
      </c>
      <c r="J129" s="136"/>
    </row>
    <row r="130" spans="1:10" s="87" customFormat="1" ht="54.75" customHeight="1">
      <c r="A130" s="138" t="s">
        <v>82</v>
      </c>
      <c r="B130" s="398" t="s">
        <v>83</v>
      </c>
      <c r="C130" s="399"/>
      <c r="D130" s="399"/>
      <c r="E130" s="399"/>
      <c r="F130" s="399"/>
      <c r="G130" s="399"/>
      <c r="H130" s="400"/>
      <c r="I130" s="139">
        <f>+I131+I134</f>
        <v>161185.5</v>
      </c>
      <c r="J130" s="127"/>
    </row>
    <row r="131" spans="1:10" s="87" customFormat="1" ht="16.5" customHeight="1">
      <c r="A131" s="140"/>
      <c r="B131" s="401" t="s">
        <v>304</v>
      </c>
      <c r="C131" s="402"/>
      <c r="D131" s="403"/>
      <c r="E131" s="141"/>
      <c r="F131" s="141"/>
      <c r="G131" s="142"/>
      <c r="H131" s="142"/>
      <c r="I131" s="143">
        <f>SUM(I132:I133)</f>
        <v>157480</v>
      </c>
      <c r="J131" s="127"/>
    </row>
    <row r="132" spans="1:10" s="150" customFormat="1" ht="31.2" customHeight="1">
      <c r="A132" s="144" t="s">
        <v>164</v>
      </c>
      <c r="B132" s="391" t="s">
        <v>86</v>
      </c>
      <c r="C132" s="391"/>
      <c r="D132" s="391"/>
      <c r="E132" s="145" t="s">
        <v>158</v>
      </c>
      <c r="F132" s="145" t="s">
        <v>77</v>
      </c>
      <c r="G132" s="146">
        <f>59620000</f>
        <v>59620000</v>
      </c>
      <c r="H132" s="147">
        <v>1</v>
      </c>
      <c r="I132" s="148">
        <f t="shared" ref="I132:I133" si="20">+ROUNDUP(G132*H132/1000,1)</f>
        <v>59620</v>
      </c>
      <c r="J132" s="149" t="s">
        <v>165</v>
      </c>
    </row>
    <row r="133" spans="1:10" s="150" customFormat="1" ht="31.2" customHeight="1">
      <c r="A133" s="144" t="s">
        <v>85</v>
      </c>
      <c r="B133" s="391" t="s">
        <v>86</v>
      </c>
      <c r="C133" s="391"/>
      <c r="D133" s="391"/>
      <c r="E133" s="145" t="s">
        <v>80</v>
      </c>
      <c r="F133" s="145" t="s">
        <v>77</v>
      </c>
      <c r="G133" s="146">
        <f>139800000*0.7</f>
        <v>97860000</v>
      </c>
      <c r="H133" s="147">
        <v>1</v>
      </c>
      <c r="I133" s="148">
        <f t="shared" si="20"/>
        <v>97860</v>
      </c>
      <c r="J133" s="149" t="s">
        <v>166</v>
      </c>
    </row>
    <row r="134" spans="1:10" s="87" customFormat="1" ht="16.5" customHeight="1">
      <c r="A134" s="140"/>
      <c r="B134" s="401" t="s">
        <v>76</v>
      </c>
      <c r="C134" s="402"/>
      <c r="D134" s="403"/>
      <c r="E134" s="141"/>
      <c r="F134" s="141"/>
      <c r="G134" s="142"/>
      <c r="H134" s="142"/>
      <c r="I134" s="143">
        <f>SUM(I135:I136)</f>
        <v>3705.5</v>
      </c>
      <c r="J134" s="127"/>
    </row>
    <row r="135" spans="1:10" s="150" customFormat="1" ht="18" customHeight="1">
      <c r="A135" s="144">
        <v>71521100</v>
      </c>
      <c r="B135" s="391" t="s">
        <v>96</v>
      </c>
      <c r="C135" s="391"/>
      <c r="D135" s="391"/>
      <c r="E135" s="145" t="s">
        <v>81</v>
      </c>
      <c r="F135" s="145" t="s">
        <v>77</v>
      </c>
      <c r="G135" s="146">
        <f>1250810</f>
        <v>1250810</v>
      </c>
      <c r="H135" s="147">
        <v>1</v>
      </c>
      <c r="I135" s="148">
        <f t="shared" ref="I135:I136" si="21">+ROUNDUP(G135*H135/1000,1)</f>
        <v>1250.8999999999999</v>
      </c>
      <c r="J135" s="149" t="s">
        <v>165</v>
      </c>
    </row>
    <row r="136" spans="1:10" s="150" customFormat="1" ht="18" customHeight="1">
      <c r="A136" s="144">
        <v>71521100</v>
      </c>
      <c r="B136" s="391" t="s">
        <v>96</v>
      </c>
      <c r="C136" s="391"/>
      <c r="D136" s="391"/>
      <c r="E136" s="145" t="s">
        <v>81</v>
      </c>
      <c r="F136" s="145" t="s">
        <v>77</v>
      </c>
      <c r="G136" s="146">
        <f>3506514*0.7</f>
        <v>2454559.7999999998</v>
      </c>
      <c r="H136" s="147">
        <v>1</v>
      </c>
      <c r="I136" s="148">
        <f t="shared" si="21"/>
        <v>2454.6</v>
      </c>
      <c r="J136" s="149" t="s">
        <v>166</v>
      </c>
    </row>
    <row r="138" spans="1:10" s="87" customFormat="1" ht="44.85" customHeight="1">
      <c r="A138" s="407" t="s">
        <v>169</v>
      </c>
      <c r="B138" s="407"/>
      <c r="C138" s="407"/>
      <c r="D138" s="407"/>
      <c r="E138" s="407"/>
      <c r="F138" s="407"/>
      <c r="G138" s="407"/>
      <c r="H138" s="407"/>
      <c r="I138" s="133">
        <f>+I139</f>
        <v>100989.8</v>
      </c>
      <c r="J138" s="127"/>
    </row>
    <row r="139" spans="1:10" s="137" customFormat="1" ht="17.399999999999999">
      <c r="A139" s="134" t="s">
        <v>78</v>
      </c>
      <c r="B139" s="134" t="s">
        <v>74</v>
      </c>
      <c r="C139" s="134" t="s">
        <v>75</v>
      </c>
      <c r="D139" s="395" t="s">
        <v>79</v>
      </c>
      <c r="E139" s="396"/>
      <c r="F139" s="396"/>
      <c r="G139" s="396"/>
      <c r="H139" s="397"/>
      <c r="I139" s="135">
        <f>+I140</f>
        <v>100989.8</v>
      </c>
      <c r="J139" s="136"/>
    </row>
    <row r="140" spans="1:10" s="87" customFormat="1" ht="54.75" customHeight="1">
      <c r="A140" s="138" t="s">
        <v>82</v>
      </c>
      <c r="B140" s="398" t="s">
        <v>83</v>
      </c>
      <c r="C140" s="399"/>
      <c r="D140" s="399"/>
      <c r="E140" s="399"/>
      <c r="F140" s="399"/>
      <c r="G140" s="399"/>
      <c r="H140" s="400"/>
      <c r="I140" s="139">
        <f>+I141+I143</f>
        <v>100989.8</v>
      </c>
      <c r="J140" s="127"/>
    </row>
    <row r="141" spans="1:10" s="87" customFormat="1" ht="16.5" customHeight="1">
      <c r="A141" s="140"/>
      <c r="B141" s="401" t="s">
        <v>304</v>
      </c>
      <c r="C141" s="402"/>
      <c r="D141" s="403"/>
      <c r="E141" s="141"/>
      <c r="F141" s="141"/>
      <c r="G141" s="142"/>
      <c r="H141" s="142"/>
      <c r="I141" s="143">
        <f>SUM(I142:I142)</f>
        <v>99000</v>
      </c>
      <c r="J141" s="127"/>
    </row>
    <row r="142" spans="1:10" s="150" customFormat="1" ht="31.2" customHeight="1">
      <c r="A142" s="144" t="s">
        <v>170</v>
      </c>
      <c r="B142" s="391" t="s">
        <v>171</v>
      </c>
      <c r="C142" s="391"/>
      <c r="D142" s="391"/>
      <c r="E142" s="145" t="s">
        <v>80</v>
      </c>
      <c r="F142" s="145" t="s">
        <v>77</v>
      </c>
      <c r="G142" s="146">
        <f>180000000*0.55</f>
        <v>99000000.000000015</v>
      </c>
      <c r="H142" s="147">
        <v>1</v>
      </c>
      <c r="I142" s="148">
        <f t="shared" ref="I142" si="22">+ROUNDUP(G142*H142/1000,1)</f>
        <v>99000</v>
      </c>
      <c r="J142" s="149" t="s">
        <v>172</v>
      </c>
    </row>
    <row r="143" spans="1:10" s="87" customFormat="1" ht="16.5" customHeight="1">
      <c r="A143" s="140"/>
      <c r="B143" s="401" t="s">
        <v>76</v>
      </c>
      <c r="C143" s="402"/>
      <c r="D143" s="403"/>
      <c r="E143" s="141"/>
      <c r="F143" s="141"/>
      <c r="G143" s="142"/>
      <c r="H143" s="142"/>
      <c r="I143" s="143">
        <f>SUM(I144:I144)</f>
        <v>1989.8</v>
      </c>
      <c r="J143" s="127"/>
    </row>
    <row r="144" spans="1:10" s="150" customFormat="1" ht="18" customHeight="1">
      <c r="A144" s="144">
        <v>71521100</v>
      </c>
      <c r="B144" s="391" t="s">
        <v>96</v>
      </c>
      <c r="C144" s="391"/>
      <c r="D144" s="391"/>
      <c r="E144" s="145" t="s">
        <v>81</v>
      </c>
      <c r="F144" s="145" t="s">
        <v>77</v>
      </c>
      <c r="G144" s="146">
        <f>3617735*0.55</f>
        <v>1989754.2500000002</v>
      </c>
      <c r="H144" s="147">
        <v>1</v>
      </c>
      <c r="I144" s="148">
        <f t="shared" ref="I144" si="23">+ROUNDUP(G144*H144/1000,1)</f>
        <v>1989.8</v>
      </c>
      <c r="J144" s="149" t="s">
        <v>172</v>
      </c>
    </row>
    <row r="146" spans="1:10" s="87" customFormat="1" ht="44.85" customHeight="1">
      <c r="A146" s="392" t="s">
        <v>175</v>
      </c>
      <c r="B146" s="393"/>
      <c r="C146" s="393"/>
      <c r="D146" s="393"/>
      <c r="E146" s="393"/>
      <c r="F146" s="393"/>
      <c r="G146" s="393"/>
      <c r="H146" s="394"/>
      <c r="I146" s="133">
        <f>+I147</f>
        <v>422743.60000000003</v>
      </c>
      <c r="J146" s="127"/>
    </row>
    <row r="147" spans="1:10" s="137" customFormat="1" ht="17.399999999999999" customHeight="1">
      <c r="A147" s="134" t="s">
        <v>78</v>
      </c>
      <c r="B147" s="134" t="s">
        <v>74</v>
      </c>
      <c r="C147" s="134" t="s">
        <v>75</v>
      </c>
      <c r="D147" s="395" t="s">
        <v>79</v>
      </c>
      <c r="E147" s="396"/>
      <c r="F147" s="396"/>
      <c r="G147" s="396"/>
      <c r="H147" s="397"/>
      <c r="I147" s="135">
        <f>+I148</f>
        <v>422743.60000000003</v>
      </c>
      <c r="J147" s="136"/>
    </row>
    <row r="148" spans="1:10" s="87" customFormat="1" ht="54.75" customHeight="1">
      <c r="A148" s="138" t="s">
        <v>82</v>
      </c>
      <c r="B148" s="398" t="s">
        <v>83</v>
      </c>
      <c r="C148" s="399"/>
      <c r="D148" s="399"/>
      <c r="E148" s="399"/>
      <c r="F148" s="399"/>
      <c r="G148" s="399"/>
      <c r="H148" s="400"/>
      <c r="I148" s="139">
        <f>+I149+I155</f>
        <v>422743.60000000003</v>
      </c>
      <c r="J148" s="127"/>
    </row>
    <row r="149" spans="1:10" s="87" customFormat="1" ht="16.5" customHeight="1">
      <c r="A149" s="140"/>
      <c r="B149" s="401" t="s">
        <v>304</v>
      </c>
      <c r="C149" s="402"/>
      <c r="D149" s="403"/>
      <c r="E149" s="141"/>
      <c r="F149" s="141"/>
      <c r="G149" s="142"/>
      <c r="H149" s="142"/>
      <c r="I149" s="143">
        <f>SUM(I150:I154)</f>
        <v>412564.9</v>
      </c>
      <c r="J149" s="127"/>
    </row>
    <row r="150" spans="1:10" s="150" customFormat="1" ht="31.2" customHeight="1">
      <c r="A150" s="144" t="s">
        <v>120</v>
      </c>
      <c r="B150" s="404" t="s">
        <v>118</v>
      </c>
      <c r="C150" s="405"/>
      <c r="D150" s="406"/>
      <c r="E150" s="145" t="s">
        <v>80</v>
      </c>
      <c r="F150" s="145" t="s">
        <v>77</v>
      </c>
      <c r="G150" s="146">
        <f>128469120*0.7</f>
        <v>89928384</v>
      </c>
      <c r="H150" s="147">
        <v>1</v>
      </c>
      <c r="I150" s="148">
        <f>+ROUNDUP(G150*H150/1000,1)</f>
        <v>89928.400000000009</v>
      </c>
      <c r="J150" s="149" t="s">
        <v>178</v>
      </c>
    </row>
    <row r="151" spans="1:10" s="150" customFormat="1" ht="31.2" customHeight="1">
      <c r="A151" s="144" t="s">
        <v>117</v>
      </c>
      <c r="B151" s="404" t="s">
        <v>118</v>
      </c>
      <c r="C151" s="405"/>
      <c r="D151" s="406"/>
      <c r="E151" s="145" t="s">
        <v>80</v>
      </c>
      <c r="F151" s="145" t="s">
        <v>77</v>
      </c>
      <c r="G151" s="146">
        <f>81457200*0.7</f>
        <v>57020040</v>
      </c>
      <c r="H151" s="147">
        <v>1</v>
      </c>
      <c r="I151" s="148">
        <f>+ROUNDUP(G151*H151/1000,1)</f>
        <v>57020.1</v>
      </c>
      <c r="J151" s="149" t="s">
        <v>179</v>
      </c>
    </row>
    <row r="152" spans="1:10" s="150" customFormat="1" ht="31.2" customHeight="1">
      <c r="A152" s="144" t="s">
        <v>119</v>
      </c>
      <c r="B152" s="404" t="s">
        <v>118</v>
      </c>
      <c r="C152" s="405"/>
      <c r="D152" s="406"/>
      <c r="E152" s="145" t="s">
        <v>80</v>
      </c>
      <c r="F152" s="145" t="s">
        <v>77</v>
      </c>
      <c r="G152" s="146">
        <f>96899994*0.7</f>
        <v>67829995.799999997</v>
      </c>
      <c r="H152" s="147">
        <v>1</v>
      </c>
      <c r="I152" s="148">
        <f>+ROUNDUP(G152*H152/1000,1)</f>
        <v>67830</v>
      </c>
      <c r="J152" s="149" t="s">
        <v>180</v>
      </c>
    </row>
    <row r="153" spans="1:10" s="150" customFormat="1" ht="31.2" customHeight="1">
      <c r="A153" s="144" t="s">
        <v>176</v>
      </c>
      <c r="B153" s="404" t="s">
        <v>118</v>
      </c>
      <c r="C153" s="405"/>
      <c r="D153" s="406"/>
      <c r="E153" s="145" t="s">
        <v>80</v>
      </c>
      <c r="F153" s="145" t="s">
        <v>77</v>
      </c>
      <c r="G153" s="146">
        <f>147000000*0.7</f>
        <v>102900000</v>
      </c>
      <c r="H153" s="147">
        <v>1</v>
      </c>
      <c r="I153" s="148">
        <f t="shared" ref="I153" si="24">+ROUNDUP(G153*H153/1000,1)</f>
        <v>102900</v>
      </c>
      <c r="J153" s="149" t="s">
        <v>181</v>
      </c>
    </row>
    <row r="154" spans="1:10" s="150" customFormat="1" ht="31.2" customHeight="1">
      <c r="A154" s="144" t="s">
        <v>177</v>
      </c>
      <c r="B154" s="404" t="s">
        <v>118</v>
      </c>
      <c r="C154" s="405"/>
      <c r="D154" s="406"/>
      <c r="E154" s="145" t="s">
        <v>80</v>
      </c>
      <c r="F154" s="145" t="s">
        <v>77</v>
      </c>
      <c r="G154" s="146">
        <f>135552000*0.7</f>
        <v>94886400</v>
      </c>
      <c r="H154" s="147">
        <v>1</v>
      </c>
      <c r="I154" s="148">
        <f t="shared" ref="I154" si="25">+ROUNDUP(G154*H154/1000,1)</f>
        <v>94886.399999999994</v>
      </c>
      <c r="J154" s="149" t="s">
        <v>182</v>
      </c>
    </row>
    <row r="155" spans="1:10" s="87" customFormat="1" ht="16.5" customHeight="1">
      <c r="A155" s="140"/>
      <c r="B155" s="401" t="s">
        <v>76</v>
      </c>
      <c r="C155" s="402"/>
      <c r="D155" s="403"/>
      <c r="E155" s="141"/>
      <c r="F155" s="141"/>
      <c r="G155" s="142"/>
      <c r="H155" s="142"/>
      <c r="I155" s="143">
        <f>SUM(I156:I160)</f>
        <v>10178.699999999999</v>
      </c>
      <c r="J155" s="127"/>
    </row>
    <row r="156" spans="1:10" s="150" customFormat="1" ht="18" customHeight="1">
      <c r="A156" s="144">
        <v>71521100</v>
      </c>
      <c r="B156" s="404" t="s">
        <v>96</v>
      </c>
      <c r="C156" s="405"/>
      <c r="D156" s="406"/>
      <c r="E156" s="145" t="s">
        <v>81</v>
      </c>
      <c r="F156" s="145" t="s">
        <v>77</v>
      </c>
      <c r="G156" s="146">
        <f>3476471*0.7</f>
        <v>2433529.6999999997</v>
      </c>
      <c r="H156" s="147">
        <v>1</v>
      </c>
      <c r="I156" s="148">
        <f>+ROUNDUP(G156*H156/1000,1)</f>
        <v>2433.6</v>
      </c>
      <c r="J156" s="149" t="s">
        <v>178</v>
      </c>
    </row>
    <row r="157" spans="1:10" s="150" customFormat="1" ht="18" customHeight="1">
      <c r="A157" s="144">
        <v>71521100</v>
      </c>
      <c r="B157" s="404" t="s">
        <v>96</v>
      </c>
      <c r="C157" s="405"/>
      <c r="D157" s="406"/>
      <c r="E157" s="145" t="s">
        <v>81</v>
      </c>
      <c r="F157" s="145" t="s">
        <v>77</v>
      </c>
      <c r="G157" s="146">
        <f>2041018*0.7</f>
        <v>1428712.5999999999</v>
      </c>
      <c r="H157" s="147">
        <v>1</v>
      </c>
      <c r="I157" s="148">
        <f>+ROUNDUP(G157*H157/1000,1)</f>
        <v>1428.8</v>
      </c>
      <c r="J157" s="149" t="s">
        <v>179</v>
      </c>
    </row>
    <row r="158" spans="1:10" s="150" customFormat="1" ht="18" customHeight="1">
      <c r="A158" s="144">
        <v>71521100</v>
      </c>
      <c r="B158" s="404" t="s">
        <v>96</v>
      </c>
      <c r="C158" s="405"/>
      <c r="D158" s="406"/>
      <c r="E158" s="145" t="s">
        <v>81</v>
      </c>
      <c r="F158" s="145" t="s">
        <v>77</v>
      </c>
      <c r="G158" s="146">
        <f>2219587*0.7</f>
        <v>1553710.9</v>
      </c>
      <c r="H158" s="147">
        <v>1</v>
      </c>
      <c r="I158" s="148">
        <f>+ROUNDUP(G158*H158/1000,1)</f>
        <v>1553.8</v>
      </c>
      <c r="J158" s="149" t="s">
        <v>180</v>
      </c>
    </row>
    <row r="159" spans="1:10" s="150" customFormat="1" ht="18" customHeight="1">
      <c r="A159" s="144">
        <v>71521100</v>
      </c>
      <c r="B159" s="404" t="s">
        <v>96</v>
      </c>
      <c r="C159" s="405"/>
      <c r="D159" s="406"/>
      <c r="E159" s="145" t="s">
        <v>81</v>
      </c>
      <c r="F159" s="145" t="s">
        <v>77</v>
      </c>
      <c r="G159" s="146">
        <f>3476570*0.7</f>
        <v>2433599</v>
      </c>
      <c r="H159" s="147">
        <v>1</v>
      </c>
      <c r="I159" s="148">
        <f t="shared" ref="I159" si="26">+ROUNDUP(G159*H159/1000,1)</f>
        <v>2433.6</v>
      </c>
      <c r="J159" s="149" t="s">
        <v>181</v>
      </c>
    </row>
    <row r="160" spans="1:10" ht="17.399999999999999">
      <c r="A160" s="144">
        <v>71521100</v>
      </c>
      <c r="B160" s="404" t="s">
        <v>96</v>
      </c>
      <c r="C160" s="405"/>
      <c r="D160" s="406"/>
      <c r="E160" s="145" t="s">
        <v>81</v>
      </c>
      <c r="F160" s="145" t="s">
        <v>77</v>
      </c>
      <c r="G160" s="146">
        <f>3326938*0.7</f>
        <v>2328856.5999999996</v>
      </c>
      <c r="H160" s="147">
        <v>1</v>
      </c>
      <c r="I160" s="148">
        <f t="shared" ref="I160" si="27">+ROUNDUP(G160*H160/1000,1)</f>
        <v>2328.9</v>
      </c>
      <c r="J160" s="149" t="s">
        <v>182</v>
      </c>
    </row>
  </sheetData>
  <mergeCells count="148">
    <mergeCell ref="B37:D37"/>
    <mergeCell ref="B38:D38"/>
    <mergeCell ref="D14:H14"/>
    <mergeCell ref="B15:H15"/>
    <mergeCell ref="B16:D16"/>
    <mergeCell ref="B17:D17"/>
    <mergeCell ref="B18:D18"/>
    <mergeCell ref="B19:D19"/>
    <mergeCell ref="D31:H31"/>
    <mergeCell ref="B32:H32"/>
    <mergeCell ref="B33:D33"/>
    <mergeCell ref="B34:D34"/>
    <mergeCell ref="D25:H25"/>
    <mergeCell ref="B26:H26"/>
    <mergeCell ref="B27:D27"/>
    <mergeCell ref="B28:D28"/>
    <mergeCell ref="A13:H13"/>
    <mergeCell ref="D20:H20"/>
    <mergeCell ref="B21:H21"/>
    <mergeCell ref="B22:D22"/>
    <mergeCell ref="B23:D23"/>
    <mergeCell ref="B24:D24"/>
    <mergeCell ref="B60:D60"/>
    <mergeCell ref="B79:D79"/>
    <mergeCell ref="B47:D47"/>
    <mergeCell ref="B48:D48"/>
    <mergeCell ref="B52:D52"/>
    <mergeCell ref="B53:D53"/>
    <mergeCell ref="A56:H56"/>
    <mergeCell ref="A76:H76"/>
    <mergeCell ref="D77:H77"/>
    <mergeCell ref="B78:H78"/>
    <mergeCell ref="A70:H70"/>
    <mergeCell ref="D71:H71"/>
    <mergeCell ref="B72:H72"/>
    <mergeCell ref="B73:D73"/>
    <mergeCell ref="B74:D74"/>
    <mergeCell ref="A30:H30"/>
    <mergeCell ref="D35:H35"/>
    <mergeCell ref="B36:H36"/>
    <mergeCell ref="B90:D90"/>
    <mergeCell ref="B88:D88"/>
    <mergeCell ref="B89:D89"/>
    <mergeCell ref="B81:D81"/>
    <mergeCell ref="B84:D84"/>
    <mergeCell ref="B82:D82"/>
    <mergeCell ref="B86:D86"/>
    <mergeCell ref="B87:D87"/>
    <mergeCell ref="B83:D83"/>
    <mergeCell ref="B85:D85"/>
    <mergeCell ref="B80:D80"/>
    <mergeCell ref="B66:D66"/>
    <mergeCell ref="B61:D61"/>
    <mergeCell ref="B64:D64"/>
    <mergeCell ref="B68:D68"/>
    <mergeCell ref="B67:D67"/>
    <mergeCell ref="B65:D65"/>
    <mergeCell ref="B62:D62"/>
    <mergeCell ref="B12:D12"/>
    <mergeCell ref="A40:H40"/>
    <mergeCell ref="B42:H42"/>
    <mergeCell ref="B49:D49"/>
    <mergeCell ref="B50:D50"/>
    <mergeCell ref="B46:D46"/>
    <mergeCell ref="D41:H41"/>
    <mergeCell ref="B43:D43"/>
    <mergeCell ref="B44:D44"/>
    <mergeCell ref="B45:D45"/>
    <mergeCell ref="B51:D51"/>
    <mergeCell ref="B54:D54"/>
    <mergeCell ref="D57:H57"/>
    <mergeCell ref="B58:H58"/>
    <mergeCell ref="B59:D59"/>
    <mergeCell ref="B63:D63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98:D98"/>
    <mergeCell ref="B97:D97"/>
    <mergeCell ref="B99:D99"/>
    <mergeCell ref="A92:H92"/>
    <mergeCell ref="D93:H93"/>
    <mergeCell ref="B94:H94"/>
    <mergeCell ref="B95:D95"/>
    <mergeCell ref="B96:D96"/>
    <mergeCell ref="A104:H104"/>
    <mergeCell ref="D105:H105"/>
    <mergeCell ref="B106:H106"/>
    <mergeCell ref="B107:D107"/>
    <mergeCell ref="B108:D108"/>
    <mergeCell ref="B100:D100"/>
    <mergeCell ref="B102:D102"/>
    <mergeCell ref="B101:D101"/>
    <mergeCell ref="B114:D114"/>
    <mergeCell ref="A116:H116"/>
    <mergeCell ref="B120:D120"/>
    <mergeCell ref="B121:D121"/>
    <mergeCell ref="B122:D122"/>
    <mergeCell ref="B123:D123"/>
    <mergeCell ref="B124:D124"/>
    <mergeCell ref="D117:H117"/>
    <mergeCell ref="B118:H118"/>
    <mergeCell ref="B119:D119"/>
    <mergeCell ref="B109:D109"/>
    <mergeCell ref="B110:D110"/>
    <mergeCell ref="B111:D111"/>
    <mergeCell ref="B112:D112"/>
    <mergeCell ref="B113:D113"/>
    <mergeCell ref="B134:D134"/>
    <mergeCell ref="B135:D135"/>
    <mergeCell ref="B136:D136"/>
    <mergeCell ref="A138:H138"/>
    <mergeCell ref="D139:H139"/>
    <mergeCell ref="B132:D132"/>
    <mergeCell ref="B133:D133"/>
    <mergeCell ref="B125:D125"/>
    <mergeCell ref="B126:D126"/>
    <mergeCell ref="A128:H128"/>
    <mergeCell ref="D129:H129"/>
    <mergeCell ref="B130:H130"/>
    <mergeCell ref="B131:D131"/>
    <mergeCell ref="B144:D144"/>
    <mergeCell ref="A146:H146"/>
    <mergeCell ref="D147:H147"/>
    <mergeCell ref="B148:H148"/>
    <mergeCell ref="B140:H140"/>
    <mergeCell ref="B141:D141"/>
    <mergeCell ref="B142:D142"/>
    <mergeCell ref="B154:D154"/>
    <mergeCell ref="B160:D160"/>
    <mergeCell ref="B155:D155"/>
    <mergeCell ref="B156:D156"/>
    <mergeCell ref="B157:D157"/>
    <mergeCell ref="B158:D158"/>
    <mergeCell ref="B159:D159"/>
    <mergeCell ref="B149:D149"/>
    <mergeCell ref="B150:D150"/>
    <mergeCell ref="B151:D151"/>
    <mergeCell ref="B152:D152"/>
    <mergeCell ref="B153:D153"/>
    <mergeCell ref="B143:D143"/>
  </mergeCells>
  <phoneticPr fontId="96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https://mul2.gov.am/tasks/1305442/oneclick?token=44674f8638a2b31acb4ebfc68d3583e5</cp:keywords>
  <cp:lastModifiedBy>Սոֆյա Սարգսյան</cp:lastModifiedBy>
  <cp:lastPrinted>2024-02-19T11:31:34Z</cp:lastPrinted>
  <dcterms:created xsi:type="dcterms:W3CDTF">2022-01-04T07:12:58Z</dcterms:created>
  <dcterms:modified xsi:type="dcterms:W3CDTF">2026-04-01T05:34:20Z</dcterms:modified>
</cp:coreProperties>
</file>