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mets voroshum\01.09.2025\"/>
    </mc:Choice>
  </mc:AlternateContent>
  <xr:revisionPtr revIDLastSave="0" documentId="13_ncr:1_{E3D17B25-ADAF-45A8-9DDB-1AEF8EE7534C}" xr6:coauthVersionLast="47" xr6:coauthVersionMax="47" xr10:uidLastSave="{00000000-0000-0000-0000-000000000000}"/>
  <bookViews>
    <workbookView xWindow="-108" yWindow="-108" windowWidth="23256" windowHeight="12576" tabRatio="878" activeTab="1" xr2:uid="{00000000-000D-0000-FFFF-FFFF00000000}"/>
  </bookViews>
  <sheets>
    <sheet name="Հավելված N 1" sheetId="67" r:id="rId1"/>
    <sheet name="Հավելված N 2" sheetId="32" r:id="rId2"/>
    <sheet name="Հավելված N 3" sheetId="55" r:id="rId3"/>
    <sheet name="Հավելված N 4" sheetId="56" r:id="rId4"/>
    <sheet name="Հավելված N 5" sheetId="74" r:id="rId5"/>
    <sheet name="Հավելված N 6" sheetId="69" r:id="rId6"/>
    <sheet name="Հավելված N 7" sheetId="75" r:id="rId7"/>
    <sheet name="Հավելված N 8" sheetId="54" r:id="rId8"/>
    <sheet name="Հավելված N 9" sheetId="76" r:id="rId9"/>
  </sheets>
  <definedNames>
    <definedName name="a" localSheetId="0">#REF!</definedName>
    <definedName name="a" localSheetId="4">#REF!</definedName>
    <definedName name="a" localSheetId="5">#REF!</definedName>
    <definedName name="a" localSheetId="6">#REF!</definedName>
    <definedName name="a" localSheetId="8">#REF!</definedName>
    <definedName name="a">#REF!</definedName>
    <definedName name="AgencyCode" localSheetId="0">#REF!</definedName>
    <definedName name="AgencyCode" localSheetId="1">#REF!</definedName>
    <definedName name="AgencyCode" localSheetId="2">#REF!</definedName>
    <definedName name="AgencyCode" localSheetId="3">#REF!</definedName>
    <definedName name="AgencyCode" localSheetId="4">#REF!</definedName>
    <definedName name="AgencyCode" localSheetId="5">#REF!</definedName>
    <definedName name="AgencyCode" localSheetId="6">#REF!</definedName>
    <definedName name="AgencyCode" localSheetId="7">#REF!</definedName>
    <definedName name="AgencyCode" localSheetId="8">#REF!</definedName>
    <definedName name="AgencyCode">#REF!</definedName>
    <definedName name="AgencyName" localSheetId="0">#REF!</definedName>
    <definedName name="AgencyName" localSheetId="1">#REF!</definedName>
    <definedName name="AgencyName" localSheetId="4">#REF!</definedName>
    <definedName name="AgencyName" localSheetId="5">#REF!</definedName>
    <definedName name="AgencyName" localSheetId="6">#REF!</definedName>
    <definedName name="AgencyName" localSheetId="8">#REF!</definedName>
    <definedName name="AgencyName">#REF!</definedName>
    <definedName name="åû" localSheetId="4">#REF!</definedName>
    <definedName name="åû" localSheetId="6">#REF!</definedName>
    <definedName name="åû">#REF!</definedName>
    <definedName name="davit" localSheetId="0">#REF!</definedName>
    <definedName name="davit" localSheetId="4">#REF!</definedName>
    <definedName name="davit" localSheetId="5">#REF!</definedName>
    <definedName name="davit" localSheetId="6">#REF!</definedName>
    <definedName name="davit" localSheetId="8">#REF!</definedName>
    <definedName name="davit">#REF!</definedName>
    <definedName name="Functional1" localSheetId="0">#REF!</definedName>
    <definedName name="Functional1" localSheetId="1">#REF!</definedName>
    <definedName name="Functional1" localSheetId="4">#REF!</definedName>
    <definedName name="Functional1" localSheetId="5">#REF!</definedName>
    <definedName name="Functional1" localSheetId="6">#REF!</definedName>
    <definedName name="Functional1" localSheetId="8">#REF!</definedName>
    <definedName name="Functional1">#REF!</definedName>
    <definedName name="ggg" localSheetId="0">#REF!</definedName>
    <definedName name="ggg" localSheetId="4">#REF!</definedName>
    <definedName name="ggg" localSheetId="5">#REF!</definedName>
    <definedName name="ggg" localSheetId="6">#REF!</definedName>
    <definedName name="ggg" localSheetId="8">#REF!</definedName>
    <definedName name="ggg">#REF!</definedName>
    <definedName name="hav" localSheetId="4">#REF!</definedName>
    <definedName name="hav" localSheetId="6">#REF!</definedName>
    <definedName name="hav">#REF!</definedName>
    <definedName name="mas" localSheetId="4">#REF!</definedName>
    <definedName name="mas" localSheetId="6">#REF!</definedName>
    <definedName name="mas">#REF!</definedName>
    <definedName name="mass" localSheetId="4">#REF!</definedName>
    <definedName name="mass" localSheetId="6">#REF!</definedName>
    <definedName name="mass">#REF!</definedName>
    <definedName name="PANature" localSheetId="0">#REF!</definedName>
    <definedName name="PANature" localSheetId="1">#REF!</definedName>
    <definedName name="PANature" localSheetId="4">#REF!</definedName>
    <definedName name="PANature" localSheetId="5">#REF!</definedName>
    <definedName name="PANature" localSheetId="6">#REF!</definedName>
    <definedName name="PANature" localSheetId="8">#REF!</definedName>
    <definedName name="PANature">#REF!</definedName>
    <definedName name="PAType" localSheetId="0">#REF!</definedName>
    <definedName name="PAType" localSheetId="1">#REF!</definedName>
    <definedName name="PAType" localSheetId="4">#REF!</definedName>
    <definedName name="PAType" localSheetId="5">#REF!</definedName>
    <definedName name="PAType" localSheetId="6">#REF!</definedName>
    <definedName name="PAType" localSheetId="8">#REF!</definedName>
    <definedName name="PAType">#REF!</definedName>
    <definedName name="Performance2" localSheetId="0">#REF!</definedName>
    <definedName name="Performance2" localSheetId="1">#REF!</definedName>
    <definedName name="Performance2" localSheetId="4">#REF!</definedName>
    <definedName name="Performance2" localSheetId="5">#REF!</definedName>
    <definedName name="Performance2" localSheetId="6">#REF!</definedName>
    <definedName name="Performance2" localSheetId="8">#REF!</definedName>
    <definedName name="Performance2">#REF!</definedName>
    <definedName name="PerformanceType" localSheetId="0">#REF!</definedName>
    <definedName name="PerformanceType" localSheetId="1">#REF!</definedName>
    <definedName name="PerformanceType" localSheetId="4">#REF!</definedName>
    <definedName name="PerformanceType" localSheetId="5">#REF!</definedName>
    <definedName name="PerformanceType" localSheetId="6">#REF!</definedName>
    <definedName name="PerformanceType" localSheetId="8">#REF!</definedName>
    <definedName name="PerformanceType">#REF!</definedName>
    <definedName name="x" localSheetId="4">#REF!</definedName>
    <definedName name="x" localSheetId="6">#REF!</definedName>
    <definedName name="x">#REF!</definedName>
    <definedName name="Հավելված" localSheetId="0">#REF!</definedName>
    <definedName name="Հավելված" localSheetId="4">#REF!</definedName>
    <definedName name="Հավելված" localSheetId="5">#REF!</definedName>
    <definedName name="Հավելված" localSheetId="6">#REF!</definedName>
    <definedName name="Հավելված" localSheetId="8">#REF!</definedName>
    <definedName name="Հավելված">#REF!</definedName>
    <definedName name="Հավելված10" localSheetId="4">#REF!</definedName>
    <definedName name="Հավելված10" localSheetId="6">#REF!</definedName>
    <definedName name="Հավելված10">#REF!</definedName>
    <definedName name="Հավելված11" localSheetId="4">#REF!</definedName>
    <definedName name="Հավելված11" localSheetId="6">#REF!</definedName>
    <definedName name="Հավելված11">#REF!</definedName>
    <definedName name="Հավելված20" localSheetId="4">#REF!</definedName>
    <definedName name="Հավելված20" localSheetId="6">#REF!</definedName>
    <definedName name="Հավելված20">#REF!</definedName>
    <definedName name="Հավելված9" localSheetId="4">#REF!</definedName>
    <definedName name="Հավելված9" localSheetId="6">#REF!</definedName>
    <definedName name="Հավելված9">#REF!</definedName>
    <definedName name="Մաս" localSheetId="0">#REF!</definedName>
    <definedName name="Մաս" localSheetId="4">#REF!</definedName>
    <definedName name="Մաս" localSheetId="5">#REF!</definedName>
    <definedName name="Մաս" localSheetId="6">#REF!</definedName>
    <definedName name="Մաս" localSheetId="8">#REF!</definedName>
    <definedName name="Մաս">#REF!</definedName>
    <definedName name="շախմատիստ" localSheetId="0">#REF!</definedName>
    <definedName name="շախմատիստ" localSheetId="4">#REF!</definedName>
    <definedName name="շախմատիստ" localSheetId="5">#REF!</definedName>
    <definedName name="շախմատիստ" localSheetId="6">#REF!</definedName>
    <definedName name="շախմատիստ" localSheetId="8">#REF!</definedName>
    <definedName name="շախմատիստ">#REF!</definedName>
    <definedName name="վֆյգյգ" localSheetId="4">#REF!</definedName>
    <definedName name="վֆյգյգ" localSheetId="6">#REF!</definedName>
    <definedName name="վֆյգյգ">#REF!</definedName>
  </definedNames>
  <calcPr calcId="181029"/>
</workbook>
</file>

<file path=xl/calcChain.xml><?xml version="1.0" encoding="utf-8"?>
<calcChain xmlns="http://schemas.openxmlformats.org/spreadsheetml/2006/main">
  <c r="I193" i="54" l="1"/>
  <c r="E151" i="55"/>
  <c r="H34" i="76" l="1"/>
  <c r="G34" i="76"/>
  <c r="J11" i="75"/>
  <c r="J191" i="75"/>
  <c r="J190" i="75"/>
  <c r="J189" i="75" s="1"/>
  <c r="J11" i="69"/>
  <c r="J152" i="69"/>
  <c r="J151" i="69"/>
  <c r="J150" i="69" s="1"/>
  <c r="G13" i="67"/>
  <c r="G52" i="67"/>
  <c r="G51" i="67" s="1"/>
  <c r="H433" i="32"/>
  <c r="G433" i="32"/>
  <c r="G413" i="32"/>
  <c r="G13" i="32"/>
  <c r="G422" i="32"/>
  <c r="G431" i="32"/>
  <c r="G430" i="32"/>
  <c r="G429" i="32" s="1"/>
  <c r="G428" i="32" s="1"/>
  <c r="G426" i="32" s="1"/>
  <c r="G424" i="32" s="1"/>
  <c r="G420" i="32" s="1"/>
  <c r="G418" i="32" s="1"/>
  <c r="G416" i="32" s="1"/>
  <c r="G414" i="32" s="1"/>
  <c r="G50" i="67" l="1"/>
  <c r="E165" i="56"/>
  <c r="E167" i="56"/>
  <c r="F165" i="56"/>
  <c r="F167" i="56"/>
  <c r="D167" i="56"/>
  <c r="I178" i="54"/>
  <c r="I172" i="54"/>
  <c r="E124" i="55"/>
  <c r="E126" i="55"/>
  <c r="D126" i="55" l="1"/>
  <c r="F164" i="55"/>
  <c r="E133" i="55"/>
  <c r="D240" i="56"/>
  <c r="G44" i="74" l="1"/>
  <c r="E252" i="56" l="1"/>
  <c r="D258" i="56"/>
  <c r="E200" i="55"/>
  <c r="D200" i="55" s="1"/>
  <c r="F258" i="56" s="1"/>
  <c r="E263" i="56" l="1"/>
  <c r="D265" i="56" l="1"/>
  <c r="D264" i="56"/>
  <c r="E259" i="56"/>
  <c r="D262" i="56"/>
  <c r="D261" i="56"/>
  <c r="D260" i="56"/>
  <c r="D257" i="56"/>
  <c r="D256" i="56"/>
  <c r="D255" i="56"/>
  <c r="D254" i="56"/>
  <c r="D253" i="56"/>
  <c r="E248" i="56"/>
  <c r="D251" i="56"/>
  <c r="D250" i="56"/>
  <c r="D249" i="56"/>
  <c r="E246" i="56"/>
  <c r="D247" i="56"/>
  <c r="E243" i="56"/>
  <c r="D245" i="56"/>
  <c r="D244" i="56"/>
  <c r="E236" i="56"/>
  <c r="D242" i="56"/>
  <c r="D241" i="56"/>
  <c r="D239" i="56"/>
  <c r="D238" i="56"/>
  <c r="D237" i="56"/>
  <c r="E234" i="56"/>
  <c r="D235" i="56"/>
  <c r="E230" i="56"/>
  <c r="D233" i="56"/>
  <c r="D232" i="56"/>
  <c r="D231" i="56"/>
  <c r="D229" i="56"/>
  <c r="E228" i="56"/>
  <c r="D227" i="56"/>
  <c r="E198" i="56"/>
  <c r="D199" i="56"/>
  <c r="D200" i="56"/>
  <c r="E196" i="56"/>
  <c r="D197" i="56"/>
  <c r="E191" i="56"/>
  <c r="D195" i="56"/>
  <c r="D194" i="56"/>
  <c r="D192" i="56"/>
  <c r="E187" i="56"/>
  <c r="D190" i="56"/>
  <c r="D189" i="56"/>
  <c r="D188" i="56"/>
  <c r="E184" i="56"/>
  <c r="D186" i="56"/>
  <c r="D185" i="56"/>
  <c r="E181" i="56"/>
  <c r="D183" i="56"/>
  <c r="E142" i="55"/>
  <c r="D142" i="55" s="1"/>
  <c r="F183" i="56" s="1"/>
  <c r="I82" i="54"/>
  <c r="F140" i="55"/>
  <c r="G140" i="55"/>
  <c r="H140" i="55"/>
  <c r="D182" i="56"/>
  <c r="I100" i="54"/>
  <c r="I99" i="54" s="1"/>
  <c r="F205" i="55"/>
  <c r="G205" i="55"/>
  <c r="H205" i="55"/>
  <c r="E207" i="55"/>
  <c r="D207" i="55" s="1"/>
  <c r="F265" i="56" s="1"/>
  <c r="E206" i="55"/>
  <c r="F194" i="55"/>
  <c r="G194" i="55"/>
  <c r="H194" i="55"/>
  <c r="E196" i="55"/>
  <c r="E197" i="55"/>
  <c r="E198" i="55"/>
  <c r="E199" i="55"/>
  <c r="E195" i="55"/>
  <c r="E202" i="55"/>
  <c r="E203" i="55"/>
  <c r="E204" i="55"/>
  <c r="H201" i="55"/>
  <c r="G201" i="55"/>
  <c r="F201" i="55"/>
  <c r="F190" i="55"/>
  <c r="G190" i="55"/>
  <c r="H190" i="55"/>
  <c r="E192" i="55"/>
  <c r="E193" i="55"/>
  <c r="E191" i="55"/>
  <c r="E225" i="56" l="1"/>
  <c r="G227" i="32" s="1"/>
  <c r="G226" i="32" s="1"/>
  <c r="E194" i="55"/>
  <c r="E205" i="55"/>
  <c r="E201" i="55"/>
  <c r="D203" i="55"/>
  <c r="F261" i="56" s="1"/>
  <c r="E190" i="55"/>
  <c r="D191" i="55"/>
  <c r="F249" i="56" s="1"/>
  <c r="E189" i="55"/>
  <c r="H188" i="55"/>
  <c r="G188" i="55"/>
  <c r="F188" i="55"/>
  <c r="F185" i="55"/>
  <c r="G185" i="55"/>
  <c r="H185" i="55"/>
  <c r="E187" i="55"/>
  <c r="D187" i="55" s="1"/>
  <c r="F245" i="56" s="1"/>
  <c r="E186" i="55"/>
  <c r="E180" i="55"/>
  <c r="E181" i="55"/>
  <c r="E182" i="55"/>
  <c r="E183" i="55"/>
  <c r="E184" i="55"/>
  <c r="E179" i="55"/>
  <c r="D179" i="55" s="1"/>
  <c r="F237" i="56" s="1"/>
  <c r="E177" i="55"/>
  <c r="F178" i="55"/>
  <c r="G178" i="55"/>
  <c r="H178" i="55"/>
  <c r="E223" i="56" l="1"/>
  <c r="E185" i="55"/>
  <c r="E178" i="55"/>
  <c r="D199" i="55" l="1"/>
  <c r="F257" i="56" s="1"/>
  <c r="D198" i="55" l="1"/>
  <c r="F256" i="56" s="1"/>
  <c r="D197" i="55" l="1"/>
  <c r="F255" i="56" s="1"/>
  <c r="D196" i="55" l="1"/>
  <c r="F254" i="56" s="1"/>
  <c r="D194" i="55" l="1"/>
  <c r="D195" i="55"/>
  <c r="F253" i="56" s="1"/>
  <c r="F252" i="56" s="1"/>
  <c r="D177" i="55" l="1"/>
  <c r="F235" i="56" s="1"/>
  <c r="F234" i="56" s="1"/>
  <c r="H176" i="55"/>
  <c r="G176" i="55"/>
  <c r="F176" i="55"/>
  <c r="E176" i="55"/>
  <c r="D176" i="55" l="1"/>
  <c r="F172" i="55"/>
  <c r="G172" i="55"/>
  <c r="H172" i="55"/>
  <c r="E175" i="55"/>
  <c r="D175" i="55" s="1"/>
  <c r="F233" i="56" s="1"/>
  <c r="E174" i="55"/>
  <c r="D174" i="55" s="1"/>
  <c r="F232" i="56" s="1"/>
  <c r="E173" i="55"/>
  <c r="D173" i="55" s="1"/>
  <c r="F231" i="56" s="1"/>
  <c r="E171" i="55"/>
  <c r="D171" i="55" s="1"/>
  <c r="F229" i="56" s="1"/>
  <c r="F228" i="56" s="1"/>
  <c r="H170" i="55"/>
  <c r="G170" i="55"/>
  <c r="F170" i="55"/>
  <c r="F167" i="55" s="1"/>
  <c r="D169" i="55"/>
  <c r="F227" i="56" s="1"/>
  <c r="E179" i="56"/>
  <c r="D180" i="56"/>
  <c r="D176" i="56"/>
  <c r="E160" i="55"/>
  <c r="E159" i="55"/>
  <c r="F158" i="55"/>
  <c r="G158" i="55"/>
  <c r="H158" i="55"/>
  <c r="F156" i="55"/>
  <c r="G156" i="55"/>
  <c r="H156" i="55"/>
  <c r="E157" i="55"/>
  <c r="E156" i="55" s="1"/>
  <c r="E154" i="55"/>
  <c r="E155" i="55"/>
  <c r="D155" i="55" s="1"/>
  <c r="F195" i="56" s="1"/>
  <c r="E153" i="55"/>
  <c r="F152" i="55"/>
  <c r="G152" i="55"/>
  <c r="H152" i="55"/>
  <c r="E149" i="55"/>
  <c r="D149" i="55" s="1"/>
  <c r="F189" i="56" s="1"/>
  <c r="E150" i="55"/>
  <c r="D150" i="55" s="1"/>
  <c r="F190" i="56" s="1"/>
  <c r="E148" i="55"/>
  <c r="D148" i="55" s="1"/>
  <c r="F188" i="56" s="1"/>
  <c r="F147" i="55"/>
  <c r="G147" i="55"/>
  <c r="H147" i="55"/>
  <c r="E141" i="55"/>
  <c r="F143" i="55"/>
  <c r="G143" i="55"/>
  <c r="H143" i="55"/>
  <c r="E144" i="55"/>
  <c r="E145" i="55"/>
  <c r="E139" i="55"/>
  <c r="D139" i="55" s="1"/>
  <c r="F180" i="56" s="1"/>
  <c r="F179" i="56" s="1"/>
  <c r="H138" i="55"/>
  <c r="G138" i="55"/>
  <c r="F138" i="55"/>
  <c r="G167" i="55" l="1"/>
  <c r="H167" i="55"/>
  <c r="F230" i="56"/>
  <c r="F187" i="56"/>
  <c r="D141" i="55"/>
  <c r="F182" i="56" s="1"/>
  <c r="F181" i="56" s="1"/>
  <c r="E140" i="55"/>
  <c r="D140" i="55" s="1"/>
  <c r="E172" i="55"/>
  <c r="D172" i="55" s="1"/>
  <c r="E170" i="55"/>
  <c r="E152" i="55"/>
  <c r="E138" i="55"/>
  <c r="D138" i="55" s="1"/>
  <c r="D170" i="55" l="1"/>
  <c r="F215" i="56" l="1"/>
  <c r="H209" i="32" s="1"/>
  <c r="E217" i="56"/>
  <c r="E215" i="56" s="1"/>
  <c r="G209" i="32" s="1"/>
  <c r="D217" i="56"/>
  <c r="H208" i="32" l="1"/>
  <c r="H207" i="32" s="1"/>
  <c r="G208" i="32"/>
  <c r="G207" i="32" s="1"/>
  <c r="E168" i="56"/>
  <c r="E171" i="56"/>
  <c r="E170" i="56"/>
  <c r="I199" i="54" l="1"/>
  <c r="E147" i="55"/>
  <c r="G216" i="32"/>
  <c r="G215" i="32" s="1"/>
  <c r="G218" i="32"/>
  <c r="D220" i="56"/>
  <c r="F30" i="56"/>
  <c r="F29" i="56" s="1"/>
  <c r="E29" i="56"/>
  <c r="E35" i="56"/>
  <c r="D36" i="56"/>
  <c r="I221" i="54"/>
  <c r="I218" i="54"/>
  <c r="E30" i="55" s="1"/>
  <c r="H29" i="55" l="1"/>
  <c r="G29" i="55"/>
  <c r="F29" i="55"/>
  <c r="G394" i="32" l="1"/>
  <c r="G393" i="32" s="1"/>
  <c r="G392" i="32" s="1"/>
  <c r="G391" i="32" s="1"/>
  <c r="G390" i="32" s="1"/>
  <c r="G388" i="32" s="1"/>
  <c r="D270" i="56"/>
  <c r="I130" i="54"/>
  <c r="D206" i="55" s="1"/>
  <c r="F264" i="56" s="1"/>
  <c r="F263" i="56" s="1"/>
  <c r="G210" i="55"/>
  <c r="G208" i="55" s="1"/>
  <c r="F210" i="55"/>
  <c r="F208" i="55" s="1"/>
  <c r="E210" i="55"/>
  <c r="E208" i="55" s="1"/>
  <c r="G55" i="74"/>
  <c r="H236" i="32" s="1"/>
  <c r="D202" i="55" l="1"/>
  <c r="F260" i="56" s="1"/>
  <c r="D186" i="55"/>
  <c r="F244" i="56" s="1"/>
  <c r="F243" i="56" s="1"/>
  <c r="H210" i="55"/>
  <c r="H208" i="55" s="1"/>
  <c r="D145" i="55"/>
  <c r="F186" i="56" s="1"/>
  <c r="G386" i="32"/>
  <c r="G41" i="67" s="1"/>
  <c r="J116" i="69" s="1"/>
  <c r="J207" i="75"/>
  <c r="J206" i="75" s="1"/>
  <c r="I129" i="54"/>
  <c r="G236" i="32"/>
  <c r="G235" i="32" s="1"/>
  <c r="G234" i="32" s="1"/>
  <c r="G233" i="32" s="1"/>
  <c r="H235" i="32"/>
  <c r="H234" i="32" s="1"/>
  <c r="H233" i="32" s="1"/>
  <c r="D205" i="55" l="1"/>
  <c r="D210" i="55"/>
  <c r="F270" i="56" s="1"/>
  <c r="E270" i="56" s="1"/>
  <c r="E268" i="56" s="1"/>
  <c r="D185" i="55"/>
  <c r="D208" i="55"/>
  <c r="F268" i="56" l="1"/>
  <c r="F266" i="56" s="1"/>
  <c r="E266" i="56"/>
  <c r="G240" i="32"/>
  <c r="G239" i="32" s="1"/>
  <c r="G238" i="32" s="1"/>
  <c r="G237" i="32" s="1"/>
  <c r="G232" i="32" s="1"/>
  <c r="G230" i="32" s="1"/>
  <c r="G228" i="32" s="1"/>
  <c r="G225" i="32" s="1"/>
  <c r="G224" i="32" s="1"/>
  <c r="G223" i="32" l="1"/>
  <c r="G221" i="32" s="1"/>
  <c r="H240" i="32"/>
  <c r="H239" i="32" s="1"/>
  <c r="H238" i="32" s="1"/>
  <c r="H237" i="32" s="1"/>
  <c r="H232" i="32" s="1"/>
  <c r="H230" i="32" s="1"/>
  <c r="H228" i="32" s="1"/>
  <c r="G54" i="74"/>
  <c r="G53" i="74" s="1"/>
  <c r="G219" i="32" l="1"/>
  <c r="G48" i="67" s="1"/>
  <c r="J145" i="69" s="1"/>
  <c r="J121" i="75"/>
  <c r="G411" i="32"/>
  <c r="H358" i="32"/>
  <c r="G358" i="32" s="1"/>
  <c r="H309" i="32"/>
  <c r="G309" i="32" s="1"/>
  <c r="G277" i="32"/>
  <c r="G276" i="32" s="1"/>
  <c r="G275" i="32" s="1"/>
  <c r="H276" i="32"/>
  <c r="H275" i="32" s="1"/>
  <c r="G198" i="32"/>
  <c r="G200" i="32"/>
  <c r="G185" i="32"/>
  <c r="G184" i="32" s="1"/>
  <c r="G183" i="32" s="1"/>
  <c r="H184" i="32"/>
  <c r="H183" i="32" s="1"/>
  <c r="G410" i="32" l="1"/>
  <c r="G409" i="32" s="1"/>
  <c r="G408" i="32" s="1"/>
  <c r="G407" i="32" s="1"/>
  <c r="G405" i="32" s="1"/>
  <c r="J50" i="75" s="1"/>
  <c r="J49" i="75" s="1"/>
  <c r="D52" i="56"/>
  <c r="E51" i="56"/>
  <c r="E43" i="55"/>
  <c r="I75" i="54"/>
  <c r="G44" i="55" s="1"/>
  <c r="G43" i="55" s="1"/>
  <c r="H43" i="55"/>
  <c r="F43" i="55"/>
  <c r="G403" i="32" l="1"/>
  <c r="D43" i="55"/>
  <c r="D44" i="55"/>
  <c r="F52" i="56" s="1"/>
  <c r="F51" i="56" s="1"/>
  <c r="G401" i="32" l="1"/>
  <c r="G399" i="32" s="1"/>
  <c r="G397" i="32" s="1"/>
  <c r="G395" i="32" s="1"/>
  <c r="G27" i="67"/>
  <c r="G110" i="32"/>
  <c r="G109" i="32" s="1"/>
  <c r="G112" i="32"/>
  <c r="G69" i="32"/>
  <c r="G68" i="32" s="1"/>
  <c r="H69" i="32"/>
  <c r="H68" i="32" s="1"/>
  <c r="G71" i="32"/>
  <c r="H71" i="32"/>
  <c r="G26" i="67" l="1"/>
  <c r="J55" i="69"/>
  <c r="J54" i="69" s="1"/>
  <c r="H67" i="32"/>
  <c r="G67" i="32"/>
  <c r="E116" i="56" l="1"/>
  <c r="D118" i="56"/>
  <c r="H89" i="55" l="1"/>
  <c r="E89" i="55"/>
  <c r="I42" i="54" l="1"/>
  <c r="G91" i="55" s="1"/>
  <c r="G89" i="55" s="1"/>
  <c r="G42" i="74"/>
  <c r="H376" i="32"/>
  <c r="G22" i="74"/>
  <c r="H61" i="32" s="1"/>
  <c r="G61" i="32" s="1"/>
  <c r="D162" i="56"/>
  <c r="F122" i="55"/>
  <c r="G122" i="55"/>
  <c r="H122" i="55"/>
  <c r="I79" i="54"/>
  <c r="E123" i="55" s="1"/>
  <c r="D123" i="55" s="1"/>
  <c r="F162" i="56" s="1"/>
  <c r="G34" i="74"/>
  <c r="G41" i="74" l="1"/>
  <c r="G40" i="74" s="1"/>
  <c r="G376" i="32"/>
  <c r="G375" i="32" s="1"/>
  <c r="G374" i="32" s="1"/>
  <c r="G373" i="32" s="1"/>
  <c r="G372" i="32" s="1"/>
  <c r="H375" i="32"/>
  <c r="H374" i="32" s="1"/>
  <c r="H373" i="32" s="1"/>
  <c r="H372" i="32" s="1"/>
  <c r="G33" i="74"/>
  <c r="G32" i="74" s="1"/>
  <c r="H257" i="32"/>
  <c r="H52" i="76" s="1"/>
  <c r="H51" i="76" s="1"/>
  <c r="H50" i="76" s="1"/>
  <c r="H49" i="76" s="1"/>
  <c r="I78" i="54"/>
  <c r="I77" i="54" s="1"/>
  <c r="I76" i="54" s="1"/>
  <c r="E122" i="55"/>
  <c r="E162" i="56"/>
  <c r="E161" i="56" s="1"/>
  <c r="E159" i="56" s="1"/>
  <c r="G162" i="32" s="1"/>
  <c r="G161" i="32" s="1"/>
  <c r="G160" i="32" s="1"/>
  <c r="G159" i="32" s="1"/>
  <c r="G158" i="32" s="1"/>
  <c r="G156" i="32" s="1"/>
  <c r="J109" i="75" s="1"/>
  <c r="F161" i="56"/>
  <c r="F159" i="56" s="1"/>
  <c r="I191" i="54"/>
  <c r="H256" i="32" l="1"/>
  <c r="H255" i="32" s="1"/>
  <c r="H254" i="32" s="1"/>
  <c r="G257" i="32"/>
  <c r="H162" i="32"/>
  <c r="H161" i="32" s="1"/>
  <c r="H160" i="32" s="1"/>
  <c r="H159" i="32" s="1"/>
  <c r="H158" i="32" s="1"/>
  <c r="H156" i="32" s="1"/>
  <c r="K109" i="75" s="1"/>
  <c r="I34" i="54"/>
  <c r="G256" i="32" l="1"/>
  <c r="G255" i="32" s="1"/>
  <c r="G254" i="32" s="1"/>
  <c r="G52" i="76"/>
  <c r="G51" i="76" s="1"/>
  <c r="G50" i="76" s="1"/>
  <c r="G49" i="76" s="1"/>
  <c r="D44" i="56"/>
  <c r="E43" i="56"/>
  <c r="D46" i="56"/>
  <c r="E45" i="56"/>
  <c r="D48" i="56"/>
  <c r="E47" i="56"/>
  <c r="G39" i="55"/>
  <c r="G37" i="55"/>
  <c r="G35" i="55"/>
  <c r="I70" i="54"/>
  <c r="I69" i="54"/>
  <c r="I71" i="54"/>
  <c r="G68" i="54"/>
  <c r="I68" i="54" s="1"/>
  <c r="I66" i="54"/>
  <c r="G65" i="54"/>
  <c r="G33" i="55" l="1"/>
  <c r="E41" i="56"/>
  <c r="G141" i="32" s="1"/>
  <c r="G140" i="32" s="1"/>
  <c r="I65" i="54"/>
  <c r="I63" i="54"/>
  <c r="F40" i="55" s="1"/>
  <c r="F39" i="55" s="1"/>
  <c r="I62" i="54" l="1"/>
  <c r="F38" i="55" s="1"/>
  <c r="D38" i="55" s="1"/>
  <c r="F46" i="56" s="1"/>
  <c r="F45" i="56" s="1"/>
  <c r="I61" i="54"/>
  <c r="H37" i="55"/>
  <c r="E37" i="55"/>
  <c r="D40" i="55"/>
  <c r="F48" i="56" s="1"/>
  <c r="F47" i="56" s="1"/>
  <c r="H39" i="55"/>
  <c r="E39" i="55"/>
  <c r="H35" i="55"/>
  <c r="E35" i="55"/>
  <c r="D222" i="56"/>
  <c r="E165" i="55"/>
  <c r="E162" i="55" s="1"/>
  <c r="H165" i="55"/>
  <c r="H162" i="55" s="1"/>
  <c r="G165" i="55"/>
  <c r="G162" i="55" s="1"/>
  <c r="D206" i="56"/>
  <c r="E205" i="56"/>
  <c r="I201" i="54"/>
  <c r="G135" i="55" s="1"/>
  <c r="H134" i="55"/>
  <c r="F134" i="55"/>
  <c r="E134" i="55"/>
  <c r="I204" i="54"/>
  <c r="E33" i="55" l="1"/>
  <c r="H33" i="55"/>
  <c r="F37" i="55"/>
  <c r="D37" i="55" s="1"/>
  <c r="I60" i="54"/>
  <c r="F36" i="55"/>
  <c r="D39" i="55"/>
  <c r="E221" i="56"/>
  <c r="E218" i="56" s="1"/>
  <c r="E213" i="56" s="1"/>
  <c r="F35" i="55" l="1"/>
  <c r="D36" i="55"/>
  <c r="F44" i="56" s="1"/>
  <c r="F43" i="56" s="1"/>
  <c r="F41" i="56" s="1"/>
  <c r="H141" i="32" s="1"/>
  <c r="H140" i="32" s="1"/>
  <c r="D212" i="56"/>
  <c r="E211" i="56"/>
  <c r="E161" i="55"/>
  <c r="D210" i="56"/>
  <c r="E209" i="56"/>
  <c r="D151" i="55"/>
  <c r="F210" i="56" s="1"/>
  <c r="F209" i="56" s="1"/>
  <c r="D161" i="55" l="1"/>
  <c r="F212" i="56" s="1"/>
  <c r="F211" i="56" s="1"/>
  <c r="E158" i="55"/>
  <c r="F33" i="55"/>
  <c r="D35" i="55"/>
  <c r="D147" i="55"/>
  <c r="E207" i="56" l="1"/>
  <c r="E202" i="56" s="1"/>
  <c r="D208" i="56"/>
  <c r="I171" i="54" l="1"/>
  <c r="I170" i="54" s="1"/>
  <c r="E166" i="56" l="1"/>
  <c r="D171" i="56" l="1"/>
  <c r="D170" i="56"/>
  <c r="D168" i="56"/>
  <c r="D166" i="56"/>
  <c r="E130" i="55"/>
  <c r="D130" i="55" s="1"/>
  <c r="F171" i="56" s="1"/>
  <c r="E129" i="55"/>
  <c r="D129" i="55" s="1"/>
  <c r="F170" i="56" s="1"/>
  <c r="E127" i="55"/>
  <c r="E125" i="55"/>
  <c r="H128" i="55"/>
  <c r="G128" i="55"/>
  <c r="G124" i="55"/>
  <c r="H124" i="55"/>
  <c r="E148" i="56"/>
  <c r="H120" i="55" l="1"/>
  <c r="G120" i="55"/>
  <c r="E128" i="55"/>
  <c r="E169" i="56"/>
  <c r="E163" i="56" s="1"/>
  <c r="G169" i="32" s="1"/>
  <c r="F169" i="56"/>
  <c r="D127" i="55"/>
  <c r="F168" i="56" s="1"/>
  <c r="F124" i="55"/>
  <c r="F128" i="55"/>
  <c r="D125" i="55"/>
  <c r="F166" i="56" s="1"/>
  <c r="F113" i="55"/>
  <c r="G113" i="55"/>
  <c r="H113" i="55"/>
  <c r="E113" i="55"/>
  <c r="E119" i="56"/>
  <c r="F120" i="55" l="1"/>
  <c r="E157" i="56"/>
  <c r="E120" i="55"/>
  <c r="D122" i="55"/>
  <c r="F163" i="56"/>
  <c r="H169" i="32" s="1"/>
  <c r="D124" i="55"/>
  <c r="D128" i="55"/>
  <c r="D120" i="56"/>
  <c r="D117" i="56"/>
  <c r="E114" i="56"/>
  <c r="E112" i="56" s="1"/>
  <c r="E92" i="55"/>
  <c r="I41" i="54"/>
  <c r="I39" i="54"/>
  <c r="D91" i="55" s="1"/>
  <c r="F118" i="56" s="1"/>
  <c r="H112" i="32" s="1"/>
  <c r="H92" i="55"/>
  <c r="G92" i="55"/>
  <c r="I40" i="54"/>
  <c r="I38" i="54"/>
  <c r="I37" i="54" l="1"/>
  <c r="I33" i="54" s="1"/>
  <c r="F157" i="56"/>
  <c r="F90" i="55"/>
  <c r="F89" i="55" s="1"/>
  <c r="D120" i="55"/>
  <c r="F93" i="55"/>
  <c r="D93" i="55" s="1"/>
  <c r="F120" i="56" s="1"/>
  <c r="F119" i="56" s="1"/>
  <c r="F92" i="55" l="1"/>
  <c r="D92" i="55" s="1"/>
  <c r="F87" i="55" l="1"/>
  <c r="G87" i="55"/>
  <c r="H87" i="55"/>
  <c r="E87" i="55"/>
  <c r="D90" i="55"/>
  <c r="F117" i="56" s="1"/>
  <c r="D105" i="56"/>
  <c r="E104" i="56"/>
  <c r="E102" i="56" s="1"/>
  <c r="I20" i="54"/>
  <c r="I19" i="54"/>
  <c r="I17" i="54"/>
  <c r="I16" i="54" s="1"/>
  <c r="I18" i="54" l="1"/>
  <c r="E100" i="56"/>
  <c r="G34" i="32"/>
  <c r="G33" i="32" s="1"/>
  <c r="G32" i="32" s="1"/>
  <c r="G31" i="32" s="1"/>
  <c r="G30" i="32" s="1"/>
  <c r="G28" i="32" s="1"/>
  <c r="H110" i="32"/>
  <c r="H109" i="32" s="1"/>
  <c r="F116" i="56"/>
  <c r="F114" i="56" s="1"/>
  <c r="F112" i="56" s="1"/>
  <c r="E82" i="55"/>
  <c r="D82" i="55" s="1"/>
  <c r="F105" i="56" s="1"/>
  <c r="F104" i="56" s="1"/>
  <c r="F102" i="56" s="1"/>
  <c r="F81" i="55"/>
  <c r="F79" i="55" s="1"/>
  <c r="G81" i="55"/>
  <c r="G79" i="55" s="1"/>
  <c r="H81" i="55"/>
  <c r="H79" i="55" s="1"/>
  <c r="E110" i="56"/>
  <c r="E108" i="56" s="1"/>
  <c r="D111" i="56"/>
  <c r="F85" i="55"/>
  <c r="F83" i="55" s="1"/>
  <c r="H85" i="55"/>
  <c r="H83" i="55" s="1"/>
  <c r="E85" i="55"/>
  <c r="E83" i="55" s="1"/>
  <c r="I169" i="54"/>
  <c r="I168" i="54"/>
  <c r="G26" i="32" l="1"/>
  <c r="G33" i="67" s="1"/>
  <c r="J81" i="69" s="1"/>
  <c r="J70" i="75"/>
  <c r="E106" i="56"/>
  <c r="G43" i="32"/>
  <c r="G42" i="32" s="1"/>
  <c r="G41" i="32" s="1"/>
  <c r="G40" i="32" s="1"/>
  <c r="G39" i="32" s="1"/>
  <c r="G37" i="32" s="1"/>
  <c r="F100" i="56"/>
  <c r="H34" i="32"/>
  <c r="H33" i="32" s="1"/>
  <c r="H32" i="32" s="1"/>
  <c r="H31" i="32" s="1"/>
  <c r="H30" i="32" s="1"/>
  <c r="H28" i="32" s="1"/>
  <c r="H26" i="32" s="1"/>
  <c r="H33" i="67" s="1"/>
  <c r="I15" i="54"/>
  <c r="I14" i="54" s="1"/>
  <c r="E81" i="55"/>
  <c r="E79" i="55" s="1"/>
  <c r="D79" i="55" s="1"/>
  <c r="I167" i="54"/>
  <c r="I166" i="54" s="1"/>
  <c r="I165" i="54" s="1"/>
  <c r="G86" i="55"/>
  <c r="G85" i="55" s="1"/>
  <c r="G83" i="55" s="1"/>
  <c r="E34" i="56"/>
  <c r="E33" i="56" s="1"/>
  <c r="D34" i="56"/>
  <c r="D32" i="56"/>
  <c r="I219" i="54"/>
  <c r="I216" i="54"/>
  <c r="I212" i="54"/>
  <c r="I211" i="54" s="1"/>
  <c r="E28" i="55"/>
  <c r="D28" i="55" s="1"/>
  <c r="F34" i="56" s="1"/>
  <c r="F33" i="56" s="1"/>
  <c r="H27" i="55"/>
  <c r="G27" i="55"/>
  <c r="F27" i="55"/>
  <c r="I215" i="54" l="1"/>
  <c r="I210" i="54" s="1"/>
  <c r="G35" i="32"/>
  <c r="G34" i="67" s="1"/>
  <c r="J85" i="69" s="1"/>
  <c r="J149" i="75"/>
  <c r="K81" i="69"/>
  <c r="K70" i="75"/>
  <c r="D81" i="55"/>
  <c r="E26" i="55"/>
  <c r="E25" i="55" s="1"/>
  <c r="D86" i="55"/>
  <c r="F111" i="56" s="1"/>
  <c r="F110" i="56" s="1"/>
  <c r="F108" i="56" s="1"/>
  <c r="E27" i="55"/>
  <c r="G24" i="32" l="1"/>
  <c r="G22" i="32" s="1"/>
  <c r="F106" i="56"/>
  <c r="H43" i="32"/>
  <c r="H42" i="32" s="1"/>
  <c r="H41" i="32" s="1"/>
  <c r="H40" i="32" s="1"/>
  <c r="H39" i="32" s="1"/>
  <c r="H37" i="32" s="1"/>
  <c r="D27" i="55"/>
  <c r="H35" i="32" l="1"/>
  <c r="H34" i="67" s="1"/>
  <c r="K85" i="69" s="1"/>
  <c r="K149" i="75"/>
  <c r="E19" i="56"/>
  <c r="D20" i="56"/>
  <c r="D18" i="56"/>
  <c r="E17" i="56"/>
  <c r="E23" i="56"/>
  <c r="E21" i="56" s="1"/>
  <c r="G288" i="32" s="1"/>
  <c r="G287" i="32" s="1"/>
  <c r="G286" i="32" s="1"/>
  <c r="G285" i="32" s="1"/>
  <c r="H24" i="32" l="1"/>
  <c r="H22" i="32" s="1"/>
  <c r="G284" i="32"/>
  <c r="G282" i="32" s="1"/>
  <c r="J128" i="75" s="1"/>
  <c r="E15" i="56"/>
  <c r="D24" i="56"/>
  <c r="E21" i="55"/>
  <c r="I139" i="54"/>
  <c r="I146" i="54"/>
  <c r="I144" i="54"/>
  <c r="I143" i="54"/>
  <c r="I145" i="54"/>
  <c r="E13" i="56" l="1"/>
  <c r="G281" i="32"/>
  <c r="G280" i="32" s="1"/>
  <c r="G279" i="32" s="1"/>
  <c r="G278" i="32" s="1"/>
  <c r="G274" i="32" s="1"/>
  <c r="G272" i="32" s="1"/>
  <c r="F22" i="55"/>
  <c r="D22" i="55" s="1"/>
  <c r="F20" i="56" s="1"/>
  <c r="F19" i="56" s="1"/>
  <c r="F20" i="55"/>
  <c r="F19" i="55" s="1"/>
  <c r="I142" i="54"/>
  <c r="I138" i="54" s="1"/>
  <c r="H21" i="55"/>
  <c r="G21" i="55"/>
  <c r="H19" i="55"/>
  <c r="G19" i="55"/>
  <c r="E19" i="55"/>
  <c r="F18" i="55"/>
  <c r="F17" i="55" s="1"/>
  <c r="I208" i="54"/>
  <c r="I207" i="54" s="1"/>
  <c r="G270" i="32" l="1"/>
  <c r="G17" i="67" s="1"/>
  <c r="J15" i="69" s="1"/>
  <c r="J15" i="75"/>
  <c r="J14" i="75" s="1"/>
  <c r="F21" i="55"/>
  <c r="D21" i="55" s="1"/>
  <c r="D19" i="55"/>
  <c r="D20" i="55"/>
  <c r="F18" i="56" s="1"/>
  <c r="F17" i="56" s="1"/>
  <c r="F15" i="56" s="1"/>
  <c r="H281" i="32" s="1"/>
  <c r="H280" i="32" s="1"/>
  <c r="H279" i="32" s="1"/>
  <c r="H278" i="32" s="1"/>
  <c r="H274" i="32" s="1"/>
  <c r="H272" i="32" s="1"/>
  <c r="K15" i="75" s="1"/>
  <c r="K14" i="75" s="1"/>
  <c r="F15" i="55" l="1"/>
  <c r="H17" i="55"/>
  <c r="H15" i="55" s="1"/>
  <c r="G17" i="55"/>
  <c r="G15" i="55" s="1"/>
  <c r="E92" i="56" l="1"/>
  <c r="E99" i="56"/>
  <c r="E98" i="56" s="1"/>
  <c r="D99" i="56"/>
  <c r="E97" i="56"/>
  <c r="E96" i="56" s="1"/>
  <c r="D97" i="56"/>
  <c r="E95" i="56"/>
  <c r="E94" i="56" s="1"/>
  <c r="E91" i="56"/>
  <c r="D95" i="56"/>
  <c r="D93" i="56"/>
  <c r="E90" i="56"/>
  <c r="D91" i="56"/>
  <c r="D90" i="56"/>
  <c r="E88" i="56"/>
  <c r="D88" i="56"/>
  <c r="E87" i="56"/>
  <c r="D87" i="56"/>
  <c r="H65" i="55"/>
  <c r="G65" i="55"/>
  <c r="F65" i="55"/>
  <c r="F68" i="55"/>
  <c r="H68" i="55"/>
  <c r="E71" i="55"/>
  <c r="E73" i="55"/>
  <c r="I245" i="54"/>
  <c r="I244" i="54"/>
  <c r="I240" i="54"/>
  <c r="I239" i="54"/>
  <c r="I234" i="54"/>
  <c r="I233" i="54"/>
  <c r="H75" i="55"/>
  <c r="F75" i="55"/>
  <c r="F77" i="55"/>
  <c r="G77" i="55"/>
  <c r="H77" i="55"/>
  <c r="I251" i="54"/>
  <c r="I247" i="54"/>
  <c r="I246" i="54"/>
  <c r="I250" i="54"/>
  <c r="H71" i="55"/>
  <c r="F71" i="55"/>
  <c r="F73" i="55"/>
  <c r="H73" i="55"/>
  <c r="G74" i="55"/>
  <c r="G73" i="55" s="1"/>
  <c r="G70" i="55"/>
  <c r="G68" i="55" s="1"/>
  <c r="E69" i="55"/>
  <c r="E68" i="55" s="1"/>
  <c r="E67" i="55"/>
  <c r="E66" i="55"/>
  <c r="I225" i="54"/>
  <c r="E81" i="56"/>
  <c r="E80" i="56" s="1"/>
  <c r="E78" i="56" s="1"/>
  <c r="D81" i="56"/>
  <c r="F60" i="55"/>
  <c r="H60" i="55"/>
  <c r="E62" i="55"/>
  <c r="E60" i="55" s="1"/>
  <c r="E58" i="55" s="1"/>
  <c r="I223" i="54"/>
  <c r="E53" i="56"/>
  <c r="D56" i="56"/>
  <c r="E55" i="56"/>
  <c r="D54" i="56"/>
  <c r="G347" i="32" l="1"/>
  <c r="G346" i="32" s="1"/>
  <c r="D30" i="55"/>
  <c r="F36" i="56" s="1"/>
  <c r="F35" i="56" s="1"/>
  <c r="E29" i="55"/>
  <c r="G345" i="32"/>
  <c r="E49" i="56"/>
  <c r="G143" i="32" s="1"/>
  <c r="G142" i="32" s="1"/>
  <c r="G139" i="32" s="1"/>
  <c r="G138" i="32" s="1"/>
  <c r="F63" i="55"/>
  <c r="I222" i="54"/>
  <c r="G336" i="32"/>
  <c r="G335" i="32" s="1"/>
  <c r="G334" i="32" s="1"/>
  <c r="G333" i="32" s="1"/>
  <c r="G332" i="32" s="1"/>
  <c r="G330" i="32" s="1"/>
  <c r="J139" i="75" s="1"/>
  <c r="I229" i="54"/>
  <c r="H63" i="55"/>
  <c r="I235" i="54"/>
  <c r="E78" i="55"/>
  <c r="E77" i="55" s="1"/>
  <c r="E65" i="55"/>
  <c r="E89" i="56"/>
  <c r="E76" i="55"/>
  <c r="E75" i="55" s="1"/>
  <c r="E86" i="56"/>
  <c r="G76" i="55"/>
  <c r="G75" i="55" s="1"/>
  <c r="G72" i="55"/>
  <c r="D29" i="55" l="1"/>
  <c r="E23" i="55"/>
  <c r="I228" i="54"/>
  <c r="I206" i="54" s="1"/>
  <c r="E39" i="56"/>
  <c r="E37" i="56" s="1"/>
  <c r="E63" i="55"/>
  <c r="E84" i="56"/>
  <c r="E82" i="56" s="1"/>
  <c r="D204" i="56"/>
  <c r="E63" i="56" l="1"/>
  <c r="I162" i="54" l="1"/>
  <c r="I161" i="54" s="1"/>
  <c r="E47" i="55"/>
  <c r="I72" i="54"/>
  <c r="I73" i="54"/>
  <c r="I74" i="54"/>
  <c r="H47" i="55"/>
  <c r="H45" i="55"/>
  <c r="E45" i="55"/>
  <c r="G19" i="74"/>
  <c r="G18" i="74"/>
  <c r="D141" i="56"/>
  <c r="G107" i="55"/>
  <c r="H107" i="55"/>
  <c r="E107" i="55"/>
  <c r="E41" i="55" l="1"/>
  <c r="E31" i="55" s="1"/>
  <c r="H41" i="55"/>
  <c r="H31" i="55" s="1"/>
  <c r="G16" i="74"/>
  <c r="H136" i="32" s="1"/>
  <c r="G136" i="32" s="1"/>
  <c r="I64" i="54"/>
  <c r="I59" i="54" s="1"/>
  <c r="I58" i="54" s="1"/>
  <c r="G48" i="55"/>
  <c r="G47" i="55" s="1"/>
  <c r="D78" i="55"/>
  <c r="F99" i="56" s="1"/>
  <c r="F98" i="56" s="1"/>
  <c r="G46" i="55"/>
  <c r="G45" i="55" s="1"/>
  <c r="H53" i="55"/>
  <c r="D53" i="55" s="1"/>
  <c r="F65" i="56" s="1"/>
  <c r="I160" i="54"/>
  <c r="I159" i="54" s="1"/>
  <c r="F47" i="55"/>
  <c r="F45" i="55"/>
  <c r="I259" i="54"/>
  <c r="F41" i="55" l="1"/>
  <c r="F31" i="55" s="1"/>
  <c r="F63" i="56"/>
  <c r="H411" i="32"/>
  <c r="G41" i="55"/>
  <c r="G31" i="55" s="1"/>
  <c r="D48" i="55"/>
  <c r="F56" i="56" s="1"/>
  <c r="F55" i="56" s="1"/>
  <c r="D76" i="55"/>
  <c r="F97" i="56" s="1"/>
  <c r="F96" i="56" s="1"/>
  <c r="D74" i="55"/>
  <c r="F95" i="56" s="1"/>
  <c r="F94" i="56" s="1"/>
  <c r="D47" i="55"/>
  <c r="D46" i="55"/>
  <c r="F54" i="56" s="1"/>
  <c r="F53" i="56" s="1"/>
  <c r="D45" i="55"/>
  <c r="F108" i="55"/>
  <c r="I258" i="54"/>
  <c r="I257" i="54" s="1"/>
  <c r="I256" i="54" s="1"/>
  <c r="I255" i="54" s="1"/>
  <c r="H410" i="32" l="1"/>
  <c r="H409" i="32" s="1"/>
  <c r="H408" i="32" s="1"/>
  <c r="H407" i="32" s="1"/>
  <c r="H405" i="32" s="1"/>
  <c r="F49" i="56"/>
  <c r="H143" i="32" s="1"/>
  <c r="H142" i="32" s="1"/>
  <c r="D108" i="55"/>
  <c r="F141" i="56" s="1"/>
  <c r="F107" i="55"/>
  <c r="H370" i="32"/>
  <c r="K183" i="75" s="1"/>
  <c r="K182" i="75" s="1"/>
  <c r="K181" i="75" s="1"/>
  <c r="G370" i="32"/>
  <c r="J183" i="75" s="1"/>
  <c r="J182" i="75" s="1"/>
  <c r="J181" i="75" s="1"/>
  <c r="D178" i="56"/>
  <c r="F136" i="55"/>
  <c r="F131" i="55" s="1"/>
  <c r="H136" i="55"/>
  <c r="H131" i="55" s="1"/>
  <c r="E136" i="55"/>
  <c r="I98" i="54"/>
  <c r="D107" i="55" l="1"/>
  <c r="H403" i="32"/>
  <c r="H401" i="32" s="1"/>
  <c r="H399" i="32" s="1"/>
  <c r="H397" i="32" s="1"/>
  <c r="H395" i="32" s="1"/>
  <c r="K50" i="75"/>
  <c r="K49" i="75" s="1"/>
  <c r="H139" i="32"/>
  <c r="H138" i="32" s="1"/>
  <c r="F39" i="56"/>
  <c r="F37" i="56" s="1"/>
  <c r="G137" i="55"/>
  <c r="G136" i="55" s="1"/>
  <c r="I97" i="54"/>
  <c r="I81" i="54" s="1"/>
  <c r="I80" i="54" s="1"/>
  <c r="D33" i="55"/>
  <c r="D133" i="55"/>
  <c r="F140" i="56"/>
  <c r="F138" i="56" s="1"/>
  <c r="H369" i="32" s="1"/>
  <c r="H368" i="32" s="1"/>
  <c r="H367" i="32" s="1"/>
  <c r="H366" i="32" s="1"/>
  <c r="H365" i="32" s="1"/>
  <c r="H363" i="32" s="1"/>
  <c r="K175" i="75" s="1"/>
  <c r="K174" i="75" s="1"/>
  <c r="K173" i="75" s="1"/>
  <c r="E141" i="56"/>
  <c r="E140" i="56" s="1"/>
  <c r="E138" i="56" s="1"/>
  <c r="D144" i="55" l="1"/>
  <c r="F185" i="56" s="1"/>
  <c r="F184" i="56" s="1"/>
  <c r="G369" i="32"/>
  <c r="G368" i="32" s="1"/>
  <c r="G367" i="32" s="1"/>
  <c r="G366" i="32" s="1"/>
  <c r="G365" i="32" s="1"/>
  <c r="G363" i="32" s="1"/>
  <c r="J175" i="75" s="1"/>
  <c r="J174" i="75" s="1"/>
  <c r="J173" i="75" s="1"/>
  <c r="H27" i="67"/>
  <c r="H26" i="67" s="1"/>
  <c r="D135" i="55"/>
  <c r="F206" i="56" s="1"/>
  <c r="G134" i="55"/>
  <c r="G131" i="55" s="1"/>
  <c r="D147" i="56"/>
  <c r="E146" i="56"/>
  <c r="E144" i="56" s="1"/>
  <c r="I158" i="54"/>
  <c r="I157" i="54"/>
  <c r="K55" i="69" l="1"/>
  <c r="K54" i="69" s="1"/>
  <c r="E142" i="56"/>
  <c r="G385" i="32"/>
  <c r="G384" i="32" s="1"/>
  <c r="G383" i="32" s="1"/>
  <c r="G382" i="32" s="1"/>
  <c r="G381" i="32" s="1"/>
  <c r="G379" i="32" s="1"/>
  <c r="F205" i="56"/>
  <c r="H200" i="32"/>
  <c r="D134" i="55"/>
  <c r="G112" i="55"/>
  <c r="D69" i="55"/>
  <c r="F90" i="56" s="1"/>
  <c r="I156" i="54"/>
  <c r="I155" i="54" s="1"/>
  <c r="D70" i="55" s="1"/>
  <c r="F91" i="56" s="1"/>
  <c r="J95" i="75" l="1"/>
  <c r="G377" i="32"/>
  <c r="G40" i="67" s="1"/>
  <c r="J111" i="69" s="1"/>
  <c r="F89" i="56"/>
  <c r="D72" i="55"/>
  <c r="F93" i="56" s="1"/>
  <c r="F92" i="56" s="1"/>
  <c r="G71" i="55"/>
  <c r="G63" i="55" s="1"/>
  <c r="D112" i="55"/>
  <c r="F147" i="56" s="1"/>
  <c r="F146" i="56" s="1"/>
  <c r="F144" i="56" s="1"/>
  <c r="H111" i="55"/>
  <c r="H109" i="55" s="1"/>
  <c r="F111" i="55"/>
  <c r="F109" i="55" s="1"/>
  <c r="E111" i="55"/>
  <c r="E109" i="55" s="1"/>
  <c r="F142" i="56" l="1"/>
  <c r="H385" i="32"/>
  <c r="H384" i="32" s="1"/>
  <c r="H383" i="32" s="1"/>
  <c r="H382" i="32" s="1"/>
  <c r="H381" i="32" s="1"/>
  <c r="H379" i="32" s="1"/>
  <c r="H347" i="32"/>
  <c r="H346" i="32" s="1"/>
  <c r="G111" i="55"/>
  <c r="G23" i="74"/>
  <c r="K95" i="75" l="1"/>
  <c r="H377" i="32"/>
  <c r="H40" i="67" s="1"/>
  <c r="K111" i="69" s="1"/>
  <c r="G21" i="74"/>
  <c r="H60" i="32"/>
  <c r="G109" i="55"/>
  <c r="D109" i="55" s="1"/>
  <c r="D111" i="55"/>
  <c r="G60" i="32" l="1"/>
  <c r="G59" i="32" s="1"/>
  <c r="G58" i="32" s="1"/>
  <c r="G57" i="32" s="1"/>
  <c r="G56" i="32" s="1"/>
  <c r="G54" i="32" s="1"/>
  <c r="H59" i="32"/>
  <c r="H58" i="32" s="1"/>
  <c r="H57" i="32" s="1"/>
  <c r="H56" i="32" s="1"/>
  <c r="H54" i="32" s="1"/>
  <c r="G28" i="74"/>
  <c r="H308" i="32" s="1"/>
  <c r="H52" i="32" l="1"/>
  <c r="H21" i="67" s="1"/>
  <c r="K32" i="69" s="1"/>
  <c r="K27" i="75"/>
  <c r="G52" i="32"/>
  <c r="G21" i="67" s="1"/>
  <c r="J32" i="69" s="1"/>
  <c r="J27" i="75"/>
  <c r="H307" i="32"/>
  <c r="H306" i="32" s="1"/>
  <c r="H305" i="32" s="1"/>
  <c r="H304" i="32" s="1"/>
  <c r="H302" i="32" s="1"/>
  <c r="G308" i="32"/>
  <c r="G307" i="32" s="1"/>
  <c r="G306" i="32" s="1"/>
  <c r="G305" i="32" s="1"/>
  <c r="G304" i="32" s="1"/>
  <c r="G302" i="32" s="1"/>
  <c r="G30" i="74"/>
  <c r="G26" i="74"/>
  <c r="D62" i="56"/>
  <c r="F51" i="55"/>
  <c r="F49" i="55" s="1"/>
  <c r="H51" i="55"/>
  <c r="H49" i="55" s="1"/>
  <c r="E51" i="55"/>
  <c r="E49" i="55" s="1"/>
  <c r="I24" i="54"/>
  <c r="G52" i="55" s="1"/>
  <c r="G51" i="55" s="1"/>
  <c r="G49" i="55" s="1"/>
  <c r="G300" i="32" l="1"/>
  <c r="G24" i="67" s="1"/>
  <c r="J38" i="75"/>
  <c r="H300" i="32"/>
  <c r="H24" i="67" s="1"/>
  <c r="K38" i="75"/>
  <c r="G29" i="74"/>
  <c r="H318" i="32"/>
  <c r="H73" i="76" s="1"/>
  <c r="H72" i="76" s="1"/>
  <c r="H71" i="76" s="1"/>
  <c r="H70" i="76" s="1"/>
  <c r="H69" i="76" s="1"/>
  <c r="H67" i="76" s="1"/>
  <c r="H65" i="76" s="1"/>
  <c r="H63" i="76" s="1"/>
  <c r="H61" i="76" s="1"/>
  <c r="H59" i="76" s="1"/>
  <c r="H57" i="76" s="1"/>
  <c r="D31" i="55"/>
  <c r="D41" i="55"/>
  <c r="I23" i="54"/>
  <c r="I22" i="54" s="1"/>
  <c r="I21" i="54" s="1"/>
  <c r="G15" i="74"/>
  <c r="K43" i="69" l="1"/>
  <c r="J43" i="69"/>
  <c r="G14" i="74"/>
  <c r="G12" i="74" s="1"/>
  <c r="G11" i="74" s="1"/>
  <c r="H137" i="32"/>
  <c r="H317" i="32"/>
  <c r="H316" i="32" s="1"/>
  <c r="H315" i="32" s="1"/>
  <c r="H314" i="32" s="1"/>
  <c r="H312" i="32" s="1"/>
  <c r="G318" i="32"/>
  <c r="G39" i="74"/>
  <c r="G38" i="74" s="1"/>
  <c r="G25" i="74"/>
  <c r="G24" i="74" s="1"/>
  <c r="G317" i="32" l="1"/>
  <c r="G316" i="32" s="1"/>
  <c r="G315" i="32" s="1"/>
  <c r="G314" i="32" s="1"/>
  <c r="G312" i="32" s="1"/>
  <c r="G310" i="32" s="1"/>
  <c r="G73" i="76"/>
  <c r="G72" i="76" s="1"/>
  <c r="G71" i="76" s="1"/>
  <c r="G70" i="76" s="1"/>
  <c r="G69" i="76" s="1"/>
  <c r="G67" i="76" s="1"/>
  <c r="G65" i="76" s="1"/>
  <c r="G63" i="76" s="1"/>
  <c r="G61" i="76" s="1"/>
  <c r="G59" i="76" s="1"/>
  <c r="G57" i="76" s="1"/>
  <c r="H310" i="32"/>
  <c r="H25" i="67" s="1"/>
  <c r="K43" i="75"/>
  <c r="K37" i="75" s="1"/>
  <c r="G137" i="32"/>
  <c r="G135" i="32" s="1"/>
  <c r="G134" i="32" s="1"/>
  <c r="G133" i="32" s="1"/>
  <c r="G132" i="32" s="1"/>
  <c r="H135" i="32"/>
  <c r="H134" i="32" s="1"/>
  <c r="H133" i="32" s="1"/>
  <c r="H132" i="32" s="1"/>
  <c r="G37" i="74"/>
  <c r="G36" i="74" s="1"/>
  <c r="G10" i="74" s="1"/>
  <c r="H106" i="32"/>
  <c r="D137" i="56"/>
  <c r="G25" i="67" l="1"/>
  <c r="J48" i="69" s="1"/>
  <c r="J42" i="69" s="1"/>
  <c r="G298" i="32"/>
  <c r="J43" i="75"/>
  <c r="J37" i="75" s="1"/>
  <c r="H298" i="32"/>
  <c r="G23" i="67"/>
  <c r="K48" i="69"/>
  <c r="K42" i="69" s="1"/>
  <c r="H23" i="67"/>
  <c r="H130" i="32"/>
  <c r="G130" i="32"/>
  <c r="G106" i="32"/>
  <c r="G105" i="32" s="1"/>
  <c r="G104" i="32" s="1"/>
  <c r="G103" i="32" s="1"/>
  <c r="H105" i="32"/>
  <c r="H104" i="32" s="1"/>
  <c r="H103" i="32" s="1"/>
  <c r="E136" i="56"/>
  <c r="E134" i="56" s="1"/>
  <c r="E132" i="56" s="1"/>
  <c r="G128" i="32" l="1"/>
  <c r="G20" i="67" s="1"/>
  <c r="J26" i="69" s="1"/>
  <c r="J21" i="75"/>
  <c r="H128" i="32"/>
  <c r="H126" i="32" s="1"/>
  <c r="H124" i="32" s="1"/>
  <c r="H122" i="32" s="1"/>
  <c r="K21" i="75"/>
  <c r="G362" i="32"/>
  <c r="I154" i="54"/>
  <c r="I153" i="54"/>
  <c r="H105" i="55"/>
  <c r="H103" i="55" s="1"/>
  <c r="F105" i="55"/>
  <c r="F103" i="55" s="1"/>
  <c r="E105" i="55"/>
  <c r="E103" i="55" s="1"/>
  <c r="D71" i="56"/>
  <c r="E70" i="56"/>
  <c r="E68" i="56" s="1"/>
  <c r="I136" i="54"/>
  <c r="D184" i="55" s="1"/>
  <c r="F242" i="56" s="1"/>
  <c r="I135" i="54"/>
  <c r="D183" i="55" s="1"/>
  <c r="F241" i="56" s="1"/>
  <c r="G126" i="32" l="1"/>
  <c r="G124" i="32" s="1"/>
  <c r="G122" i="32" s="1"/>
  <c r="H20" i="67"/>
  <c r="K26" i="69" s="1"/>
  <c r="E66" i="56"/>
  <c r="G261" i="32"/>
  <c r="D66" i="55"/>
  <c r="F87" i="56" s="1"/>
  <c r="G57" i="55"/>
  <c r="G106" i="55"/>
  <c r="G105" i="55" s="1"/>
  <c r="I134" i="54"/>
  <c r="I152" i="54"/>
  <c r="I151" i="54" s="1"/>
  <c r="I133" i="54" l="1"/>
  <c r="D193" i="55" s="1"/>
  <c r="F251" i="56" s="1"/>
  <c r="D182" i="55"/>
  <c r="F240" i="56" s="1"/>
  <c r="G103" i="55"/>
  <c r="D103" i="55" s="1"/>
  <c r="G260" i="32"/>
  <c r="G259" i="32" s="1"/>
  <c r="G258" i="32" s="1"/>
  <c r="G253" i="32" s="1"/>
  <c r="G251" i="32" s="1"/>
  <c r="G249" i="32" s="1"/>
  <c r="G451" i="32" s="1"/>
  <c r="G459" i="32" s="1"/>
  <c r="G56" i="76"/>
  <c r="G55" i="76" s="1"/>
  <c r="G54" i="76" s="1"/>
  <c r="G53" i="76" s="1"/>
  <c r="G48" i="76" s="1"/>
  <c r="G46" i="76" s="1"/>
  <c r="G44" i="76" s="1"/>
  <c r="G42" i="76" s="1"/>
  <c r="G40" i="76" s="1"/>
  <c r="G38" i="76" s="1"/>
  <c r="G36" i="76" s="1"/>
  <c r="D105" i="55"/>
  <c r="D106" i="55"/>
  <c r="F137" i="56" s="1"/>
  <c r="F136" i="56" s="1"/>
  <c r="F134" i="56" s="1"/>
  <c r="F132" i="56" s="1"/>
  <c r="D57" i="55"/>
  <c r="F71" i="56" s="1"/>
  <c r="F70" i="56" s="1"/>
  <c r="F68" i="56" s="1"/>
  <c r="H56" i="55"/>
  <c r="H54" i="55" s="1"/>
  <c r="G56" i="55"/>
  <c r="G54" i="55" s="1"/>
  <c r="F56" i="55"/>
  <c r="F54" i="55" s="1"/>
  <c r="E56" i="55"/>
  <c r="E76" i="56"/>
  <c r="E74" i="56" s="1"/>
  <c r="D77" i="56"/>
  <c r="H58" i="55"/>
  <c r="I150" i="54"/>
  <c r="D62" i="55" s="1"/>
  <c r="F81" i="56" s="1"/>
  <c r="F80" i="56" s="1"/>
  <c r="F78" i="56" s="1"/>
  <c r="H336" i="32" s="1"/>
  <c r="H335" i="32" s="1"/>
  <c r="H334" i="32" s="1"/>
  <c r="H333" i="32" s="1"/>
  <c r="H332" i="32" s="1"/>
  <c r="H330" i="32" s="1"/>
  <c r="K139" i="75" s="1"/>
  <c r="I149" i="54"/>
  <c r="I132" i="54" l="1"/>
  <c r="D181" i="55"/>
  <c r="F239" i="56" s="1"/>
  <c r="J57" i="75"/>
  <c r="J56" i="75" s="1"/>
  <c r="G33" i="76"/>
  <c r="G29" i="67"/>
  <c r="H362" i="32"/>
  <c r="G329" i="32"/>
  <c r="G328" i="32" s="1"/>
  <c r="G327" i="32" s="1"/>
  <c r="G326" i="32" s="1"/>
  <c r="G325" i="32" s="1"/>
  <c r="G323" i="32" s="1"/>
  <c r="E72" i="56"/>
  <c r="F66" i="56"/>
  <c r="H261" i="32"/>
  <c r="I148" i="54"/>
  <c r="I147" i="54" s="1"/>
  <c r="I137" i="54" s="1"/>
  <c r="G61" i="55"/>
  <c r="D56" i="55"/>
  <c r="E54" i="55"/>
  <c r="D54" i="55" s="1"/>
  <c r="D204" i="55" l="1"/>
  <c r="F262" i="56" s="1"/>
  <c r="F259" i="56" s="1"/>
  <c r="D201" i="55"/>
  <c r="D192" i="55"/>
  <c r="F250" i="56" s="1"/>
  <c r="F248" i="56" s="1"/>
  <c r="D190" i="55"/>
  <c r="D189" i="55"/>
  <c r="F247" i="56" s="1"/>
  <c r="F246" i="56" s="1"/>
  <c r="E188" i="55"/>
  <c r="E167" i="55" s="1"/>
  <c r="D180" i="55"/>
  <c r="F238" i="56" s="1"/>
  <c r="F236" i="56" s="1"/>
  <c r="F225" i="56" s="1"/>
  <c r="D178" i="55"/>
  <c r="H260" i="32"/>
  <c r="H259" i="32" s="1"/>
  <c r="H258" i="32" s="1"/>
  <c r="H253" i="32" s="1"/>
  <c r="H251" i="32" s="1"/>
  <c r="H56" i="76"/>
  <c r="H55" i="76" s="1"/>
  <c r="H54" i="76" s="1"/>
  <c r="H53" i="76" s="1"/>
  <c r="H48" i="76" s="1"/>
  <c r="H46" i="76" s="1"/>
  <c r="H44" i="76" s="1"/>
  <c r="H42" i="76" s="1"/>
  <c r="H40" i="76" s="1"/>
  <c r="H38" i="76" s="1"/>
  <c r="H36" i="76" s="1"/>
  <c r="G321" i="32"/>
  <c r="G31" i="67" s="1"/>
  <c r="J70" i="69" s="1"/>
  <c r="J65" i="75"/>
  <c r="J64" i="75" s="1"/>
  <c r="G450" i="32"/>
  <c r="G449" i="32" s="1"/>
  <c r="G448" i="32" s="1"/>
  <c r="G446" i="32" s="1"/>
  <c r="G28" i="67"/>
  <c r="J62" i="69"/>
  <c r="J61" i="69" s="1"/>
  <c r="G60" i="55"/>
  <c r="G58" i="55" s="1"/>
  <c r="D61" i="55"/>
  <c r="F77" i="56" s="1"/>
  <c r="F58" i="55"/>
  <c r="F223" i="56" l="1"/>
  <c r="H227" i="32"/>
  <c r="H226" i="32" s="1"/>
  <c r="H225" i="32" s="1"/>
  <c r="H224" i="32" s="1"/>
  <c r="H223" i="32" s="1"/>
  <c r="H221" i="32" s="1"/>
  <c r="D188" i="55"/>
  <c r="D167" i="55"/>
  <c r="G444" i="32"/>
  <c r="J198" i="75"/>
  <c r="H249" i="32"/>
  <c r="H451" i="32" s="1"/>
  <c r="H459" i="32" s="1"/>
  <c r="K57" i="75"/>
  <c r="K56" i="75" s="1"/>
  <c r="D58" i="55"/>
  <c r="F76" i="56"/>
  <c r="F74" i="56" s="1"/>
  <c r="D60" i="55"/>
  <c r="D156" i="56"/>
  <c r="G118" i="55"/>
  <c r="G116" i="55" s="1"/>
  <c r="H118" i="55"/>
  <c r="H116" i="55" s="1"/>
  <c r="E118" i="55"/>
  <c r="E116" i="55" s="1"/>
  <c r="G31" i="54"/>
  <c r="I31" i="54" s="1"/>
  <c r="G30" i="54"/>
  <c r="I30" i="54" s="1"/>
  <c r="I28" i="54"/>
  <c r="H219" i="32" l="1"/>
  <c r="H48" i="67" s="1"/>
  <c r="K145" i="69" s="1"/>
  <c r="K121" i="75"/>
  <c r="H29" i="67"/>
  <c r="K62" i="69" s="1"/>
  <c r="K61" i="69" s="1"/>
  <c r="G56" i="67"/>
  <c r="F72" i="56"/>
  <c r="H329" i="32"/>
  <c r="H328" i="32" s="1"/>
  <c r="H327" i="32" s="1"/>
  <c r="H326" i="32" s="1"/>
  <c r="H325" i="32" s="1"/>
  <c r="H323" i="32" s="1"/>
  <c r="F119" i="55"/>
  <c r="F118" i="55" s="1"/>
  <c r="F116" i="55" s="1"/>
  <c r="I29" i="54"/>
  <c r="I27" i="54"/>
  <c r="E125" i="56"/>
  <c r="F96" i="55"/>
  <c r="G96" i="55"/>
  <c r="E96" i="55"/>
  <c r="D131" i="56"/>
  <c r="D130" i="56"/>
  <c r="I56" i="54"/>
  <c r="H28" i="67" l="1"/>
  <c r="J159" i="69"/>
  <c r="H321" i="32"/>
  <c r="H31" i="67" s="1"/>
  <c r="K70" i="69" s="1"/>
  <c r="K65" i="75"/>
  <c r="K64" i="75" s="1"/>
  <c r="I26" i="54"/>
  <c r="I25" i="54" s="1"/>
  <c r="D113" i="55"/>
  <c r="D115" i="55"/>
  <c r="F150" i="56" s="1"/>
  <c r="H394" i="32" s="1"/>
  <c r="H393" i="32" s="1"/>
  <c r="H392" i="32" s="1"/>
  <c r="H391" i="32" s="1"/>
  <c r="H390" i="32" s="1"/>
  <c r="H388" i="32" s="1"/>
  <c r="I55" i="54"/>
  <c r="H101" i="55" s="1"/>
  <c r="D101" i="55" s="1"/>
  <c r="F130" i="56" s="1"/>
  <c r="D129" i="56"/>
  <c r="I54" i="54"/>
  <c r="I53" i="54"/>
  <c r="D128" i="56"/>
  <c r="D127" i="56"/>
  <c r="H386" i="32" l="1"/>
  <c r="H41" i="67" s="1"/>
  <c r="K116" i="69" s="1"/>
  <c r="K207" i="75"/>
  <c r="K206" i="75" s="1"/>
  <c r="F148" i="56"/>
  <c r="H100" i="55"/>
  <c r="D100" i="55" s="1"/>
  <c r="F129" i="56" s="1"/>
  <c r="I52" i="54"/>
  <c r="I51" i="54"/>
  <c r="I48" i="54"/>
  <c r="D126" i="56"/>
  <c r="E123" i="56"/>
  <c r="G94" i="55"/>
  <c r="F94" i="55"/>
  <c r="I46" i="54"/>
  <c r="I57" i="54"/>
  <c r="I50" i="54"/>
  <c r="I49" i="54"/>
  <c r="I47" i="54"/>
  <c r="I45" i="54"/>
  <c r="E121" i="56" l="1"/>
  <c r="G121" i="32"/>
  <c r="G120" i="32" s="1"/>
  <c r="G119" i="32" s="1"/>
  <c r="I44" i="54"/>
  <c r="I43" i="54" s="1"/>
  <c r="I32" i="54" s="1"/>
  <c r="I13" i="54" s="1"/>
  <c r="H98" i="55"/>
  <c r="D98" i="55" s="1"/>
  <c r="F127" i="56" s="1"/>
  <c r="D52" i="55"/>
  <c r="F62" i="56" s="1"/>
  <c r="H99" i="55"/>
  <c r="D99" i="55" s="1"/>
  <c r="F128" i="56" s="1"/>
  <c r="H97" i="55"/>
  <c r="D97" i="55" s="1"/>
  <c r="F126" i="56" s="1"/>
  <c r="H102" i="55"/>
  <c r="D102" i="55" s="1"/>
  <c r="F131" i="56" s="1"/>
  <c r="E94" i="55"/>
  <c r="D77" i="55" l="1"/>
  <c r="F61" i="56"/>
  <c r="F59" i="56" s="1"/>
  <c r="E62" i="56"/>
  <c r="D49" i="55"/>
  <c r="D51" i="55"/>
  <c r="H96" i="55"/>
  <c r="D73" i="55" s="1"/>
  <c r="F125" i="56"/>
  <c r="F123" i="56" s="1"/>
  <c r="F57" i="56" l="1"/>
  <c r="H76" i="32"/>
  <c r="H75" i="32" s="1"/>
  <c r="H74" i="32" s="1"/>
  <c r="H73" i="32" s="1"/>
  <c r="H66" i="32" s="1"/>
  <c r="H64" i="32" s="1"/>
  <c r="F121" i="56"/>
  <c r="H121" i="32"/>
  <c r="H120" i="32" s="1"/>
  <c r="H119" i="32" s="1"/>
  <c r="H118" i="32" s="1"/>
  <c r="H117" i="32" s="1"/>
  <c r="E61" i="56"/>
  <c r="E59" i="56" s="1"/>
  <c r="E57" i="56" s="1"/>
  <c r="H94" i="55"/>
  <c r="D75" i="55"/>
  <c r="D96" i="55"/>
  <c r="I200" i="54"/>
  <c r="I196" i="54"/>
  <c r="D154" i="55" l="1"/>
  <c r="F194" i="56" s="1"/>
  <c r="D160" i="55"/>
  <c r="F200" i="56" s="1"/>
  <c r="I195" i="54"/>
  <c r="H62" i="32"/>
  <c r="H50" i="32" s="1"/>
  <c r="H48" i="32" s="1"/>
  <c r="H46" i="32" s="1"/>
  <c r="K32" i="75"/>
  <c r="K20" i="75" s="1"/>
  <c r="G76" i="32"/>
  <c r="G75" i="32" s="1"/>
  <c r="G74" i="32" s="1"/>
  <c r="G73" i="32" s="1"/>
  <c r="G66" i="32" s="1"/>
  <c r="G64" i="32" s="1"/>
  <c r="E146" i="55"/>
  <c r="D87" i="55"/>
  <c r="D89" i="55"/>
  <c r="D83" i="55"/>
  <c r="D85" i="55"/>
  <c r="D94" i="55"/>
  <c r="D71" i="55"/>
  <c r="D68" i="55"/>
  <c r="E143" i="55" l="1"/>
  <c r="E131" i="55" s="1"/>
  <c r="D158" i="55"/>
  <c r="D159" i="55"/>
  <c r="F199" i="56" s="1"/>
  <c r="F198" i="56" s="1"/>
  <c r="D157" i="55"/>
  <c r="F197" i="56" s="1"/>
  <c r="F196" i="56" s="1"/>
  <c r="D156" i="55"/>
  <c r="I190" i="54"/>
  <c r="H22" i="67"/>
  <c r="H19" i="67" s="1"/>
  <c r="G62" i="32"/>
  <c r="G22" i="67" s="1"/>
  <c r="J37" i="69" s="1"/>
  <c r="J25" i="69" s="1"/>
  <c r="J32" i="75"/>
  <c r="J20" i="75" s="1"/>
  <c r="D146" i="55"/>
  <c r="F208" i="56" s="1"/>
  <c r="D143" i="55"/>
  <c r="K37" i="69" l="1"/>
  <c r="K25" i="69" s="1"/>
  <c r="D153" i="55"/>
  <c r="F192" i="56" s="1"/>
  <c r="F191" i="56" s="1"/>
  <c r="D152" i="55"/>
  <c r="G19" i="67"/>
  <c r="G50" i="32"/>
  <c r="G48" i="32" s="1"/>
  <c r="G46" i="32" s="1"/>
  <c r="F207" i="56"/>
  <c r="F202" i="56" s="1"/>
  <c r="H198" i="32"/>
  <c r="G357" i="32" l="1"/>
  <c r="G356" i="32" s="1"/>
  <c r="G355" i="32" s="1"/>
  <c r="H357" i="32"/>
  <c r="H356" i="32" s="1"/>
  <c r="H355" i="32" s="1"/>
  <c r="E31" i="56" l="1"/>
  <c r="E27" i="56" s="1"/>
  <c r="E25" i="56" l="1"/>
  <c r="G297" i="32"/>
  <c r="G296" i="32" l="1"/>
  <c r="G295" i="32" l="1"/>
  <c r="G294" i="32" s="1"/>
  <c r="G293" i="32" s="1"/>
  <c r="G291" i="32" s="1"/>
  <c r="J132" i="75" s="1"/>
  <c r="J127" i="75" s="1"/>
  <c r="G289" i="32" l="1"/>
  <c r="G268" i="32" l="1"/>
  <c r="G18" i="67"/>
  <c r="G16" i="67" l="1"/>
  <c r="J19" i="69"/>
  <c r="J14" i="69" s="1"/>
  <c r="D119" i="55"/>
  <c r="D67" i="55" l="1"/>
  <c r="F88" i="56" s="1"/>
  <c r="H345" i="32" s="1"/>
  <c r="F156" i="56"/>
  <c r="D118" i="55"/>
  <c r="F86" i="56" l="1"/>
  <c r="F84" i="56" s="1"/>
  <c r="F82" i="56" s="1"/>
  <c r="H344" i="32"/>
  <c r="H343" i="32" s="1"/>
  <c r="H342" i="32" s="1"/>
  <c r="H341" i="32" s="1"/>
  <c r="H339" i="32" s="1"/>
  <c r="D65" i="55"/>
  <c r="D63" i="55"/>
  <c r="E156" i="56"/>
  <c r="H361" i="32"/>
  <c r="H360" i="32" s="1"/>
  <c r="H359" i="32" s="1"/>
  <c r="F155" i="56"/>
  <c r="F153" i="56" s="1"/>
  <c r="G361" i="32"/>
  <c r="G360" i="32" s="1"/>
  <c r="G359" i="32" s="1"/>
  <c r="D116" i="55"/>
  <c r="H337" i="32" l="1"/>
  <c r="H319" i="32" s="1"/>
  <c r="K143" i="75"/>
  <c r="K138" i="75" s="1"/>
  <c r="G354" i="32"/>
  <c r="G352" i="32" s="1"/>
  <c r="H354" i="32"/>
  <c r="H352" i="32" s="1"/>
  <c r="F151" i="56"/>
  <c r="H91" i="32"/>
  <c r="H90" i="32" s="1"/>
  <c r="H89" i="32" s="1"/>
  <c r="H88" i="32" s="1"/>
  <c r="H87" i="32" s="1"/>
  <c r="E155" i="56"/>
  <c r="E153" i="56" s="1"/>
  <c r="H32" i="67" l="1"/>
  <c r="H30" i="67" s="1"/>
  <c r="H350" i="32"/>
  <c r="H39" i="67" s="1"/>
  <c r="K89" i="75"/>
  <c r="K88" i="75" s="1"/>
  <c r="G350" i="32"/>
  <c r="G348" i="32" s="1"/>
  <c r="J89" i="75"/>
  <c r="J88" i="75" s="1"/>
  <c r="E151" i="56"/>
  <c r="G91" i="32"/>
  <c r="G90" i="32" s="1"/>
  <c r="G89" i="32" s="1"/>
  <c r="G88" i="32" s="1"/>
  <c r="G87" i="32" s="1"/>
  <c r="G85" i="32" s="1"/>
  <c r="J102" i="75" s="1"/>
  <c r="J101" i="75" s="1"/>
  <c r="D18" i="55"/>
  <c r="F24" i="56" s="1"/>
  <c r="F23" i="56" s="1"/>
  <c r="F21" i="56" s="1"/>
  <c r="H288" i="32" s="1"/>
  <c r="H287" i="32" s="1"/>
  <c r="H286" i="32" s="1"/>
  <c r="H285" i="32" s="1"/>
  <c r="E17" i="55"/>
  <c r="E15" i="55" s="1"/>
  <c r="E13" i="55" s="1"/>
  <c r="H348" i="32" l="1"/>
  <c r="K75" i="69"/>
  <c r="K69" i="69" s="1"/>
  <c r="G39" i="67"/>
  <c r="G38" i="67" s="1"/>
  <c r="H38" i="67"/>
  <c r="K105" i="69"/>
  <c r="K104" i="69" s="1"/>
  <c r="H284" i="32"/>
  <c r="H282" i="32" s="1"/>
  <c r="F13" i="56"/>
  <c r="D15" i="55"/>
  <c r="D17" i="55"/>
  <c r="G344" i="32"/>
  <c r="J105" i="69" l="1"/>
  <c r="J104" i="69" s="1"/>
  <c r="H270" i="32"/>
  <c r="H17" i="67" s="1"/>
  <c r="K15" i="69" s="1"/>
  <c r="K128" i="75"/>
  <c r="H450" i="32"/>
  <c r="H449" i="32" s="1"/>
  <c r="H448" i="32" s="1"/>
  <c r="H446" i="32" s="1"/>
  <c r="G343" i="32"/>
  <c r="G342" i="32" s="1"/>
  <c r="G341" i="32" s="1"/>
  <c r="G339" i="32" s="1"/>
  <c r="J143" i="75" s="1"/>
  <c r="J138" i="75" s="1"/>
  <c r="G217" i="32"/>
  <c r="G214" i="32" s="1"/>
  <c r="I205" i="54"/>
  <c r="I203" i="54" s="1"/>
  <c r="I202" i="54" s="1"/>
  <c r="I189" i="54" s="1"/>
  <c r="H444" i="32" l="1"/>
  <c r="H56" i="67" s="1"/>
  <c r="K198" i="75"/>
  <c r="G337" i="32"/>
  <c r="G213" i="32"/>
  <c r="G212" i="32" s="1"/>
  <c r="G210" i="32" s="1"/>
  <c r="I164" i="54"/>
  <c r="F166" i="55"/>
  <c r="J166" i="75" l="1"/>
  <c r="G206" i="32"/>
  <c r="G205" i="32" s="1"/>
  <c r="G203" i="32" s="1"/>
  <c r="K159" i="69"/>
  <c r="G319" i="32"/>
  <c r="G266" i="32" s="1"/>
  <c r="G32" i="67"/>
  <c r="J75" i="69" s="1"/>
  <c r="J69" i="69" s="1"/>
  <c r="D166" i="55"/>
  <c r="F222" i="56" s="1"/>
  <c r="F165" i="55"/>
  <c r="J117" i="75" l="1"/>
  <c r="G201" i="32"/>
  <c r="G47" i="67" s="1"/>
  <c r="J139" i="69" s="1"/>
  <c r="D164" i="55"/>
  <c r="F162" i="55"/>
  <c r="D162" i="55" s="1"/>
  <c r="F221" i="56"/>
  <c r="F218" i="56" s="1"/>
  <c r="F213" i="56" s="1"/>
  <c r="H218" i="32"/>
  <c r="H217" i="32" s="1"/>
  <c r="H216" i="32"/>
  <c r="G30" i="67"/>
  <c r="D165" i="55"/>
  <c r="H215" i="32" l="1"/>
  <c r="H214" i="32" s="1"/>
  <c r="H213" i="32" s="1"/>
  <c r="H212" i="32" s="1"/>
  <c r="H210" i="32" s="1"/>
  <c r="G197" i="32"/>
  <c r="D137" i="55"/>
  <c r="K166" i="75" l="1"/>
  <c r="H206" i="32"/>
  <c r="H205" i="32" s="1"/>
  <c r="H203" i="32" s="1"/>
  <c r="K117" i="75" s="1"/>
  <c r="F178" i="56"/>
  <c r="H191" i="32" s="1"/>
  <c r="H201" i="32" l="1"/>
  <c r="H47" i="67" s="1"/>
  <c r="K139" i="69" s="1"/>
  <c r="H199" i="32"/>
  <c r="E178" i="56"/>
  <c r="G191" i="32" s="1"/>
  <c r="F177" i="56"/>
  <c r="F174" i="56" s="1"/>
  <c r="H189" i="32" s="1"/>
  <c r="G199" i="32"/>
  <c r="G196" i="32" s="1"/>
  <c r="G195" i="32" s="1"/>
  <c r="D136" i="55"/>
  <c r="H188" i="32" l="1"/>
  <c r="H33" i="76"/>
  <c r="F172" i="56"/>
  <c r="H190" i="32"/>
  <c r="G194" i="32"/>
  <c r="G192" i="32" s="1"/>
  <c r="J160" i="75" s="1"/>
  <c r="E177" i="56"/>
  <c r="E174" i="56" s="1"/>
  <c r="G189" i="32" s="1"/>
  <c r="G188" i="32" s="1"/>
  <c r="H187" i="32" l="1"/>
  <c r="H186" i="32" s="1"/>
  <c r="H182" i="32" s="1"/>
  <c r="H180" i="32" s="1"/>
  <c r="K113" i="75" s="1"/>
  <c r="K108" i="75" s="1"/>
  <c r="E172" i="56"/>
  <c r="E11" i="56" s="1"/>
  <c r="G190" i="32"/>
  <c r="G187" i="32" l="1"/>
  <c r="G186" i="32" s="1"/>
  <c r="H197" i="32"/>
  <c r="H196" i="32" s="1"/>
  <c r="H195" i="32" s="1"/>
  <c r="D131" i="55"/>
  <c r="G182" i="32" l="1"/>
  <c r="G180" i="32" s="1"/>
  <c r="J113" i="75" s="1"/>
  <c r="J108" i="75" s="1"/>
  <c r="H194" i="32"/>
  <c r="H192" i="32" s="1"/>
  <c r="G178" i="32" l="1"/>
  <c r="G176" i="32" s="1"/>
  <c r="H178" i="32"/>
  <c r="H176" i="32" s="1"/>
  <c r="K160" i="75"/>
  <c r="G174" i="32" l="1"/>
  <c r="G46" i="67"/>
  <c r="J133" i="69" s="1"/>
  <c r="H46" i="67"/>
  <c r="H174" i="32"/>
  <c r="K133" i="69" l="1"/>
  <c r="H168" i="32"/>
  <c r="H167" i="32" s="1"/>
  <c r="H166" i="32" s="1"/>
  <c r="H165" i="32" l="1"/>
  <c r="H163" i="32" s="1"/>
  <c r="H154" i="32" l="1"/>
  <c r="H152" i="32" s="1"/>
  <c r="K156" i="75"/>
  <c r="K155" i="75" s="1"/>
  <c r="G168" i="32"/>
  <c r="H45" i="67" l="1"/>
  <c r="H44" i="67" s="1"/>
  <c r="G167" i="32"/>
  <c r="G166" i="32" s="1"/>
  <c r="G111" i="32"/>
  <c r="G108" i="32" s="1"/>
  <c r="G107" i="32" s="1"/>
  <c r="G102" i="32" s="1"/>
  <c r="K129" i="69" l="1"/>
  <c r="K128" i="69" s="1"/>
  <c r="G165" i="32"/>
  <c r="G163" i="32" s="1"/>
  <c r="G100" i="32"/>
  <c r="J76" i="75" s="1"/>
  <c r="G154" i="32" l="1"/>
  <c r="G45" i="67" s="1"/>
  <c r="G44" i="67" s="1"/>
  <c r="J156" i="75"/>
  <c r="J155" i="75" s="1"/>
  <c r="J126" i="75" s="1"/>
  <c r="H111" i="32"/>
  <c r="H108" i="32" s="1"/>
  <c r="G98" i="32"/>
  <c r="G36" i="67" s="1"/>
  <c r="J92" i="69" s="1"/>
  <c r="J129" i="69" l="1"/>
  <c r="J128" i="69" s="1"/>
  <c r="G152" i="32"/>
  <c r="G150" i="32" s="1"/>
  <c r="H107" i="32"/>
  <c r="H102" i="32" l="1"/>
  <c r="H100" i="32" s="1"/>
  <c r="K76" i="75" s="1"/>
  <c r="H98" i="32" l="1"/>
  <c r="H36" i="67" s="1"/>
  <c r="K92" i="69" s="1"/>
  <c r="G25" i="55" l="1"/>
  <c r="G23" i="55" s="1"/>
  <c r="G13" i="55" s="1"/>
  <c r="H25" i="55"/>
  <c r="H23" i="55" s="1"/>
  <c r="H13" i="55" s="1"/>
  <c r="F25" i="55" l="1"/>
  <c r="F23" i="55" s="1"/>
  <c r="F13" i="55" s="1"/>
  <c r="D26" i="55" l="1"/>
  <c r="F32" i="56" s="1"/>
  <c r="F31" i="56" s="1"/>
  <c r="F27" i="56" s="1"/>
  <c r="H297" i="32" l="1"/>
  <c r="H296" i="32" s="1"/>
  <c r="H295" i="32" s="1"/>
  <c r="H294" i="32" s="1"/>
  <c r="H293" i="32" s="1"/>
  <c r="H291" i="32" s="1"/>
  <c r="K132" i="75" s="1"/>
  <c r="K127" i="75" s="1"/>
  <c r="K126" i="75" s="1"/>
  <c r="F25" i="56"/>
  <c r="F11" i="56" s="1"/>
  <c r="D25" i="55"/>
  <c r="H289" i="32" l="1"/>
  <c r="H268" i="32" l="1"/>
  <c r="H266" i="32" s="1"/>
  <c r="H18" i="67"/>
  <c r="D23" i="55"/>
  <c r="H16" i="67" l="1"/>
  <c r="K19" i="69"/>
  <c r="K14" i="69" s="1"/>
  <c r="G172" i="32"/>
  <c r="G170" i="32" s="1"/>
  <c r="G11" i="55" l="1"/>
  <c r="H11" i="55"/>
  <c r="G148" i="32" l="1"/>
  <c r="G146" i="32" s="1"/>
  <c r="F11" i="55" l="1"/>
  <c r="H85" i="32" l="1"/>
  <c r="G83" i="32"/>
  <c r="G43" i="67" s="1"/>
  <c r="H20" i="32"/>
  <c r="H18" i="32" s="1"/>
  <c r="G20" i="32"/>
  <c r="G18" i="32" s="1"/>
  <c r="G264" i="32"/>
  <c r="G262" i="32" s="1"/>
  <c r="H83" i="32" l="1"/>
  <c r="H43" i="67" s="1"/>
  <c r="K102" i="75"/>
  <c r="K101" i="75" s="1"/>
  <c r="G42" i="67"/>
  <c r="J122" i="69"/>
  <c r="J121" i="69" s="1"/>
  <c r="G247" i="32"/>
  <c r="G245" i="32" s="1"/>
  <c r="G243" i="32" s="1"/>
  <c r="G241" i="32" s="1"/>
  <c r="G144" i="32" s="1"/>
  <c r="G118" i="32"/>
  <c r="G117" i="32" s="1"/>
  <c r="G115" i="32" s="1"/>
  <c r="G81" i="32"/>
  <c r="G79" i="32" s="1"/>
  <c r="G77" i="32" s="1"/>
  <c r="H81" i="32" l="1"/>
  <c r="H79" i="32" s="1"/>
  <c r="H77" i="32" s="1"/>
  <c r="G113" i="32"/>
  <c r="G96" i="32" s="1"/>
  <c r="G94" i="32" s="1"/>
  <c r="G92" i="32" s="1"/>
  <c r="G44" i="32" s="1"/>
  <c r="G16" i="32" s="1"/>
  <c r="J81" i="75"/>
  <c r="J75" i="75" s="1"/>
  <c r="J13" i="75" s="1"/>
  <c r="H42" i="67"/>
  <c r="K122" i="69"/>
  <c r="K121" i="69" s="1"/>
  <c r="H172" i="32"/>
  <c r="H170" i="32" s="1"/>
  <c r="G37" i="67" l="1"/>
  <c r="J97" i="69" s="1"/>
  <c r="J91" i="69" s="1"/>
  <c r="J13" i="69" s="1"/>
  <c r="G15" i="32"/>
  <c r="H264" i="32"/>
  <c r="H262" i="32" s="1"/>
  <c r="H247" i="32" s="1"/>
  <c r="H245" i="32" s="1"/>
  <c r="H243" i="32" s="1"/>
  <c r="H241" i="32" s="1"/>
  <c r="G35" i="67" l="1"/>
  <c r="G15" i="67" s="1"/>
  <c r="H150" i="32"/>
  <c r="H148" i="32" s="1"/>
  <c r="H146" i="32" s="1"/>
  <c r="H144" i="32" s="1"/>
  <c r="E11" i="55"/>
  <c r="D11" i="55" s="1"/>
  <c r="D13" i="55"/>
  <c r="G458" i="32" l="1"/>
  <c r="G457" i="32" s="1"/>
  <c r="G456" i="32" s="1"/>
  <c r="G454" i="32" s="1"/>
  <c r="G31" i="76"/>
  <c r="G30" i="76" s="1"/>
  <c r="G29" i="76" s="1"/>
  <c r="G28" i="76" s="1"/>
  <c r="G26" i="76" s="1"/>
  <c r="G24" i="76" s="1"/>
  <c r="G22" i="76" s="1"/>
  <c r="G20" i="76" s="1"/>
  <c r="G18" i="76" s="1"/>
  <c r="G16" i="76" s="1"/>
  <c r="G14" i="76" s="1"/>
  <c r="G13" i="76" s="1"/>
  <c r="G11" i="76" s="1"/>
  <c r="H115" i="32"/>
  <c r="G452" i="32" l="1"/>
  <c r="J202" i="75"/>
  <c r="J197" i="75" s="1"/>
  <c r="J196" i="75" s="1"/>
  <c r="H113" i="32"/>
  <c r="H96" i="32" s="1"/>
  <c r="H94" i="32" s="1"/>
  <c r="H92" i="32" s="1"/>
  <c r="H44" i="32" s="1"/>
  <c r="H16" i="32" s="1"/>
  <c r="H15" i="32" s="1"/>
  <c r="K81" i="75"/>
  <c r="K75" i="75" s="1"/>
  <c r="K13" i="75" s="1"/>
  <c r="H431" i="32" l="1"/>
  <c r="H430" i="32" s="1"/>
  <c r="H429" i="32" s="1"/>
  <c r="H428" i="32" s="1"/>
  <c r="H426" i="32" s="1"/>
  <c r="G57" i="67"/>
  <c r="G442" i="32"/>
  <c r="G440" i="32" s="1"/>
  <c r="G438" i="32" s="1"/>
  <c r="G436" i="32" s="1"/>
  <c r="G434" i="32" s="1"/>
  <c r="H37" i="67"/>
  <c r="K97" i="69" s="1"/>
  <c r="K91" i="69" s="1"/>
  <c r="K13" i="69" s="1"/>
  <c r="H424" i="32" l="1"/>
  <c r="K191" i="75"/>
  <c r="K190" i="75" s="1"/>
  <c r="K189" i="75" s="1"/>
  <c r="K11" i="75" s="1"/>
  <c r="J163" i="69"/>
  <c r="J158" i="69" s="1"/>
  <c r="J157" i="69" s="1"/>
  <c r="G55" i="67"/>
  <c r="G54" i="67" s="1"/>
  <c r="H458" i="32"/>
  <c r="H457" i="32" s="1"/>
  <c r="H456" i="32" s="1"/>
  <c r="H454" i="32" s="1"/>
  <c r="H31" i="76"/>
  <c r="H30" i="76" s="1"/>
  <c r="H29" i="76" s="1"/>
  <c r="H28" i="76" s="1"/>
  <c r="H26" i="76" s="1"/>
  <c r="H24" i="76" s="1"/>
  <c r="H22" i="76" s="1"/>
  <c r="H20" i="76" s="1"/>
  <c r="H18" i="76" s="1"/>
  <c r="H16" i="76" s="1"/>
  <c r="H14" i="76" s="1"/>
  <c r="H13" i="76" s="1"/>
  <c r="H11" i="76" s="1"/>
  <c r="H35" i="67"/>
  <c r="H15" i="67" s="1"/>
  <c r="H422" i="32" l="1"/>
  <c r="H420" i="32" s="1"/>
  <c r="H418" i="32" s="1"/>
  <c r="H416" i="32" s="1"/>
  <c r="H414" i="32" s="1"/>
  <c r="H413" i="32" s="1"/>
  <c r="H13" i="32" s="1"/>
  <c r="H52" i="67"/>
  <c r="H452" i="32"/>
  <c r="K202" i="75"/>
  <c r="K197" i="75" s="1"/>
  <c r="K196" i="75" s="1"/>
  <c r="K152" i="69" l="1"/>
  <c r="K151" i="69" s="1"/>
  <c r="K150" i="69" s="1"/>
  <c r="K11" i="69" s="1"/>
  <c r="H51" i="67"/>
  <c r="H50" i="67" s="1"/>
  <c r="H13" i="67" s="1"/>
  <c r="H57" i="67"/>
  <c r="H442" i="32"/>
  <c r="H440" i="32" s="1"/>
  <c r="H438" i="32" s="1"/>
  <c r="H436" i="32" s="1"/>
  <c r="H434" i="32" s="1"/>
  <c r="K163" i="69" l="1"/>
  <c r="K158" i="69" s="1"/>
  <c r="K157" i="69" s="1"/>
  <c r="H55" i="67"/>
  <c r="H54" i="67" s="1"/>
</calcChain>
</file>

<file path=xl/sharedStrings.xml><?xml version="1.0" encoding="utf-8"?>
<sst xmlns="http://schemas.openxmlformats.org/spreadsheetml/2006/main" count="2555" uniqueCount="750">
  <si>
    <t>______________ ի    ___Ն որոշման</t>
  </si>
  <si>
    <t xml:space="preserve"> Ծրագրային դասիչը</t>
  </si>
  <si>
    <t xml:space="preserve"> Ինն ամիս</t>
  </si>
  <si>
    <t xml:space="preserve"> Տարի</t>
  </si>
  <si>
    <t xml:space="preserve"> Ծրագիր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</si>
  <si>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</si>
  <si>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 xml:space="preserve"> այդ թվում`</t>
  </si>
  <si>
    <t xml:space="preserve"> ԸՆԴԱՄԵՆԸ ԾԱԽՍԵՐ</t>
  </si>
  <si>
    <t xml:space="preserve"> ԸՆԴԱՄԵՆԸ</t>
  </si>
  <si>
    <t>հազ. դրամներով</t>
  </si>
  <si>
    <t xml:space="preserve"> Գործառական դասիչը</t>
  </si>
  <si>
    <t xml:space="preserve"> Դաս</t>
  </si>
  <si>
    <t>ՀՀ կրթության, գիտության, մշակույթի և սպորտի նախարարություն</t>
  </si>
  <si>
    <t xml:space="preserve">այդ թվում՝ բյուջետային ծախսերի տնտեսագիտական դասակարգման հոդվածներ
</t>
  </si>
  <si>
    <t>Ծրագիր</t>
  </si>
  <si>
    <t>Միջոցառում</t>
  </si>
  <si>
    <t xml:space="preserve"> այդ թվում` ըստ կատարողների</t>
  </si>
  <si>
    <t>ՀՀ ԿՐԹՈՒԹՅԱՆ, ԳԻՏՈՒԹՅԱՆ, ՄՇԱԿՈՒՅԹԻ ԵՎ ՍՊՈՐՏԻ ՆԱԽԱՐԱՐՈՒԹՅՈՒՆ</t>
  </si>
  <si>
    <t>Հավելված N 1</t>
  </si>
  <si>
    <t>Հավելված N 2</t>
  </si>
  <si>
    <t xml:space="preserve"> ______________ ի    ___Ն որոշման</t>
  </si>
  <si>
    <t>Հավելված N 3</t>
  </si>
  <si>
    <t>08</t>
  </si>
  <si>
    <t xml:space="preserve"> ՀԱՆԳԻՍՏ, ՄՇԱԿՈՒՅԹ ԵՎ ԿՐՈՆ</t>
  </si>
  <si>
    <t>Բաժին</t>
  </si>
  <si>
    <t>Խումբ</t>
  </si>
  <si>
    <t>Ցուցանիշների փոփոխությունը (ավելացումները նշված են դրական նշանով, իսկ նվազեցումները փակագծերում)</t>
  </si>
  <si>
    <t>ՀՀ կառավարություն</t>
  </si>
  <si>
    <t>Կոդը</t>
  </si>
  <si>
    <t>Անվանումը</t>
  </si>
  <si>
    <t>Գնման ձևը</t>
  </si>
  <si>
    <t>Չափման միավորը</t>
  </si>
  <si>
    <t>Միավորի գինը</t>
  </si>
  <si>
    <t>Քանակը</t>
  </si>
  <si>
    <t>Գումարը (հազար դրամ)</t>
  </si>
  <si>
    <t>Բաժին N 08</t>
  </si>
  <si>
    <t>Ծրագրային դասիչ</t>
  </si>
  <si>
    <t>Բյուջետային գլխավոր կարգադրիչների, ծրագրերի, միջոցառումների, միջոցառումները կատարող  պետական մարմինների  և ուղղությունների անվանումները</t>
  </si>
  <si>
    <t>Ընդամենը</t>
  </si>
  <si>
    <t>Կառուցման
աշխատանքներ</t>
  </si>
  <si>
    <t>Վերակառուցման,
վերանորոգման և
վերականգնման
աշխատանքներ</t>
  </si>
  <si>
    <t>Նախագծահե-
տազոտական,
գեոդեզիա-
քարտեզագրա-
կան աշխա-
տանքներ</t>
  </si>
  <si>
    <t>Ոչ
ֆինանսական
այլ ակտիվների
ձեռքբերում</t>
  </si>
  <si>
    <t xml:space="preserve">ԸՆԴԱՄԵՆԸ </t>
  </si>
  <si>
    <t xml:space="preserve">այդ թվում՝ </t>
  </si>
  <si>
    <t>այդ թվում`</t>
  </si>
  <si>
    <t>այդ  թվում՝</t>
  </si>
  <si>
    <t xml:space="preserve"> - Շենքերի և շինությունների շինարարություն</t>
  </si>
  <si>
    <t>ՀՀ Արմավիրի մարզ</t>
  </si>
  <si>
    <t>Երևան քաղաք</t>
  </si>
  <si>
    <t xml:space="preserve"> ՄԱՍ II. ԱՇԽԱՏԱՆՔՆԵՐ</t>
  </si>
  <si>
    <t>դրամ</t>
  </si>
  <si>
    <t xml:space="preserve"> ՄԱՍ III. ԾԱՌԱՅՈՒԹՅՈՒՆՆԵՐ</t>
  </si>
  <si>
    <t>ԳՀ</t>
  </si>
  <si>
    <t>ՄԱ</t>
  </si>
  <si>
    <t xml:space="preserve">Ցուցանիշների փոփոխությունը (ավելացումները նշված են դրական նշանով, իսկ նվազեցումները՝ փակագծերում)  </t>
  </si>
  <si>
    <t>ՈՉ ՖԻՆԱՆՍԱԿԱՆ ԱԿՏԻՎՆԵՐԻ ԳԾՈՎ ԾԱԽՍԵՐ</t>
  </si>
  <si>
    <t>ՀԻՄՆԱԿԱՆ ՄԻՋՈՑՆԵՐ</t>
  </si>
  <si>
    <t>ՇԵՆՔԵՐ ԵՎ ՇԻՆՈՒԹՅՈՒՆՆԵՐ</t>
  </si>
  <si>
    <t>Խումբ N 02</t>
  </si>
  <si>
    <t xml:space="preserve"> տեխնիկական հսկողության ծառայություններ</t>
  </si>
  <si>
    <t xml:space="preserve"> հեղինակային հսկողության ծառայություններ</t>
  </si>
  <si>
    <t>ՀՀ Կոտայքի մարզ</t>
  </si>
  <si>
    <t>ՀՀ Լոռու մարզ</t>
  </si>
  <si>
    <t xml:space="preserve"> փորձաքննության ծառայություններ</t>
  </si>
  <si>
    <t>02</t>
  </si>
  <si>
    <t xml:space="preserve"> Մշակութային ծառայություններ</t>
  </si>
  <si>
    <t xml:space="preserve"> ԱՅԼ ՀԻՄՆԱԿԱՆ ՄԻՋՈՑՆԵՐ</t>
  </si>
  <si>
    <t xml:space="preserve"> - Նախագծահետազոտական ծախսեր</t>
  </si>
  <si>
    <t xml:space="preserve"> ԸՆԹԱՑԻԿ ԾԱԽՍԵՐ</t>
  </si>
  <si>
    <t xml:space="preserve"> այդ թվում՝</t>
  </si>
  <si>
    <t>Ցուցանիշների փոփոխությունը (ավելացումները նշված են դրական նշանով, իսկ նվազեցումները՝ փակագծերում)</t>
  </si>
  <si>
    <t>ՀՀ Գեղարքունիքի մարզ</t>
  </si>
  <si>
    <t xml:space="preserve"> դրամ</t>
  </si>
  <si>
    <t>Բաժին N 09</t>
  </si>
  <si>
    <t>Խումբ N 06</t>
  </si>
  <si>
    <t>Դաս N 01</t>
  </si>
  <si>
    <t xml:space="preserve"> Կրթությանը տրամադրվող օժանդակ ծառայություններ</t>
  </si>
  <si>
    <t xml:space="preserve"> ՄԱՍ II.  ԱՇԽԱՏԱՆՔՆԵՐ</t>
  </si>
  <si>
    <t xml:space="preserve"> </t>
  </si>
  <si>
    <t xml:space="preserve"> նախագծերի պատրաստում, ծախսերի գնահատում</t>
  </si>
  <si>
    <t>09</t>
  </si>
  <si>
    <t>06</t>
  </si>
  <si>
    <t>01</t>
  </si>
  <si>
    <t>Կրթությանը տրամադրվող օժանդակ ծառայություններ</t>
  </si>
  <si>
    <t xml:space="preserve"> ԿՐԹՈՒԹՅՈՒՆ</t>
  </si>
  <si>
    <t xml:space="preserve"> Հանրակրթական և նախադպրոցական հաստատությունների հիմնում, կառուցում, բարելավում</t>
  </si>
  <si>
    <t xml:space="preserve"> Հանրակրթական և նախադպրոցական հաստատությունների հիմնում, կառուցում, բարելավում </t>
  </si>
  <si>
    <t xml:space="preserve"> Այլ պետական կազմակերպությունների կողմից օգտագործվող ոչ ֆինանսական ակտիվների հետ գործառնություններ </t>
  </si>
  <si>
    <t>Հավելված N 7</t>
  </si>
  <si>
    <t>Հավելված N 4</t>
  </si>
  <si>
    <t xml:space="preserve"> Ապահով դպրոց</t>
  </si>
  <si>
    <t>Ապահով դպրոց</t>
  </si>
  <si>
    <t>Մասսայական սպորտ</t>
  </si>
  <si>
    <t xml:space="preserve"> Հիմնական ընդհանուր կրթություն</t>
  </si>
  <si>
    <t xml:space="preserve"> - Շենքերի և շինությունների կապիտալ վերանորոգում</t>
  </si>
  <si>
    <t xml:space="preserve"> Միջնակարգ ընդհանուր կրթություն</t>
  </si>
  <si>
    <t xml:space="preserve">ՀՀ կառավարության  2025 թվականի </t>
  </si>
  <si>
    <t>ԲՄ</t>
  </si>
  <si>
    <t>71351540-1</t>
  </si>
  <si>
    <t>98111140-1</t>
  </si>
  <si>
    <t xml:space="preserve"> այդ թվում`ըստ ուղղությունների</t>
  </si>
  <si>
    <t>ՀՀ կառավարության  2025 թվականի</t>
  </si>
  <si>
    <t>«ՀԱՅԱUՏԱՆԻ ՀԱՆՐԱՊԵՏՈՒԹՅԱՆ 2025 ԹՎԱԿԱՆԻ ՊԵՏԱԿԱՆ ԲՅՈՒՋԵԻ ՄԱUԻՆ» ՀԱՅԱUՏԱՆԻ ՀԱՆՐԱՊԵՏՈՒԹՅԱՆ OՐԵՆՔԻ N 1 ՀԱՎԵԼՎԱԾԻ N 3 ԱՂՅՈՒՍԱԿՈՒՄ ԿԱՏԱՐՎՈՂ ՓՈՓՈԽՈՒԹՅՈՒՆՆԵՐԸ ԵՎ ԼՐԱՑՈՒՄՆԵՐԸ</t>
  </si>
  <si>
    <t>ՀԱՅԱՍՏԱՆԻ ՀԱՆՐԱՊԵՏՈՒԹՅԱՆ ԿԱՌԱՎԱՐՈՒԹՅԱՆ 2024 ԹՎԱԿԱՆԻ ԴԵԿՏԵՄԲԵՐԻ 27-Ի N 2060-Ն ՈՐՈՇՄԱՆ N 5 ՀԱՎԵԼՎԱԾԻ N 2 ԱՂՅՈՒՍԱԿՈՒՄ ԿԱՏԱՐՎՈՂ ՓՈՓՈԽՈՒԹՅՈՒՆՆԵՐԸ ԵՎ ԼՐԱՑՈՒՄՆԵՐԸ</t>
  </si>
  <si>
    <t xml:space="preserve">ՀԱՅԱՍՏԱՆԻ ՀԱՆՐԱՊԵՏՈՒԹՅԱՆ ԿԱՌԱՎԱՐՈՒԹՅԱՆ 2024 ԹՎԱԿԱՆԻ ԴԵԿՏԵՄԲԵՐԻ 27-Ի N 2060-Ն N 10 ՀԱՎԵԼՎԱԾՈՒՄ ԿԱՏԱՐՎՈՂ ՓՈՓՈԽՈՒԹՅՈՒՆՆԵՐԸ ԵՎ ԼՐԱՑՈՒՄՆԵՐԸ
</t>
  </si>
  <si>
    <t>ՀԱՅԱՍՏԱՆԻ ՀԱՆՐԱՊԵՏՈՒԹՅԱՆ ԿԱՌԱՎԱՐՈՒԹՅԱՆ 2024 ԹՎԱԿԱՆԻ ԴԵԿՏԵՄԲԵՐԻ 27-Ի N 2060-Ն ՈՐՈՇՄԱՆ N 3 ԵՎ N 4 ՀԱՎԵԼՎԱԾՆԵՐՈՒՄ ԿԱՏԱՐՎՈՂ  ՓՈՓՈԽՈՒԹՅՈՒՆՆԵՐԸ ԵՎ ԼՐԱՑՈՒՄՆԵՐԸ</t>
  </si>
  <si>
    <t xml:space="preserve"> ՈՉ ՖԻՆԱՆՍԱԿԱՆ ԱԿՏԻՎՆԵՐԻ ԳԾՈՎ ԾԱԽՍԵՐ</t>
  </si>
  <si>
    <t xml:space="preserve"> ՀԻՄՆԱԿԱՆ ՄԻՋՈՑՆԵՐ</t>
  </si>
  <si>
    <t>Մասնագիտական կրթության և ուսուցման ծրագիր</t>
  </si>
  <si>
    <t xml:space="preserve"> Մասնագիտական կրթության և ուսուցման ծրագիր</t>
  </si>
  <si>
    <t>այդ թվում՝</t>
  </si>
  <si>
    <t>«ՀԱՅԱUՏԱՆԻ ՀԱՆՐԱՊԵՏՈՒԹՅԱՆ 2025 ԹՎԱԿԱՆԻ ՊԵՏԱԿԱՆ ԲՅՈՒՋԵԻ ՄԱUԻՆ» ՀԱՅԱUՏԱՆԻ ՀԱՆՐԱՊԵՏՈՒԹՅԱՆ OՐԵՆՔԻ N 1 ՀԱՎԵԼՎԱԾԻ N 2 ԱՂՅՈՒՍԱԿՈՒՄ ԿԱՏԱՐՎՈՂ ՎԵՐԱԲԱՇԽՈՒՄԸ ԵՎ ՀԱՅԱՍՏԱՆԻ ՀԱՆՐԱՊԵՏՈՒԹՅԱՆ ԿԱՌԱՎԱՐՈՒԹՅԱՆ 2024 ԹՎԱԿԱՆԻ ԴԵԿՏԵՄԲԵՐԻ 27-Ի N 2060-Ն ՈՐՈՇՄԱՆ N 5 ՀԱՎԵԼՎԱԾԻ N 1 ԱՂՅՈՒՍԱԿՈՒՄ ԿԱՏԱՐՎՈՂ ՓՈՓՈԽՈՒԹՅՈՒՆՆԵՐԸ ԵՎ ԼՐԱՑՈՒՄՆԵՐԸ</t>
  </si>
  <si>
    <t xml:space="preserve"> ԲԳԿ</t>
  </si>
  <si>
    <t xml:space="preserve"> ԲԳԿ/Ծրագրի /միջոցառման անվանումը</t>
  </si>
  <si>
    <t xml:space="preserve"> Ծրագրի նպատակը/Միջոցառման նկարագրությունը</t>
  </si>
  <si>
    <t xml:space="preserve"> Վերջնական արդյունքի նկարագրությունը/Միջոցառման տեսակը</t>
  </si>
  <si>
    <t>ԸՆԴԱՄԵՆԸ</t>
  </si>
  <si>
    <t>Այլ պետական կազմակերպությունների կողմից օգտագործվող ոչ ֆինանսական ակտիվների հետ գործառնություններ</t>
  </si>
  <si>
    <t>1236</t>
  </si>
  <si>
    <t>Հանրակրթական և նախադպրոցական հաստատությունների հիմնում, կառուցում, բարելավում</t>
  </si>
  <si>
    <t>Առնվազն 300 դպրոցի և 500 մանկապարտեզի կառուցման, վերակառուցման, հիմնանորոգման ծրագրերի իրականացում ՀՀ պետական բյուջեի միջոցների շրջանակներում</t>
  </si>
  <si>
    <t xml:space="preserve"> Կրթական միջավայրի բարելավում</t>
  </si>
  <si>
    <t>ՀՀ ԿԱՌԱՎԱՐՈՒԹՅՈՒՆ</t>
  </si>
  <si>
    <t>Աշխատաշուկայի արդի պահանջներին համապատասխան արհեստագործական և միջին մասնագիտական կրթության որակավորում ունեցող մասնագետների պատրաստում, կրթության մատչելիության ապահովում:</t>
  </si>
  <si>
    <t>Արհեստագործական և միջին մասնագիտական կրթության  գրավչության բարձրացում, մատչելի և մրցունակ արհեստագործական և միջին մասնագիտական կրթության ապահովում</t>
  </si>
  <si>
    <t>Դպրոցներին սպառնացող աղետների ռիսկի կառավարման կարողությունների հզորացում, դպրոցի անձնակազմի և աշակերտների անվտանգության ապահովման մակարդակի բարձրացում՛ կիրառելով ներառական և երեխայակենտրոն մոտեցում</t>
  </si>
  <si>
    <t>Դպրոցական միջավայրի բարելավում</t>
  </si>
  <si>
    <t>ՀԱՅԱՍՏԱՆԻ ՀԱՆՐԱՊԵՏՈՒԹՅԱՆ ԿԱՌԱՎԱՐՈՒԹՅԱՆ 2024 ԹՎԱԿԱՆԻ ԴԵԿՏԵՄԲԵՐԻ 27-Ի N 2060-Ն ՈՐՈՇՄԱՆ N 9 ՀԱՎԵԼՎԱԾՈՒՄ ԿԱՏԱՐՎՈՂ ՓՈՓՈԽՈՒԹՅՈՒՆՆԵՐԸ ԵՎ ԼՐԱՑՈՒՄՆԵՐԸ</t>
  </si>
  <si>
    <t xml:space="preserve"> ԲԳԿ </t>
  </si>
  <si>
    <t xml:space="preserve"> Ծրագիր </t>
  </si>
  <si>
    <t xml:space="preserve"> Միջոցառում </t>
  </si>
  <si>
    <t>Իրականացնողը/ ակտիվն օգտագործողը/ շահառուի ընտրության չափորոշիչը</t>
  </si>
  <si>
    <t>Արդյունքային չափորոշիչը</t>
  </si>
  <si>
    <t xml:space="preserve">Դասիչը </t>
  </si>
  <si>
    <t xml:space="preserve">Անվանումը </t>
  </si>
  <si>
    <t xml:space="preserve"> Դասիչը </t>
  </si>
  <si>
    <t xml:space="preserve">Նկարագրությունը </t>
  </si>
  <si>
    <t xml:space="preserve"> Տեսակը </t>
  </si>
  <si>
    <t xml:space="preserve"> Ինն ամիս </t>
  </si>
  <si>
    <t xml:space="preserve"> Տարի </t>
  </si>
  <si>
    <t xml:space="preserve"> ԸՆԴԱՄԵՆԸ </t>
  </si>
  <si>
    <t>ՀՀ ԿՐԹՈՒԹՅԱՆ, ԳԻՏՈՒԹՅԱՆ, ՄՇԱԿՈԻՅԹԻ ԵՎ ՍՊՈՐՏԻ ՆԱԽԱՐԱՐՈՒԹՅՈՒՆ</t>
  </si>
  <si>
    <t/>
  </si>
  <si>
    <t xml:space="preserve">  Ակտիվն օգտագործող կազմակերպությունների անվանումները` Մասնագիտական ուսումնական հաստատություններ </t>
  </si>
  <si>
    <t>Նախագծանախահաշվային փաստաթղթերի քանակ, հատ</t>
  </si>
  <si>
    <t xml:space="preserve"> Ակտիվն օգտագործող կազմակերպությունների անվանումները` Հանրակրթական դպրոցներ </t>
  </si>
  <si>
    <t>Խումբ N 01</t>
  </si>
  <si>
    <t>71351540-4</t>
  </si>
  <si>
    <t>Դաս N 05</t>
  </si>
  <si>
    <t xml:space="preserve"> Արվեստ</t>
  </si>
  <si>
    <t>Ներդրումներ թատրոնների և համերգային կազմակերպությունների շենքերի կապիտալ վերանորոգման համար</t>
  </si>
  <si>
    <t xml:space="preserve"> Ներդրումներ թատրոնների և համերգային կազմակերպությունների շենքերի կապիտալ վերանորոգման համար</t>
  </si>
  <si>
    <t>Արվեստների ծրագիր</t>
  </si>
  <si>
    <t xml:space="preserve"> Մասսայական սպորտ</t>
  </si>
  <si>
    <t xml:space="preserve"> ՇԵՆՔԵՐ ԵՎ ՇԻՆՈՒԹՅՈՒՆՆԵՐ</t>
  </si>
  <si>
    <t>05</t>
  </si>
  <si>
    <t>Բնակչության շրջանում առողջ ապրելակերպի արմատավորում, անհատի բազմակողմանի ու ներդաշնակ զարգացման գործում ֆիզիկական կուլտուրայի և սպորտի դերի բարձրացում</t>
  </si>
  <si>
    <t>Սպորտի նկատմամբ հետաքրքրվածության և մասնակցության ընդլայնում</t>
  </si>
  <si>
    <t>Նպաստել ազգային հենքի վրա ժամանակակից թատերարվեստի, երաժշտարվեստի, կերպարվեստի և պարարվեստի զարգացմանը և հանրահռչակմանը</t>
  </si>
  <si>
    <t>Մրցունակ արվեստային արտադրանքի ստեղծում, ստեղծագործական գործընթացների խթանում, արվեստի նոր նախագծերի ներդրում և մշակութային կյանքում հասարակության ներգրավում</t>
  </si>
  <si>
    <t>1168 - 32001</t>
  </si>
  <si>
    <t>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</t>
  </si>
  <si>
    <t xml:space="preserve"> Ակտիվն օգտագործող կազմակերպության անվանումը` Մարզական հաստատություններ </t>
  </si>
  <si>
    <t xml:space="preserve"> Արվեստների ծրագիր</t>
  </si>
  <si>
    <t xml:space="preserve"> Թատրոնների և համերգային կազմակերպությունների շենքերի մասնաշենքերի հիմնանորոգում, համաշինարարական աշխատանքներ, ջեռուցման համակարգի իրականացում, ներքին հարդարում, տարածքի բարեկարգում և նախագծում </t>
  </si>
  <si>
    <t xml:space="preserve">Ակտիվն օգտագործող կազմակերպության անվանումը` Թատրոններ և համերգային կազմակերպություններ </t>
  </si>
  <si>
    <t>ԲՍԿ</t>
  </si>
  <si>
    <t>ՀՀ քաղաքաշինության կոմիտե</t>
  </si>
  <si>
    <t>Մանկապարտեզների նոր շենքերի կառուցում</t>
  </si>
  <si>
    <t>1236-32001</t>
  </si>
  <si>
    <t xml:space="preserve"> Մանկապարտեզների նոր շենքերի կառուցում</t>
  </si>
  <si>
    <t>45221142-3</t>
  </si>
  <si>
    <t xml:space="preserve"> ընդհանուր շինարարական աշխատանքներ</t>
  </si>
  <si>
    <t>71351540-3</t>
  </si>
  <si>
    <t>98111140-3</t>
  </si>
  <si>
    <t>45221142-4</t>
  </si>
  <si>
    <t>ՀԲՄ</t>
  </si>
  <si>
    <t>ՀՀ Վայոց Ձոր</t>
  </si>
  <si>
    <t>71351540-524</t>
  </si>
  <si>
    <t>ՀՀ Արագածոտնի մարզ</t>
  </si>
  <si>
    <t>ՀՀ Արարատի մարզ</t>
  </si>
  <si>
    <t xml:space="preserve"> Նախադպրոցական կրթություն</t>
  </si>
  <si>
    <t>50531140-1</t>
  </si>
  <si>
    <t>1236-32003</t>
  </si>
  <si>
    <t xml:space="preserve"> Հանրակրթական դպրոցների նոր շենքերի կառուցում</t>
  </si>
  <si>
    <t>45221142-1</t>
  </si>
  <si>
    <t>Հանրակրթական դպրոցների նոր շենքերի կառուցում</t>
  </si>
  <si>
    <t>ՀՀ Տավուշի մարզ</t>
  </si>
  <si>
    <t>«Հրազդանի Լևոն Խեչոյանի անվան թիվ 10 ավագ դպրոց» ՊՈԱԿ</t>
  </si>
  <si>
    <t xml:space="preserve"> միջնակարգ դպրոցների կառուցման աշխատանքներ</t>
  </si>
  <si>
    <t>ՀՀ Շիրակի մարզ</t>
  </si>
  <si>
    <t>71351540-11</t>
  </si>
  <si>
    <t>ՀՀ Սյունիքի մարզ</t>
  </si>
  <si>
    <t>71241200-517</t>
  </si>
  <si>
    <t>71241200-520</t>
  </si>
  <si>
    <t>ՀՀ Վայոց Ձորի մարզ</t>
  </si>
  <si>
    <t>Մարզական օբյեկտների շինարարություն</t>
  </si>
  <si>
    <t>«Երևանի օլիմպիական հերթափոխի պետական մարզական քոլեջ» ՊՈԱԿ (բռնցքամարտի և ձյուդոյի մարզադահլիճ)</t>
  </si>
  <si>
    <t>Ալագյազ համայնքում Մալխաս և Ռոման Ամոյանների անվան նոր մարզադպրոց</t>
  </si>
  <si>
    <t xml:space="preserve"> ԲՄ</t>
  </si>
  <si>
    <t xml:space="preserve"> Մասնագիտական ուսումնական հաստատությունների շենքերի կառուցում</t>
  </si>
  <si>
    <t>50531140-2</t>
  </si>
  <si>
    <t>71241200-2</t>
  </si>
  <si>
    <t>71241200-4</t>
  </si>
  <si>
    <t>50531140-4</t>
  </si>
  <si>
    <t>71241200-3</t>
  </si>
  <si>
    <t>71241200-8</t>
  </si>
  <si>
    <t>50531140-8</t>
  </si>
  <si>
    <t>1045-32005</t>
  </si>
  <si>
    <t xml:space="preserve"> Նախադպրոցական և տարրական ընդհանուր կրթություն</t>
  </si>
  <si>
    <t xml:space="preserve"> - Մասնագիտական ծառայություններ</t>
  </si>
  <si>
    <t xml:space="preserve"> ԾԱՌԱՅՈՒԹՅՈՒՆՆԵՐԻ ԵՎ ԱՊՐԱՆՔՆԵՐԻ ՁԵՌՔ ԲԵՐՈՒՄ</t>
  </si>
  <si>
    <t xml:space="preserve"> ԱՅԼ ՄԱՍՆԱԳԻՏԱԿԱՆ ԾԱՌԱՅՈՒԹՅՈՒՆՆԵՐԻ ՁԵՌՔ ԲԵՐՈՒՄ</t>
  </si>
  <si>
    <t>1045 - 32005</t>
  </si>
  <si>
    <t>Մասնագիտական ուսումնական հաստատությունների շենքերի կառուցում</t>
  </si>
  <si>
    <t>Մասնագիտական ուսումնական հաստատությունների շենքերի (մասնաշենքերի) կառուցման և նախագծման աշխատանքների իրականացում</t>
  </si>
  <si>
    <t>1163 - 32001</t>
  </si>
  <si>
    <t>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</t>
  </si>
  <si>
    <t>1236 - 32001</t>
  </si>
  <si>
    <t>Նախադպրոցական կրթության հասանելիության ապահովման նպատակով՛ մանկապարտեզների հիմնում, նոր շենքերի (մասնաշենքերի), ներառյալ՛ ,Մոդուլայինե տիպի շենքերի կառուցում և նախագծում</t>
  </si>
  <si>
    <t>1236 - 32003</t>
  </si>
  <si>
    <t>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</t>
  </si>
  <si>
    <t xml:space="preserve"> Մասնագիտական ուսումնական հաստատությունների շենքերի (մասնաշենքերի) կառուցման և նախագծման աշխատանքների իրականացում </t>
  </si>
  <si>
    <t>Կառուցվող  մասնագիտական ուսումնական հաստատությունների քանակ, հատ</t>
  </si>
  <si>
    <t xml:space="preserve"> Մարզական օբյեկտների շենքերի (մասնաշենքերի) կառուցում (համաշինարարական աշխատանքներ, ջեռուցման համակարգի իրականացում, ներքին հարդարում, տարածքի բարեկարգում) և նախագծում </t>
  </si>
  <si>
    <t xml:space="preserve"> Շահառուների ընտրության չափորոշիչները` Նախադպրոցական կրթություն իրականացնող ուսումնական հաստատություններ </t>
  </si>
  <si>
    <r>
      <t xml:space="preserve"> Նախադպրոցական կրթության հասանելիության ապահովման նպատակով՛ մանկապարտեզների հիմնում, նոր շենքերի (մասնաշենքերի), ներառյալ՝ </t>
    </r>
    <r>
      <rPr>
        <b/>
        <sz val="12"/>
        <rFont val="Calibri"/>
        <family val="2"/>
      </rPr>
      <t>«</t>
    </r>
    <r>
      <rPr>
        <b/>
        <sz val="12"/>
        <rFont val="GHEA Grapalat"/>
        <family val="3"/>
      </rPr>
      <t>Մոդուլային</t>
    </r>
    <r>
      <rPr>
        <b/>
        <sz val="12"/>
        <rFont val="Calibri"/>
        <family val="2"/>
      </rPr>
      <t>»</t>
    </r>
    <r>
      <rPr>
        <b/>
        <sz val="12"/>
        <rFont val="GHEA Grapalat"/>
        <family val="3"/>
      </rPr>
      <t xml:space="preserve"> տիպի շենքերի կառուցում և նախագծում </t>
    </r>
  </si>
  <si>
    <t xml:space="preserve"> ՀՀ մարզերում կրթական որակյալ ծառայությունների հասանելիության ապահովման ծրագրի շրջանակներում հանրակրթական և նախադպրոցական կրթության հասանելիության ապահովման նպատակով կրթական կենտրոնների կառուցում </t>
  </si>
  <si>
    <t xml:space="preserve">  Ակտիվն օգտագործող կազմակերպությունների անվանումները` Հանրակրթական դպրոցներ </t>
  </si>
  <si>
    <t>ՀՀ ՔԱՂԱՔԱՇԻՆՈՒԹՅԱՆ ԿՈՄԻՏԵ</t>
  </si>
  <si>
    <t>ՀԱՅԱՍՏԱՆԻ ՀԱՆՐԱՊԵՏՈՒԹՅԱՆ ԿԱՌԱՎԱՐՈՒԹՅԱՆ 2024 ԹՎԱԿԱՆԻ ԴԵԿՏԵՄԲԵՐԻ 27-Ի N 2060-Ն ՈՐՈՇՄԱՆ N 9.1 ՀԱՎԵԼՎԱԾՈՒՄ ԿԱՏԱՐՎՈՂ ՓՈՓՈԽՈՒԹՅՈՒՆՆԵՐԸ ԵՎ ԼՐԱՑՈՒՄՆԵՐԸ</t>
  </si>
  <si>
    <t xml:space="preserve"> մշակութային օբյեկտների հիմնանորոգում</t>
  </si>
  <si>
    <t>1168-32007</t>
  </si>
  <si>
    <t xml:space="preserve"> Թատերահամերգային կազմակերպությունների նյութատեխնիկական բազայի համալրում</t>
  </si>
  <si>
    <t xml:space="preserve"> ՄԱՍ I. ԱՊՐԱՆՔՆԵՐ</t>
  </si>
  <si>
    <t>32351121-501</t>
  </si>
  <si>
    <t xml:space="preserve"> LED էկրան իր համակարգով</t>
  </si>
  <si>
    <t>ԷԱՃ</t>
  </si>
  <si>
    <t>լրակազմ</t>
  </si>
  <si>
    <t>38651220-502</t>
  </si>
  <si>
    <t xml:space="preserve"> տեսապրոյեկտորներ</t>
  </si>
  <si>
    <t>հատ</t>
  </si>
  <si>
    <t>31512420-501</t>
  </si>
  <si>
    <t xml:space="preserve"> ուղղորդված լույսով լուսարձակ</t>
  </si>
  <si>
    <t>30211200-502</t>
  </si>
  <si>
    <t xml:space="preserve"> դյուրակիր համակարգիչներ</t>
  </si>
  <si>
    <t>մետր</t>
  </si>
  <si>
    <t>32331610-502</t>
  </si>
  <si>
    <t xml:space="preserve"> թատրոնի բեմի ձայնային համակարգ</t>
  </si>
  <si>
    <t>Թատերահամերգային կազմակերպությունների նյութատեխնիկական բազայի համալրում</t>
  </si>
  <si>
    <t>«Հայաստանի ազգային ֆիլհարմոնիկ նվագախումբ» ՊՈԱԿ («Արամ Խաչատրյան» համերգասրահ)</t>
  </si>
  <si>
    <t>«Գ. Սունդուկյանի անվան ազգային թատրոն» ՊՈԱԿ</t>
  </si>
  <si>
    <t>«Երևանի կամերային պետական թատրոն» ՊՈԱԿ</t>
  </si>
  <si>
    <t>«Սոս Սարգսյանի անվան համազգային թատրոն» ՊՈԱԿ</t>
  </si>
  <si>
    <t>32331610-507</t>
  </si>
  <si>
    <t>32341110-503</t>
  </si>
  <si>
    <t xml:space="preserve"> բարձրախոսներ</t>
  </si>
  <si>
    <t>31682130-502</t>
  </si>
  <si>
    <t xml:space="preserve"> ղեկավարման վահանակներ</t>
  </si>
  <si>
    <t>«Արտաշատի Ա. Խարազյանի անվան պետական դրամատիկական թատրոն» ՊՈԱԿ</t>
  </si>
  <si>
    <t>31521700-508</t>
  </si>
  <si>
    <t xml:space="preserve"> թատրոնի բեմի լուսային համակարգ</t>
  </si>
  <si>
    <t>32331610-509</t>
  </si>
  <si>
    <t>31521700-509</t>
  </si>
  <si>
    <t>32331610-510</t>
  </si>
  <si>
    <t>«Գյումրու Վ. Աճեմյանի անվան պետական դրամատիկական թատրոն» ՊՈԱԿ</t>
  </si>
  <si>
    <t>39295300-506</t>
  </si>
  <si>
    <t xml:space="preserve"> ծալովի աթոռներ</t>
  </si>
  <si>
    <t>Դաս N 03</t>
  </si>
  <si>
    <t xml:space="preserve"> Մշակույթի տներ, ակումբներ, կենտրոններ</t>
  </si>
  <si>
    <t>1196-12001</t>
  </si>
  <si>
    <t xml:space="preserve"> Աջակցություն համայնքներին մշակութային հաստատությունների շենքային պայմանների  բարելավման համար</t>
  </si>
  <si>
    <t>45611200-501</t>
  </si>
  <si>
    <t>Աջակցություն համայնքներին մշակութային հաստատությունների շենքային պայմանների  բարելավման համար</t>
  </si>
  <si>
    <t>«Արթիկի Տ․ Մանսուրյանի անվան մշակույթի կենտրոն» ՀՈԱԿ</t>
  </si>
  <si>
    <t>Անի համայնքի Մարալիկ քաղաքի մարզադաշտ</t>
  </si>
  <si>
    <t>71241200-518</t>
  </si>
  <si>
    <t xml:space="preserve">Արտադպրոցական դաստիարակություն իրականացնող կազմակերպությունների
շենքային պայմանների բարելավում </t>
  </si>
  <si>
    <t>«Տիգրան Պետրոսյանի անվան շախմատի-տուն մարզադպրոց» ՊՈԱԿ</t>
  </si>
  <si>
    <t>Խումբ N 05</t>
  </si>
  <si>
    <t xml:space="preserve"> Արտադպրոցական դաստիարակություն</t>
  </si>
  <si>
    <t>1148-32005</t>
  </si>
  <si>
    <t xml:space="preserve"> Արտադպրոցական դաստիարակություն իրականացնող կազմակերպությունների շենքային պայմանների բարելավում </t>
  </si>
  <si>
    <t>Կրթական օբյեկտների շենքային պայմանների բարելավում</t>
  </si>
  <si>
    <t>1183-32001</t>
  </si>
  <si>
    <t xml:space="preserve"> Կրթական օբյեկտների շենքային պայմանների բարելավում</t>
  </si>
  <si>
    <t>1163-12001</t>
  </si>
  <si>
    <t xml:space="preserve"> Աջակցություն համայնքներին մարզական հաստատությունների շենքային պայմանների բարելավման համար</t>
  </si>
  <si>
    <t>Աջակցություն համայնքներին մարզական հաստատությունների շենքային պայմանների բարելավման համար</t>
  </si>
  <si>
    <t xml:space="preserve">«Մխիթար Սեբաստացի» կրթահամալիր ՊՈԱԿ </t>
  </si>
  <si>
    <t>«Ալ. Սպենդիարյանի անվան  օպերայի և բալետի ազգային ակադեմիական թատրոն»  ՊՈԱԿ</t>
  </si>
  <si>
    <t>ՀԱՅԱՍՏԱՆԻ ՀԱՆՐԱՊԵՏՈՒԹՅԱՆ ԿԱՌԱՎԱՐՈՒԹՅԱՆ 2024 ԹՎԱԿԱՆԻ ԴԵԿՏԵՄԲԵՐԻ 27-Ի N 2060-Ն ՈՐՈՇՄԱՆ N 5 ՀԱՎԵԼՎԱԾԻ N 7 ԱՂՅՈՒՍԱԿՈՒՄ  ԿԱՏԱՐՎՈՂ  ԼՐԱՑՈՒՄՆԵՐԸ</t>
  </si>
  <si>
    <t>հազար դրամ</t>
  </si>
  <si>
    <t xml:space="preserve"> Բյուջետային հատկացումների գլխավոր կարգադրիչների, ծրագրերի, միջոցառումների, ծախսային ուղղությունների անվանումները</t>
  </si>
  <si>
    <t>Միջոցառումները կատարող պետական մարմինների և դրամաշնորհ ստացող տնտեսվարող սուբյեկտների անվանումները</t>
  </si>
  <si>
    <t xml:space="preserve">Ցուցանիշների փոփոխությունը (ավելացումները նշված են դրական նշանով)  </t>
  </si>
  <si>
    <t>Մշակութային ժառանգության ծրագիր</t>
  </si>
  <si>
    <t xml:space="preserve"> Հուշարձանների ամրակայում, նորոգում և վերականգնում</t>
  </si>
  <si>
    <t>այդ թվում՝ ըստ ուղղությունների և միջոցառումների անվանումների</t>
  </si>
  <si>
    <t>Վերականգնողական աշխատանքներ</t>
  </si>
  <si>
    <t>Մատենադարանի թանգարանի ճակատային մասի արձանախմբի վերանորոգում</t>
  </si>
  <si>
    <t>«Մատենադարան» Մեսրոպ Մաշտոցի անվան հին ձեռագրերի գիտահետազոտական ինստիտուտ» հիմնադրամ</t>
  </si>
  <si>
    <t>Վավերագրման և ուսումնասիրման աշխատանքներ, (այդ թվում՝ հետախուզումև պեղում), գիտանախագծային փաստաթղթերի կազմում և փորձաքննում</t>
  </si>
  <si>
    <t>ՀՀ ԳԱԱ «Հնագիտության և ազգագրության ինստիտուտ» ՊՈԱԿ</t>
  </si>
  <si>
    <t>Թանգարանների և պատկերասրահների գույքային և տեխնիկական հագեցվածության բարելավում</t>
  </si>
  <si>
    <t>«Մշակույթի զարգացման» հիմնադրամ</t>
  </si>
  <si>
    <t>Թանգարանների համար նոր շենքերի կառուցում</t>
  </si>
  <si>
    <t>«Հ. Թումանյանի թանգարան» ՊՈԱԿ</t>
  </si>
  <si>
    <t>Դաս N 02</t>
  </si>
  <si>
    <t xml:space="preserve"> Թանգարաններ և ցուցասրահներ</t>
  </si>
  <si>
    <t>1075-32012</t>
  </si>
  <si>
    <t xml:space="preserve"> Թանգարանների համար նոր շենքերի կառուցում</t>
  </si>
  <si>
    <t>50531140-535</t>
  </si>
  <si>
    <t>Բարձրագույն և հետբուհական մասնագիտական կրթության ծրագիր</t>
  </si>
  <si>
    <t xml:space="preserve"> Բարձրագույն  ուսումնական հաստատությունների և «Զեյթուն» ուսանողական ավան» հիմնադրամի շենքային պայմանների բարելավում</t>
  </si>
  <si>
    <t xml:space="preserve"> «Հայաստանի ազգային ագրարային համալսարան» հիմնադրամ</t>
  </si>
  <si>
    <t xml:space="preserve"> «Երևանի թատրոնի և կինոյի պետական ինստիտուտ» ՊՈԱԿ</t>
  </si>
  <si>
    <t xml:space="preserve"> Բարձրագույն ուսումնական հաստատությունների և ««Զեյթուն» ուսանողկան ավան» հիմնադրամի նյութատեխնիկական բազայի համալրում և գույքով ապահովում</t>
  </si>
  <si>
    <t>«Պատմամշակութային արգելոց-թանգարանների և պատմական միջավայրի պահպանության ծառայություն» ՊՈԱԿ</t>
  </si>
  <si>
    <t>Ավագ մակարդակի կրթություն իրականացնող ուսումնական հաստատությունների շենքային պայմանների բարելավում</t>
  </si>
  <si>
    <t>«Ֆոտոն» վարժարան» ՊՈԱԿ</t>
  </si>
  <si>
    <t>1183-32004</t>
  </si>
  <si>
    <t xml:space="preserve"> Ավագ մակարդակի կրթություն իրականացնող ուսումնական հաստատությունների շենքային պայմանների բարելավում</t>
  </si>
  <si>
    <t>71241200-522</t>
  </si>
  <si>
    <t>Արտաշատ մայրաքաղաքի Գետամերձ թաղամասի պեղումներ</t>
  </si>
  <si>
    <t>«Սիսավանի միջնակարգ դպրոց» ՊՈԱԿ</t>
  </si>
  <si>
    <t>ՀՀ Արարատի մարզպետի աշխատակազմ</t>
  </si>
  <si>
    <t xml:space="preserve"> կրթական օբյեկտների հիմնանորոգում</t>
  </si>
  <si>
    <t xml:space="preserve">«Դաշտաքարի միջնակարգ դպրոց» ՊՈԱԿ </t>
  </si>
  <si>
    <t xml:space="preserve">«Ռանչպարի միջնակարգ դպրոց» ՊՈԱԿ </t>
  </si>
  <si>
    <t>«Մասիսի թիվ 6 հիմնական դպրոց» ՊՈԱԿ</t>
  </si>
  <si>
    <t>«Նարեկի Արեն Ստեփանյանի անվան միջնակարգ դպրոց» ՊՈԱԿ</t>
  </si>
  <si>
    <t>«Սայաթ-Նովայի միջնակարգ դպրոց» ՊՈԱԿ</t>
  </si>
  <si>
    <t>«Սիսի միջնակարգ դպրոց» ՊՈԱԿ</t>
  </si>
  <si>
    <t>«Բյուրավանի միջնակարգ դպրոց» ՊՈԱԿ</t>
  </si>
  <si>
    <t>ՀՀ Արագածոտնի մարզպետի աշխատակազմ</t>
  </si>
  <si>
    <t xml:space="preserve"> տանիքների վերանորոգման աշխատանքներ</t>
  </si>
  <si>
    <t>«Ապարանի Հ. Ոսկանյանի անվան թիվ 2 հիմնական դպրոց» ՊՈԱԿ</t>
  </si>
  <si>
    <t>Հալիձոր բերդի համալիրի ամրակայման, նորոգման և վերականգնման գիտանախագծային փաստաթղթեր</t>
  </si>
  <si>
    <t>Կավարտ գյուղի հունական եկեղեցու  ամրակայման, նորոգման և վերականգնման գիտանախագծային փաստաթղթեր</t>
  </si>
  <si>
    <t>«Պատմամշակութային ժառանգության գիտահետազոտական կենտրոն» ՊՈԱԿ</t>
  </si>
  <si>
    <t>«Պատմամշակութային արգելոց թանգարանների և պատմական միջավայրի պահպանության ծառայություն» ՊՈԱԿ</t>
  </si>
  <si>
    <t>որից`</t>
  </si>
  <si>
    <t>2. Վավերագրման և ուսումնասիրման աշխատանքներ, (այդ թվում՝ հետախուզումև պեղում), գիտանախագծային փաստաթղթերի կազմում և փորձաքննում</t>
  </si>
  <si>
    <t>Դաս N 07</t>
  </si>
  <si>
    <t xml:space="preserve"> Հուշարձանների և մշակութային արժեքների վերականգնում և պահպանում</t>
  </si>
  <si>
    <t>1075-21001</t>
  </si>
  <si>
    <t>71241200-9</t>
  </si>
  <si>
    <t>50531140-9</t>
  </si>
  <si>
    <t>Խումբ N 08</t>
  </si>
  <si>
    <t xml:space="preserve"> ՀՀ կրթության, գիտության, մշակույթի և սպորտի նախարարության կարողությունների զարգացում և տեխնիկական հագեցվածության ապահովում</t>
  </si>
  <si>
    <t>1130-31001</t>
  </si>
  <si>
    <t xml:space="preserve"> Կրթություն (այլ դասերին չպատկանող)</t>
  </si>
  <si>
    <t>48431100-502</t>
  </si>
  <si>
    <t xml:space="preserve"> նյութատեխնիկական ռեսուրսների կառավարման
համակարգչային ծրագրային փաթեթներ</t>
  </si>
  <si>
    <t>ՀՀ կրթության, գիտության, մշակույթի և սպորտի նախարարության կարողությունների զարգացում և տեխնիկական հագեցվածության ապահովում</t>
  </si>
  <si>
    <t xml:space="preserve">Արթուր Ալեքսանյանի անվան նոր սպորտային համալիր </t>
  </si>
  <si>
    <t xml:space="preserve">  մարզական օբյեկտների շինարարական աշխատանքներ</t>
  </si>
  <si>
    <t xml:space="preserve"> ՀԲՄ</t>
  </si>
  <si>
    <t>45211131-1</t>
  </si>
  <si>
    <t xml:space="preserve"> այդ թվում՝ ըստ ուղղությունների</t>
  </si>
  <si>
    <t>Արթուր Աբրահամի անվան մարզահամալիր</t>
  </si>
  <si>
    <t>Մարզական համալիր Եղեգնաձորում</t>
  </si>
  <si>
    <t>Մարզական համալիր Բերդում</t>
  </si>
  <si>
    <t>Մարզական համալիր Արարատում</t>
  </si>
  <si>
    <t>1163-32001</t>
  </si>
  <si>
    <t xml:space="preserve"> Մարզական օբյեկտների շինարարություն</t>
  </si>
  <si>
    <t xml:space="preserve">  ընդհանուր շինարարական աշխատանքներ</t>
  </si>
  <si>
    <t>45221142-2</t>
  </si>
  <si>
    <t>71351540-2</t>
  </si>
  <si>
    <t>98111140-2</t>
  </si>
  <si>
    <t>Մարզական համալիր Աշտարակում</t>
  </si>
  <si>
    <t>Մարզական համալիր Արմավիրում</t>
  </si>
  <si>
    <t>50531140-3</t>
  </si>
  <si>
    <t>45221142-5</t>
  </si>
  <si>
    <t>71351540-5</t>
  </si>
  <si>
    <t>98111140-4</t>
  </si>
  <si>
    <t>98111140-5</t>
  </si>
  <si>
    <t xml:space="preserve"> Մասնագիտական ուսումնական հաստատությունների շենքային պայմանների բարելավում</t>
  </si>
  <si>
    <t>«Մասիսի պետական գյուղատնտեսական քոլեջ» ՊՈԱԿ</t>
  </si>
  <si>
    <t xml:space="preserve">  վերակառուցման աշխատանքներ</t>
  </si>
  <si>
    <t>1045-32001</t>
  </si>
  <si>
    <t>45451700-2</t>
  </si>
  <si>
    <t>«Գավառի պետական բժշկական քոլեջ» ՊՈԱԿ</t>
  </si>
  <si>
    <t>«Գյումրու պետական բժշկական քոլեջ» ՊՈԱԿ</t>
  </si>
  <si>
    <t>45611100-3</t>
  </si>
  <si>
    <t>45611100-5</t>
  </si>
  <si>
    <t>«Ստեփանավանի պրոֆ. Քալանթարի անվան պետական գյուղատնտեսական քոլեջ» ՊՈԱԿ</t>
  </si>
  <si>
    <t>«Գորիսի պրոֆեսոր Խ. Երիցյանի անվան պետական գյուղատնտեսական քոլեջ» ՊՈԱԿ</t>
  </si>
  <si>
    <t xml:space="preserve">  տեխնիկական հսկողության ծառայություններ</t>
  </si>
  <si>
    <t xml:space="preserve"> ՄԱ</t>
  </si>
  <si>
    <t xml:space="preserve">  հեղինակային հսկողության ծառայություններ</t>
  </si>
  <si>
    <t>Ֆուտբոլի ենթակառուցվածքների զարգացման նպատակով մարզադաշտերի և մարզադպրոցների կառուցում</t>
  </si>
  <si>
    <t>Ֆուտբոլի մարզադաշտ Իջևանում ՈՒԵՖԱ ստանդարտներով</t>
  </si>
  <si>
    <t xml:space="preserve"> Հանգստի և սպորտի ծառայություններ</t>
  </si>
  <si>
    <t>1163-32006</t>
  </si>
  <si>
    <t xml:space="preserve"> Ֆուտբոլի ենթակառուցվածքների զարգացման նպատակով մարզադաշտերի և մարզադպրոցների կառուցում</t>
  </si>
  <si>
    <t>Թեթև կոնստրուկցիաներով մարզադահլիճների հիմնում</t>
  </si>
  <si>
    <t>ՀՀ Կոտայքի մարզի Նաիրի համայնքում Զովունի գյուղում թեթև կոնստրուկցիաներով մարզադահլիճ</t>
  </si>
  <si>
    <t>1163-32003</t>
  </si>
  <si>
    <t xml:space="preserve"> Թեթև կոնստրուկցիաներով մարզադահլիճների հիմնում</t>
  </si>
  <si>
    <t xml:space="preserve"> մարզական օբյեկտների շինարարական աշխատանքներ</t>
  </si>
  <si>
    <t>«Հայաստանի պետական սիմֆոնիկ նվագախումբ» ՊՈԱԿ</t>
  </si>
  <si>
    <t>1168-32001</t>
  </si>
  <si>
    <t>45611200-1</t>
  </si>
  <si>
    <t>«Գորիսի Վ․Վաղարշյանի անվան դրամատիկական թատրոն» ՊՈԱԿ</t>
  </si>
  <si>
    <t>45611200-3</t>
  </si>
  <si>
    <t>Հանրակրթական կրթություն իրականացնող ուսումնական հաստատությունների նոր մարզադահլիճների կառուցում</t>
  </si>
  <si>
    <t>ՀՀ Լոռու մարզի Գոգարան համայնքում «Մոդուլային» տիպի 144 տեղ հզորությամբ մսուր-մանկապարտեզ</t>
  </si>
  <si>
    <t>ՀՀ Լոռու մարզի Լուսաղբյուր համայնքում «Մոդուլային» տիպի 144 տեղ հզորությամբ մսուր-մանկապարտեզ</t>
  </si>
  <si>
    <t>ՀՀ Շիրակի մարզի Արթիկ համայնքում «Մոդուլային» տիպի 144 տեղ հզորությամբ մսուր-մանկապարտեզ</t>
  </si>
  <si>
    <t>ՀՀ Շիրակի մարզի Արևշատ համայնքում «Մոդուլային» տիպի 144 տեղ հզորությամբ մսուր-մանկապարտեզ</t>
  </si>
  <si>
    <t>45221142-6</t>
  </si>
  <si>
    <t>71351540-6</t>
  </si>
  <si>
    <t>98111140-6</t>
  </si>
  <si>
    <t>45221142-8</t>
  </si>
  <si>
    <t>71351540-8</t>
  </si>
  <si>
    <t>98111140-8</t>
  </si>
  <si>
    <t>45221142-10</t>
  </si>
  <si>
    <t>45221142-11</t>
  </si>
  <si>
    <t>71351540-10</t>
  </si>
  <si>
    <t>98111140-10</t>
  </si>
  <si>
    <t>98111140-11</t>
  </si>
  <si>
    <t>71351540-7</t>
  </si>
  <si>
    <t>71351540-43</t>
  </si>
  <si>
    <t>45211231-4</t>
  </si>
  <si>
    <t>«Բերդաշենի միջնակարգ դպրոց» ՊՈԱԿ</t>
  </si>
  <si>
    <t>45211231-13</t>
  </si>
  <si>
    <t>ՀՄԱ</t>
  </si>
  <si>
    <t>71351540-15</t>
  </si>
  <si>
    <t>«Դովեղի միջնակարգ դպրոց»ՊՈԱԿ</t>
  </si>
  <si>
    <t>71241200-1</t>
  </si>
  <si>
    <t>«Երևանի N 156 հիմնական դպրոց» ՊՈԱԿ</t>
  </si>
  <si>
    <t>1236-32004</t>
  </si>
  <si>
    <t xml:space="preserve"> Հանրակրթական դպրոցների շենքերի վերակառուցում, հիմնանորոգում</t>
  </si>
  <si>
    <t>Հանրակրթական դպրոցների շենքերի վերակառուցում, հիմնանորոգում</t>
  </si>
  <si>
    <t>1. Վերականգնողական աշխատանքներ</t>
  </si>
  <si>
    <t>Բերդկունքի Սպիտակ բերդի նորոգում, ամրակայում և վերականգնում</t>
  </si>
  <si>
    <t>Հորսի  իշխան Չեսար Օրբելյանի ապարանքի  ամրակայում, նորոգում, վերականգնում</t>
  </si>
  <si>
    <t>Ալավերդի համայնքի Կաճաճկուտ բնակավայրի Սեդվի վանական համալիրի փլուզված եռահարկ աշտարակի նորոգում, ամրակայում, վերականգնում և տարածքի բարեկարգում</t>
  </si>
  <si>
    <t>45451600-11</t>
  </si>
  <si>
    <t xml:space="preserve"> վերականգնողական աշխատանքներ</t>
  </si>
  <si>
    <t>45451600-6</t>
  </si>
  <si>
    <t>45451600-14</t>
  </si>
  <si>
    <t>71351540-14</t>
  </si>
  <si>
    <t>98111140-14</t>
  </si>
  <si>
    <t>Արտադպրոցական դաստիարակության ծրագիր</t>
  </si>
  <si>
    <t>«Վանաձորի բռնցքամարտի մանկապատանեկան մարզադպրոց» ՊՈԱԿ</t>
  </si>
  <si>
    <t>Արաքս համայնքի Ակնաշեն բնակավայրի մանկապարտեզ</t>
  </si>
  <si>
    <t xml:space="preserve"> շինարարական աշխատանքներ մանկապարտեզների  համար</t>
  </si>
  <si>
    <t>45211228-14</t>
  </si>
  <si>
    <t>«Արտաշատի Հ. Ճգնավորյանի անվան թիվ 5 հիմնական դպրոց» ՊՈԱԿ</t>
  </si>
  <si>
    <t>«Գյումրու թիվ 1 ավագ դպրոց» ՊՈԱԿ</t>
  </si>
  <si>
    <t>Ա. Սպենդիարյանի անվան օպերայի և բալետի ազգային ակադեմիական թատրոնի և «Ա. Խաչատրյան» համերգասրահի ինժեներական ենթակառուցվածքների և տանիքի հիմնանորոգում</t>
  </si>
  <si>
    <t>71241200-503</t>
  </si>
  <si>
    <t xml:space="preserve"> Մշակութային ժառանգության ծրագիր</t>
  </si>
  <si>
    <t xml:space="preserve"> ԱՅԼ ԾԱԽՍԵՐ</t>
  </si>
  <si>
    <t xml:space="preserve"> Հարկեր, պարտադիր վճարներ և տույժեր, որոնք կառավարման տարբեր մակարդակների կողմից կիրառվում են միմյանց նկատմամբ</t>
  </si>
  <si>
    <t>03</t>
  </si>
  <si>
    <t xml:space="preserve"> Մարզերի մշակութային զարգացման ծրագիր</t>
  </si>
  <si>
    <t xml:space="preserve"> ԴՐԱՄԱՇՆՈՐՀՆԵՐ</t>
  </si>
  <si>
    <t>ԿԱՊԻՏԱԼ ԴՐԱՄԱՇՆՈՐՀՆԵՐ ՊԵՏԱԿԱՆ ՀԱՏՎԱԾԻ ԱՅԼ ՄԱԿԱՐԴԱԿՆԵՐԻՆ</t>
  </si>
  <si>
    <t xml:space="preserve"> - Կապիտալ դրամաշնորհներ պետական և համայնքային ոչ առևտրային կազմակերպություններին</t>
  </si>
  <si>
    <t xml:space="preserve"> ՄԵՔԵՆԱՆԵՐ  ԵՎ  ՍԱՐՔԱՎՈՐՈՒՄՆԵՐ</t>
  </si>
  <si>
    <t xml:space="preserve"> - Այլ մեքենաներ և սարքավորումներ</t>
  </si>
  <si>
    <t xml:space="preserve"> Թանգարանների և պատկերասրահների գույքային և տեխնիկական հագեցվածության բարելավում</t>
  </si>
  <si>
    <t xml:space="preserve"> ԿԱՊԻՏԱԼ ԴՐԱՄԱՇՆՈՐՀՆԵՐ ՊԵՏԱԿԱՆ ՀԱՏՎԱԾԻ ԱՅԼ ՄԱԿԱՐԴԱԿՆԵՐԻՆ</t>
  </si>
  <si>
    <t xml:space="preserve"> - Այլ կապիտալ դրամաշնորհներ </t>
  </si>
  <si>
    <t>Պատմական Երվանդաշատ մայրաքաղաքի հնագիտական գեոռադարային ուսումնասիրություն</t>
  </si>
  <si>
    <t>45111410-1</t>
  </si>
  <si>
    <t xml:space="preserve"> հնէաբանական պեղումների վայրերում հողի փորման աշխատանքներ</t>
  </si>
  <si>
    <t>07</t>
  </si>
  <si>
    <t xml:space="preserve"> Ըստ մակարդակների չդասակարգվող կրթություն</t>
  </si>
  <si>
    <t xml:space="preserve"> Արտադպրոցական դաստիարակության ծրագիր</t>
  </si>
  <si>
    <t xml:space="preserve">Արտադպրոցական դաստիարակություն իրականացնող կազմակերպությունների շենքային պայմանների բարելավում </t>
  </si>
  <si>
    <t xml:space="preserve"> Բարձրագույն և հետբուհական մասնագիտական կրթության ծրագիր</t>
  </si>
  <si>
    <t>Բարձրագույն  ուսումնական հաստատությունների և «Զեյթուն»  ուսանողական ավան»  հիմնադրամի շենքային պայմանների բարելավում</t>
  </si>
  <si>
    <t>Բարձրագույն ուսումնական հաստատությունների և «Զեյթուն» ուսանողկան ավան» հիմնադրամի նյութատեխնիկական բազայի համալրում և գույքով ապահովում</t>
  </si>
  <si>
    <t xml:space="preserve"> Կրթության, գիտության, մշակույթի և սպորտի  բնագավառի   պետական քաղաքականության մշակում, ծրագրերի համակարգում և մոնիտորինգ</t>
  </si>
  <si>
    <t>Հանրակրթական դպրոցների, մանկապարտեզների և կրթահամալիրների գույքով և տեխնիկայով ապահովում</t>
  </si>
  <si>
    <t>«Երևանի Տ. Շևչենկոյի անվ. թիվ 42 ավագ դպրոց» ՊՈԱԿ</t>
  </si>
  <si>
    <t>1236-32006</t>
  </si>
  <si>
    <t xml:space="preserve"> Հանրակրթական դպրոցների, մանկապարտեզների և կրթահամալիրների գույքով և տեխնիկայով ապահովում</t>
  </si>
  <si>
    <t xml:space="preserve">39511121-4 </t>
  </si>
  <si>
    <t xml:space="preserve"> անկողնային պարագաներ</t>
  </si>
  <si>
    <t>ԷԱճ</t>
  </si>
  <si>
    <t>1045 - 32001</t>
  </si>
  <si>
    <t>Մասնագիտական ուսումնական հաստատությունների շենքային պայմանների բարելավում</t>
  </si>
  <si>
    <t>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</t>
  </si>
  <si>
    <t>1075</t>
  </si>
  <si>
    <t>Մշակութային ժառանգության պահպանում, օգտագործում, համալրում և հանրահռչակում</t>
  </si>
  <si>
    <t>Մշակութային ժառանգության շարունակական պահպանում, մշակութային զբոսաշրջության զարգացում և խթանում</t>
  </si>
  <si>
    <t>1075 - 21001</t>
  </si>
  <si>
    <t>Հուշարձանների ամրակայում, նորոգում և վերականգնում</t>
  </si>
  <si>
    <t>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</t>
  </si>
  <si>
    <t>Հանրության կողմից անմիջականորեն օգտագործվող ակտիվների հետ կապված միջոցառումներ</t>
  </si>
  <si>
    <t>1075 - 32008</t>
  </si>
  <si>
    <t>Թանգարանների և պատկերասրահների գույքային և տեխնիկական  հագեցվածության բարելավում</t>
  </si>
  <si>
    <t>Թանգարանների և պատկերասրահների համար անհրաժեշտ  գույքի, տեխնիկայի և սարքավորումների ձեռքբերում</t>
  </si>
  <si>
    <t>1075 - 32012</t>
  </si>
  <si>
    <t>Թանգարանների շենքերի, մասնաշենքերի կառուցում և նախագծում, նորաստեղծ թանգարանների նորակառույց շենքերով ապահովում</t>
  </si>
  <si>
    <t>1111</t>
  </si>
  <si>
    <t>Ապահովել մատչելի, որակյալ և մրցունակ բարձրագույն և հետբուհական մասնագիտական կրթություն:</t>
  </si>
  <si>
    <t>Գիտելիքների տնտեսության և գիտության զարգացման արդի պահանջներին համապատասխան բարձրագույն և հետբուհական մասնագիտական որակավորում ունեցող մասնագետների պատրաստում</t>
  </si>
  <si>
    <t>1111 - 32001</t>
  </si>
  <si>
    <t>Բարձրագույն  ուսումնական հաստատությունների և «Զեյթուն» ուսանողական ավան»   հիմնադրամի շենքային պայմանների բարելավում</t>
  </si>
  <si>
    <t>1111 - 32003</t>
  </si>
  <si>
    <t>Բարձրագույն ուսումնական հաստատությունների և «Զեյթուն» ուսանողական ավան» հիմնադրամի նյութատեխնիկական բազայի համալրում և գույքով ապահովում</t>
  </si>
  <si>
    <t>Բարձրագույն  ուսումնական հաստատությունների և «Զեյթուն» ուսանողական ավան» հիմնադրամի համար անհրաժեշտ լաբորատոր և այլ սարքավորումների, տեխնիկայի, կահույքի ձեռքբերում</t>
  </si>
  <si>
    <t>1130</t>
  </si>
  <si>
    <t>Կրթության, գիտության, մշակույթի և սպորտի  բնագավառի   պետական քաղաքականության մշակում, ծրագրերի համակարգում և մոնիտորինգ</t>
  </si>
  <si>
    <t>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</si>
  <si>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>Կրթության, գիտության, մշակույթի և սպորտի  բնագավառում իրականացվող ծրագրերի ազդեցության և արդյունավետության  բարելավում</t>
  </si>
  <si>
    <t>1130 - 31001</t>
  </si>
  <si>
    <t>ՀՀ կրթության, գիտության, մշակույթի և սպորտի նախարարության  աշխատանքային պայմանների բարելավման համար վարչական սարքավորումների ձեռք բերում</t>
  </si>
  <si>
    <t>Պետական մարմինների կողմից օգտագործվող ոչ ֆինանսական ակտիվների հետ գործառնություններ</t>
  </si>
  <si>
    <t>1148</t>
  </si>
  <si>
    <t>Նպաստել հանրակրթական ուսուցման համակարգում  ընդգրկված երեխաների ֆիզիկական, հոգևոր և գեղագիտական զարգացմանը, բնապահպանական և կիրառական գիտելիքների ձեռքբերմանը</t>
  </si>
  <si>
    <t>Ստեղծել պայմաններ սովորողների ազատ ժամանացի  կազմակերպան միջոցով նրանց հետաքրքրությունների բացահայտման, ձևավորման  և զարգացման համար</t>
  </si>
  <si>
    <t>1148 - 32005</t>
  </si>
  <si>
    <t>Կառույցների տեխնիկական արողությունների և աշխատանքային միջավայրի բարելավում</t>
  </si>
  <si>
    <t xml:space="preserve"> Այլ պետական կազմակերպությունների կողմից օգտագործվող ոչ ֆինանսական ակտիվների հետ գործառնություններ</t>
  </si>
  <si>
    <t>1163 - 12001</t>
  </si>
  <si>
    <t>Համայնքային ենթակայության մարզական հաստատությունների  վերանորոգում և կառուցում</t>
  </si>
  <si>
    <t>Տրանսֆերտների տրամադրում</t>
  </si>
  <si>
    <t>1163 - 32003</t>
  </si>
  <si>
    <t>ՀՀ մարզերում արագ հավաքվող, թեթև կոնստրուկցիաներով, օդահենային պնևմատիկ, եվրոպական ստանդարտներին համապատասխան մարզադահլիճների հիմնում</t>
  </si>
  <si>
    <t>1163 - 32006</t>
  </si>
  <si>
    <t>Ֆուտբոլի դպրոցների և ՈՒԵՖԱ ստանդարտներով ֆուտբոլի մարզադաշտերի նախագծում և կառուցում</t>
  </si>
  <si>
    <t>1168 - 32007</t>
  </si>
  <si>
    <t>Թատերահամերգային կազմակերպությունների նյութատեխնիկական բազայի  համալրում</t>
  </si>
  <si>
    <t>Թատերահամերգային կազմակերպությունների համար անհրաժեշտ տեխնիկայի և սարքավորումների ձեռքբերում</t>
  </si>
  <si>
    <t>1183 - 32007</t>
  </si>
  <si>
    <t>Հանրակրթական ուսուցում իրականացնող ուսումնական հաստատությունների նոր մարզադահլիճների կառուցման նախագծանախահաշվային փաստաթղթերի մշակում</t>
  </si>
  <si>
    <t>1183 - 32004</t>
  </si>
  <si>
    <t>Ավագ դպրոցների շենքային պայմանների բարելավում</t>
  </si>
  <si>
    <t>1183 - 32001</t>
  </si>
  <si>
    <t xml:space="preserve"> Կրթական օբյեկտների շենքերի (մասնաշենքերի) հիմնանորոգում (համաշինարարական աշխատանքներ,
ջեռուցման համակարգի իրականացում, ներքին հարդարում, տարածքի բարեկարգում) և նախագծում </t>
  </si>
  <si>
    <t>1196</t>
  </si>
  <si>
    <t>Մարզերի մշակութային զարգացման ծրագիր</t>
  </si>
  <si>
    <t>Մարզերում մշակութային կյանքի և մշակութաստեղծ գործունեության ակտիվացում</t>
  </si>
  <si>
    <t>Համայնքներում մշակույթի հասանելիության և մշակութային կյանքին մարզային բնակչության ընդգրկվածության ընդլայնում</t>
  </si>
  <si>
    <t>1196 - 12001</t>
  </si>
  <si>
    <t>Աջակցություն համայնքներին մշակութային հաստատությունների շենքային պայմանների բարելավման համար</t>
  </si>
  <si>
    <t>Համայնքային ենթակայության մշակույթի տների՝ ակումբների և կենտրոնների հիմնանորոգում՝ կառուցում և նախագծում</t>
  </si>
  <si>
    <t>1236 - 32004</t>
  </si>
  <si>
    <t>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</t>
  </si>
  <si>
    <t xml:space="preserve"> ՀՀ ԿԱՌԱՎԱՐՈՒԹՅՈՒՆ</t>
  </si>
  <si>
    <t>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</si>
  <si>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</si>
  <si>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</si>
  <si>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</si>
  <si>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ԱՅԼ  ԾԱԽՍԵՐ</t>
  </si>
  <si>
    <t xml:space="preserve"> - Պահուստային միջոցներ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</si>
  <si>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</si>
  <si>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</si>
  <si>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</si>
  <si>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</si>
  <si>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</si>
  <si>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>Ծառայությունների մատուցում</t>
  </si>
  <si>
    <t xml:space="preserve"> Մասնագիտական ուսումնական հաստատությունների շենքերի հիմնանորոգման և նախագծման (շինարարական աշխատանքներ, ջեռուցման համակարգի ստեղծում, ներքին հարդարում, տարածքի բարեկարգում) աշխատանքների իրականացում </t>
  </si>
  <si>
    <t xml:space="preserve"> Հուշարձանների գիտանախագծային փաստաթղթերի կազմում,  հրատապ ուսումնասիրում, վավերագրման և ուսումնասիրման աշխատանքներ, հետախուզում և հնագիտական պեղում, ամրակայում, նորոգում և վերականգնում </t>
  </si>
  <si>
    <t xml:space="preserve"> Հանրության կողմից անմիջականորեն օգտագործվող ակտիվների հետ կապված միջոցառումներ </t>
  </si>
  <si>
    <t xml:space="preserve"> Ծառայությունը մատուցող կազմակերպության անվանումը` Մասնագիտացված կազմակերպություններ </t>
  </si>
  <si>
    <t>Հուշարձանների ամրակայման, նորոգման և վերականգնման աշխատանքներ, քանակ</t>
  </si>
  <si>
    <t xml:space="preserve"> Թանգարանների և պատկերասրահների համար անհրաժեշտ  գույքի, տեխնիկայի և սարքավորումների ձեռքբերում </t>
  </si>
  <si>
    <t xml:space="preserve"> Ակտիվն օգտագործող կազմակերպության անվանումը` Թանգարաններ և պատկերասրահներ </t>
  </si>
  <si>
    <t>Կազմակերպությունների թիվը, որտեղ կատարվում են ներդրումները</t>
  </si>
  <si>
    <t>Հուշարձանների ուսումնասիրման, հետախուզումների և պեղումների աշխատանքներ, քանակ</t>
  </si>
  <si>
    <t xml:space="preserve"> Թանգարանների շենքերի, մասնաշենքերի կառուցում և նախագծում, նորաստեղծ թանգարանների նորակառույց շենքերով ապահովում</t>
  </si>
  <si>
    <t xml:space="preserve"> Ակտիվն օգտագործող կազմակերպության անվանումը` Թանգարաններ </t>
  </si>
  <si>
    <t xml:space="preserve"> Բարձրագույն և հետբուհական մասնագիտական կրթության ծրագիր </t>
  </si>
  <si>
    <t xml:space="preserve"> Բարձրագույն  ուսումնական հաստատությունների և «Զեյթուն» ուսանողական ավան»   հիմնադրամի շենքային պայմանների բարելավում </t>
  </si>
  <si>
    <t xml:space="preserve"> Ակտիվն օգտագործող կազմակերպության անվանումը`  Բարձրագույն  ուսումնական հաստատություններ </t>
  </si>
  <si>
    <t>Կազմակերպությունների թիվը, որտեղ կատարվում են ներդրումները, հատ</t>
  </si>
  <si>
    <t xml:space="preserve"> Բարձրագույն  ուսումնական հաստատությունների և «Զեյթուն» ուսանողական ավան» հիմնադրամի համար անհրաժեշտ լաբորատոր և այլ սարքավորումների, տեխնիկայի, կահույքի ձեռքբերում</t>
  </si>
  <si>
    <t>Կազմակերպությունների թիվը, որոնք ապահովվում են գույքով, հատ</t>
  </si>
  <si>
    <t xml:space="preserve"> Կրթության, գիտության, մշակույթի և սպորտի  բնագավառի   պետական քաղաքականության մշակում, ծրագրերի համակարգում և մոնիտորինգ </t>
  </si>
  <si>
    <t xml:space="preserve"> ՀՀ կրթության, գիտության, մշակույթի և սպորտի նախարարության  աշխատանքային պայմանների բարելավման համար վարչական սարքավորումների ձեռք բերում </t>
  </si>
  <si>
    <t xml:space="preserve"> Պետական մարմինների կողմից օգտագործվող ոչ ֆինանսական ակտիվների հետ գործառնություններ </t>
  </si>
  <si>
    <t xml:space="preserve"> Ակտիվն օգտագործող կազմակերպության անվանումը` ՀՀ կրթության, գիտության, մշակույթի և սպորտի նախարարություն </t>
  </si>
  <si>
    <t>Ծրագրային համակարգեր, հատ</t>
  </si>
  <si>
    <t xml:space="preserve"> Արտադպրոցական դաստիարակության ծրագիր </t>
  </si>
  <si>
    <t xml:space="preserve"> Կառույցների տեխնիկական արողությունների և աշխատանքային միջավայրի բարելավում</t>
  </si>
  <si>
    <t xml:space="preserve"> Ակտիվն օգտագործող կազմակերպության անվանումը` Արտադպրոցական դաստիարակություն իրականացնող կազմակերպություններ</t>
  </si>
  <si>
    <t xml:space="preserve"> Համայնքային ենթակայության մարզական հաստատությունների  վերանորոգում և կառուցում </t>
  </si>
  <si>
    <t xml:space="preserve"> Տրանսֆերտների տրամադրում </t>
  </si>
  <si>
    <t xml:space="preserve"> Շահառուների ընտրության չափորոշիչները` ՀՀ համայնքների ենթակայության մարզական հաստատությունների շենքային պայմանների բարելավման անհրաժեշտությունը </t>
  </si>
  <si>
    <t>Կառուցման ենթակա օբյյեկտների թիվ, հատ</t>
  </si>
  <si>
    <t xml:space="preserve"> ՀՀ մարզերում արագ հավաքվող, թեթև կոնստրուկցիաներով, եվրոպական ստանդարտներին համապատասխան մարզադահլիճների հիմնում </t>
  </si>
  <si>
    <t xml:space="preserve"> Ֆուտբոլի դպրոցների և ՈՒԵՖԱ ստանդարտներով ֆուտբոլի մարզադաշտերի նախագծում և կառուցում </t>
  </si>
  <si>
    <t xml:space="preserve"> Ակտիվն օգտագործող կազմակերպության անվանումը` «Գնումների մասին» ՀՀ օրենքի համաձայն ընտրված կազմակերպություն </t>
  </si>
  <si>
    <t>Նախագծանախահաշվային փաստաթղթերի քանակը, հատ</t>
  </si>
  <si>
    <t>Մասնակի հիմնանորոգվող թատրոնների քանակ, հատ</t>
  </si>
  <si>
    <t xml:space="preserve"> Թատերահամերգային կազմակերպությունների համար անհրաժեշտ տեխնիկայի և սարքավորումների ձեռքբերում </t>
  </si>
  <si>
    <t xml:space="preserve"> Ակտիվն օգտագործող կազմակերպության անվանումը` Թատրոններ և համերգային կազմակերպություններ </t>
  </si>
  <si>
    <t>Թատրոնների թիվը, որտեղ կատարվում են ներդրումները, հատ</t>
  </si>
  <si>
    <t>Համերգային կազմակերպությունների թիվը, որտեղ կատարվում են ներդրումները, հատ</t>
  </si>
  <si>
    <t xml:space="preserve"> Հանրակրթական ուսուցում իրականացնող ուսումնական հաստատությունների նոր մարզադահլիճների կառուցման նախագծանախահաշվային փաստաթղթերի մշակում </t>
  </si>
  <si>
    <t xml:space="preserve"> Ակտիվն օգտագործող կազմակերպությունների անվանումները` Ավագ դպրոցներ </t>
  </si>
  <si>
    <t xml:space="preserve">Կրթական օբյեկտների շենքային պայմանների բարելավում </t>
  </si>
  <si>
    <t xml:space="preserve">  Կրթական օբյեկտների շենքերի (մասնաշենքերի) հիմնանորոգում (համաշինարարական աշխատանքներ,
ջեռուցման համակարգի իրականացում, ներքին հարդարում, տարածքի բարեկարգում) և նախագծում 
</t>
  </si>
  <si>
    <t>Մասնակի նորոգվող դպրոցների քանակ, հատ</t>
  </si>
  <si>
    <t xml:space="preserve"> Մարզերի մշակութային զարգացման ծրագիր </t>
  </si>
  <si>
    <t xml:space="preserve">Աջակցություն համայնքներին մշակութային հաստատությունների շենքային պայմանների բարելավման համար </t>
  </si>
  <si>
    <t xml:space="preserve">  Համայնքային ենթակայության մշակույթի տների՝ ակումբների և կենտրոնների հիմնանորոգում՝ կառուցում և նախագծում </t>
  </si>
  <si>
    <t xml:space="preserve"> Տրանսֆերտների տրամադրում</t>
  </si>
  <si>
    <t xml:space="preserve"> Շահառուների ընտրության չափանիշները՝ ՀՀ համայնքների ենթակայության մշակութային հաստատություններ</t>
  </si>
  <si>
    <t>ՀՀ-ում կրթական որակյալ ծառայությունների հասանելիության ապահովման ծրագրի շրջանակներում կառուցվող ոչ մոդուլային դպրոցների թիվը, հատ</t>
  </si>
  <si>
    <t xml:space="preserve"> Դպրոցական պարտադիր կրթության հասանելիության ապահովման նպատակով՛ հանրակրթական դպրոցների շենքերի (մասնաշենքերի), վերակառուցում, հիմնանորոգում և նախագծում </t>
  </si>
  <si>
    <t xml:space="preserve"> ՀՀ կառավարության պահուստային ֆոնդ </t>
  </si>
  <si>
    <t xml:space="preserve">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</si>
  <si>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</si>
  <si>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Ծառայությունների մատուցում </t>
  </si>
  <si>
    <t xml:space="preserve"> Ծառայությունը մատուցողի անվանումը` ՀՀ կառավարություն </t>
  </si>
  <si>
    <t>ՀՀ ԱՐԱԳԱԾՈՏՆԻ ՄԱՐԶՊԵՏԻ ԱՇԽԱՏԱԿԶՄ</t>
  </si>
  <si>
    <t>ՀՀ ԱՐԱՐԱՏԻ ՄԱՐԶՊԵՏԻ ԱՇԽԱՏԱԿԶՄ</t>
  </si>
  <si>
    <t>ՀԱՅԱՍՏԱՆԻ ՀԱՆՐԱՊԵՏՈՒԹՅԱՆ 2025 ԹՎԱԿԱՆԻ ՊԵՏԱԿԱՆ ԲՅՈՒՋԵՈՎ ՆԱԽԱՏԵՍՎԱԾ՝ ՀԱՅԱՍՏԱՆԻ ՀԱՆՐԱՊԵՏՈՒԹՅԱՆ ԿԱՌԱՎԱՐՈՒԹՅԱՆ ՊԱՀՈՒՍՏԱՅԻՆ ՖՈՆԴԻՑ ՀԱՏԿԱՑՈՒՄՆԵՐ ԿԱՏԱՐԵԼՈՒ ՎԵՐԱԲԵՐՅԱԼ</t>
  </si>
  <si>
    <t>Ցուցանիշների փոփոխությունը (ավելացումները նշված են դրական նշանով, իսկ նվազեցումները` փակագծերում)</t>
  </si>
  <si>
    <t xml:space="preserve"> Բաժին</t>
  </si>
  <si>
    <t xml:space="preserve"> Խումբ</t>
  </si>
  <si>
    <t xml:space="preserve"> Միջոցառում</t>
  </si>
  <si>
    <t>այդ թվում</t>
  </si>
  <si>
    <t xml:space="preserve"> 11</t>
  </si>
  <si>
    <t xml:space="preserve"> 01</t>
  </si>
  <si>
    <t xml:space="preserve"> ՀՀ կառավարություն</t>
  </si>
  <si>
    <t xml:space="preserve"> 1139</t>
  </si>
  <si>
    <t xml:space="preserve"> 11001</t>
  </si>
  <si>
    <t>«Նոյեմբերյանի պետական քոլեջ» ՊՈԱԿ</t>
  </si>
  <si>
    <t>«Գավառի ակադեմիկոս Ա. Թամամշևի անվան պետական գյուղատնտեսական քոլեջ» ՊՈԱԿ</t>
  </si>
  <si>
    <t>Հավելված 5</t>
  </si>
  <si>
    <t>Հավելված N 6</t>
  </si>
  <si>
    <t xml:space="preserve">Հավելված N 8 </t>
  </si>
  <si>
    <t>Հավելված N 9</t>
  </si>
  <si>
    <t>ՀՀ-ում կրթական որակյալ ծառայությունների հասանելիության ապահովման ծրագրի շրջանակներում հիմնանորոգվող / վերանորոգվող դպրոցների թիվը</t>
  </si>
  <si>
    <t>45211229-74</t>
  </si>
  <si>
    <t xml:space="preserve"> շինարարական աշխատանքներ դպրոցների  համար</t>
  </si>
  <si>
    <t>ք. Գավառի թիվ 5 հիմնական դպրոց</t>
  </si>
  <si>
    <t>Արագյուղ բնակավայրի միջնակարգ դպրոց</t>
  </si>
  <si>
    <t>Լեռնանիստ բնակավայրի միջնակարգ դպրոց</t>
  </si>
  <si>
    <t>45211229-85</t>
  </si>
  <si>
    <t>45211229-90</t>
  </si>
  <si>
    <t>ք. Տաշիրի միջնակարգ դպրոց (ք. Տաշիրի թիվ 1 հիմնական դպրոցի տեղակայման վայրում)</t>
  </si>
  <si>
    <t>45211229-77</t>
  </si>
  <si>
    <t>գ․ Շիրակավանի միջնակարգ դպրոց</t>
  </si>
  <si>
    <t>գ․ Մայիսյանի միջնակարգ դպրոց</t>
  </si>
  <si>
    <t>գ․ Փոքր Մանթաշի միջնակարգ դպրոց</t>
  </si>
  <si>
    <t>45211229-94</t>
  </si>
  <si>
    <t>45211229-95</t>
  </si>
  <si>
    <t>45211229-96</t>
  </si>
  <si>
    <t xml:space="preserve">«ք. Գորիսի Ս. Խանզադյանի անվան թիվ 6 հիմնական դպրոց» ՊՈԱԿ </t>
  </si>
  <si>
    <t>գ. Շինուհայրի միջնակարգ դպրոց</t>
  </si>
  <si>
    <t>45211229-98</t>
  </si>
  <si>
    <t>45211229-103</t>
  </si>
  <si>
    <t>45211229-104</t>
  </si>
  <si>
    <t>գ. Խոտի միջնակարգ դպրոց</t>
  </si>
  <si>
    <t>գ. Արենիի միջնակարգ դպրոց</t>
  </si>
  <si>
    <t>45211229-108</t>
  </si>
  <si>
    <t>ք. Նոյեմբերյանի վարժարան (ք. Նոյեմբերյանի թիվ 1 ավագ դպրոցի տեղակայման վայրում)</t>
  </si>
  <si>
    <t>գ. Աղավնավանքի միջնակարգ դպրոց</t>
  </si>
  <si>
    <t>45211229-111</t>
  </si>
  <si>
    <t>45211229-112</t>
  </si>
  <si>
    <t>Կրթահամալիրների կառուցում</t>
  </si>
  <si>
    <t>գ. Ճարճակիսի կրթահամալիր</t>
  </si>
  <si>
    <t>1236-32005</t>
  </si>
  <si>
    <t xml:space="preserve"> Կրթահամալիրների կառուցում</t>
  </si>
  <si>
    <t>45211229-127</t>
  </si>
  <si>
    <t>45211229-130</t>
  </si>
  <si>
    <t>45211229-131</t>
  </si>
  <si>
    <t>45211229-132</t>
  </si>
  <si>
    <t>գ. Լուսաշողի կրթահամալիր</t>
  </si>
  <si>
    <t>գ. Նոր կյուրինի կրթահամալիր</t>
  </si>
  <si>
    <t>գ․ Ջրահովիտի կրթահամալիր</t>
  </si>
  <si>
    <t>45211229-135</t>
  </si>
  <si>
    <t>գ. Վարդանաշենի կրթահամալիր</t>
  </si>
  <si>
    <t>գ. Շատվանի կրթահամալիր</t>
  </si>
  <si>
    <t>գ. Կախակնի կրթահամալիր</t>
  </si>
  <si>
    <t>գ. Արեգունու կրթահամալիր</t>
  </si>
  <si>
    <t>գ. Փոքր Մասրիկի  կրթահամալիր</t>
  </si>
  <si>
    <t>գ. Մաքենիսի  կրթահամալիր</t>
  </si>
  <si>
    <t>գ. Մադինայի  կրթահամալիր</t>
  </si>
  <si>
    <t>45211229-138</t>
  </si>
  <si>
    <t>45211229-139</t>
  </si>
  <si>
    <t>45211229-140</t>
  </si>
  <si>
    <t>45211229-141</t>
  </si>
  <si>
    <t>45211229-142</t>
  </si>
  <si>
    <t>45211229-143</t>
  </si>
  <si>
    <t>գ. Միխայլովկայի կրթահամալիր</t>
  </si>
  <si>
    <t>գ. Կաթնառատի կրթահամալիր</t>
  </si>
  <si>
    <t>45211229-150</t>
  </si>
  <si>
    <t>45211229-151</t>
  </si>
  <si>
    <t>գ. Արտավազի կրթահամալիր</t>
  </si>
  <si>
    <t>45211229-153</t>
  </si>
  <si>
    <t>գ․ Հայրենյացի կրթահամալիր</t>
  </si>
  <si>
    <t>գ․ Բյուրակնի կրթահամալիր</t>
  </si>
  <si>
    <t>գ․ Գետափի կրթահամալիր</t>
  </si>
  <si>
    <t>45211229-156</t>
  </si>
  <si>
    <t>45211229-157</t>
  </si>
  <si>
    <t>45211229-197</t>
  </si>
  <si>
    <t>գ. Արփիի կրթահամալիր</t>
  </si>
  <si>
    <t>գ. Մարտիրոսի կրթահամալիր</t>
  </si>
  <si>
    <t>գ. Քարագլխի կրթահամալիր</t>
  </si>
  <si>
    <t>45211229-168</t>
  </si>
  <si>
    <t>45211229-169</t>
  </si>
  <si>
    <t>45211229-170</t>
  </si>
  <si>
    <t>Սիսիան համայնքի Շաքիի կրթահամալիր</t>
  </si>
  <si>
    <t>Տեղ համայնքի Տեղի թիվ 2 կրթահամալիր</t>
  </si>
  <si>
    <t>Կապան համայնքի Սյունիքի կրթահամալիր</t>
  </si>
  <si>
    <t>Կապան համայնքի Վերին Խոտանանի կրթահամալիր</t>
  </si>
  <si>
    <t>Կապան համայնքի գ․ Բաբիկավան-Կավճուտի կրթահամալիր</t>
  </si>
  <si>
    <t>Կապան համայնքի Ծավի կրթահամալիր</t>
  </si>
  <si>
    <t>45211229-158</t>
  </si>
  <si>
    <t>45211229-159</t>
  </si>
  <si>
    <t>45211229-160</t>
  </si>
  <si>
    <t>45211229-162</t>
  </si>
  <si>
    <t>45211229-164</t>
  </si>
  <si>
    <t>45211229-165</t>
  </si>
  <si>
    <t>գ. Նորաշենի կրթահամալիր</t>
  </si>
  <si>
    <t>գ. Պտղավանի կրթահամալիր</t>
  </si>
  <si>
    <t>45211229-172</t>
  </si>
  <si>
    <t>45211229-173</t>
  </si>
  <si>
    <t>գ. Մեծավանի թիվ 2 միջնակարգ դպրոց</t>
  </si>
  <si>
    <t>45211229-80</t>
  </si>
  <si>
    <t xml:space="preserve">«գ. Խնձորեսկի միջնակարգ դպրոց» ՊՈԱԿ </t>
  </si>
  <si>
    <t xml:space="preserve">ք. Այրումի Հ.Մալինյանի անվան միջնակարգ դպրոց </t>
  </si>
  <si>
    <t>1236 - 32005</t>
  </si>
  <si>
    <t xml:space="preserve"> Ակտիվն օգտագործող կազմակերպությունների անվանումները` Ստեղծվող կրթահամալիրներ </t>
  </si>
  <si>
    <t>ՀՀ Լոռու մարզի Լեռնավան համայնքում «Մոդուլային» տիպի 144 տեղ հզորությամբ մսուր-մանկապարտեզ</t>
  </si>
  <si>
    <t>45221142-7</t>
  </si>
  <si>
    <t>98111140-7</t>
  </si>
  <si>
    <t>ՀՀ ՖԻՆԱՆՍՆԵՐԻ ՆԱԽԱՐԱՐՈՒԹՅՈՒՆ</t>
  </si>
  <si>
    <t xml:space="preserve"> Պետական պարտքի գծով գործառնություններ</t>
  </si>
  <si>
    <t xml:space="preserve"> ԸՆԴՀԱՆՈՒՐ ԲՆՈՒՅԹԻ ՀԱՆՐԱՅԻՆ ԾԱՌԱՅՈՒԹՅՈՒՆՆԵՐ</t>
  </si>
  <si>
    <t xml:space="preserve"> Պետական պարտքի կառավարում</t>
  </si>
  <si>
    <t xml:space="preserve"> Կառավարության պարտքի սպասարկում</t>
  </si>
  <si>
    <t>ՀՀ ֆինանսների նախարարություն</t>
  </si>
  <si>
    <t xml:space="preserve"> ՏՈԿՈՍԱՎՃԱՐՆԵՐ</t>
  </si>
  <si>
    <t xml:space="preserve"> - Արտաքին տոկոսավճարներ</t>
  </si>
  <si>
    <t>Պետական պարտքի կառավարում</t>
  </si>
  <si>
    <t>Կառավարության ֆինանսական կարիքների բավարարման մշտական հնարավորության ապահովումը` երկարաժամկետ հատվածում նվազեցնելով պարտքի սպասարկման մեծությունը</t>
  </si>
  <si>
    <t>Կառավարության պարտքի օպտիմալ կառուցվածքի ձևավորում՛ հաշվի առնելով պոտենցիալ ռիսկերը</t>
  </si>
  <si>
    <t>1006 - 13001</t>
  </si>
  <si>
    <t>Կառավարության պարտքի սպասարկում</t>
  </si>
  <si>
    <t>Կառավարության պարտքի սպասարկում (տոկոսավճարներ)</t>
  </si>
  <si>
    <t>Ֆինանսավորման ծախսերի իրականացում</t>
  </si>
  <si>
    <t xml:space="preserve"> Պետական պարտքի կառավարում </t>
  </si>
  <si>
    <t xml:space="preserve"> Կառավարության պարտքի սպասարկում (տոկոսավճարներ) </t>
  </si>
  <si>
    <t xml:space="preserve"> Ֆինանսավորման ծախսերի իրականացում </t>
  </si>
  <si>
    <t xml:space="preserve"> Միջոցառումն իրականացնողի անվանումը՛`  ՀՀ ֆինանսների նախարարություն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</si>
</sst>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7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0.0"/>
    <numFmt numFmtId="168" formatCode="#,##0.0"/>
    <numFmt numFmtId="169" formatCode="#,##0.0_);\(#,##0.0\)"/>
    <numFmt numFmtId="170" formatCode="_-* #,##0.00_р_._-;\-* #,##0.00_р_._-;_-* &quot;-&quot;??_р_._-;_-@_-"/>
    <numFmt numFmtId="171" formatCode="##,##0;\(##,##0\);\-"/>
    <numFmt numFmtId="172" formatCode="General_)"/>
    <numFmt numFmtId="173" formatCode="_-* #,##0.0\ _р_._-;\-* #,##0.0\ _р_._-;_-* &quot;-&quot;?\ _р_._-;_-@_-"/>
    <numFmt numFmtId="174" formatCode="_-* #,##0.00\ _р_._-;\-* #,##0.00\ _р_._-;_-* &quot;-&quot;??\ _р_._-;_-@_-"/>
    <numFmt numFmtId="175" formatCode="0.000%"/>
    <numFmt numFmtId="176" formatCode="0_);\(0\)"/>
    <numFmt numFmtId="177" formatCode="_(* #,##0.0_);_(* \(#,##0.0\);_(* &quot;-&quot;?_);_(@_)"/>
    <numFmt numFmtId="178" formatCode="#,##0.000000000000_);\(#,##0.000000000000\)"/>
    <numFmt numFmtId="179" formatCode="_(* #,##0_);_(* \(#,##0\);_(* &quot;-&quot;??_);_(@_)"/>
  </numFmts>
  <fonts count="106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b/>
      <sz val="12"/>
      <color theme="1"/>
      <name val="GHEA Grapalat"/>
      <family val="3"/>
    </font>
    <font>
      <sz val="8"/>
      <name val="GHEA Grapalat"/>
      <family val="2"/>
    </font>
    <font>
      <sz val="10"/>
      <name val="Arial Armenian"/>
      <family val="2"/>
    </font>
    <font>
      <b/>
      <sz val="12"/>
      <name val="GHEA Grapalat"/>
      <family val="3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2"/>
      <name val="GHEA Grapalat"/>
      <family val="3"/>
    </font>
    <font>
      <sz val="12"/>
      <color theme="1"/>
      <name val="GHEA Grapalat"/>
      <family val="3"/>
    </font>
    <font>
      <sz val="18"/>
      <name val="Times New Roman"/>
      <family val="1"/>
      <charset val="204"/>
    </font>
    <font>
      <b/>
      <sz val="13"/>
      <name val="Times New Roman"/>
      <family val="1"/>
      <charset val="204"/>
    </font>
    <font>
      <b/>
      <i/>
      <sz val="12"/>
      <name val="Times New Roman"/>
      <family val="1"/>
      <charset val="204"/>
    </font>
    <font>
      <i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11"/>
      <name val="Times New Roman"/>
      <family val="1"/>
    </font>
    <font>
      <sz val="10"/>
      <name val="Arial Cyr"/>
      <family val="2"/>
    </font>
    <font>
      <sz val="10"/>
      <name val="Arial Cyr"/>
      <family val="2"/>
      <charset val="204"/>
    </font>
    <font>
      <b/>
      <sz val="10"/>
      <color indexed="12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i/>
      <sz val="12"/>
      <name val="GHEA Grapalat"/>
      <family val="3"/>
    </font>
    <font>
      <sz val="10"/>
      <color theme="1"/>
      <name val="Arial Narrow"/>
      <family val="2"/>
    </font>
    <font>
      <b/>
      <i/>
      <sz val="12"/>
      <name val="GHEA Grapalat"/>
      <family val="3"/>
    </font>
    <font>
      <sz val="12"/>
      <name val="Calibri"/>
      <family val="2"/>
      <charset val="1"/>
      <scheme val="minor"/>
    </font>
    <font>
      <sz val="11"/>
      <name val="GHEA Grapalat"/>
      <family val="3"/>
    </font>
    <font>
      <sz val="12"/>
      <color rgb="FFFF0000"/>
      <name val="GHEA Grapalat"/>
      <family val="3"/>
    </font>
    <font>
      <b/>
      <sz val="12"/>
      <color rgb="FFFF0000"/>
      <name val="GHEA Grapalat"/>
      <family val="3"/>
    </font>
    <font>
      <sz val="8"/>
      <name val="Calibri"/>
      <family val="2"/>
      <charset val="1"/>
      <scheme val="minor"/>
    </font>
    <font>
      <i/>
      <sz val="12"/>
      <name val="Calibri"/>
      <family val="2"/>
      <charset val="1"/>
      <scheme val="minor"/>
    </font>
    <font>
      <b/>
      <sz val="12"/>
      <name val="Calibri"/>
      <family val="2"/>
    </font>
    <font>
      <sz val="11"/>
      <color rgb="FFFF0000"/>
      <name val="GHEA Grapalat"/>
      <family val="3"/>
    </font>
    <font>
      <i/>
      <sz val="11"/>
      <name val="GHEA Grapalat"/>
      <family val="3"/>
    </font>
    <font>
      <i/>
      <sz val="12"/>
      <color theme="1"/>
      <name val="GHEA Grapalat"/>
      <family val="3"/>
    </font>
    <font>
      <b/>
      <u/>
      <sz val="12"/>
      <name val="GHEA Grapalat"/>
      <family val="3"/>
    </font>
    <font>
      <b/>
      <sz val="9"/>
      <name val="GHEA Grapalat"/>
      <family val="2"/>
    </font>
    <font>
      <b/>
      <sz val="12"/>
      <color rgb="FFFF0000"/>
      <name val="Calibri"/>
      <family val="2"/>
      <charset val="1"/>
      <scheme val="minor"/>
    </font>
    <font>
      <b/>
      <i/>
      <sz val="12"/>
      <color rgb="FFFF0000"/>
      <name val="Calibri"/>
      <family val="2"/>
      <charset val="1"/>
      <scheme val="minor"/>
    </font>
    <font>
      <sz val="12"/>
      <name val="GHEA Grapalat"/>
      <family val="2"/>
    </font>
    <font>
      <b/>
      <sz val="12"/>
      <color rgb="FFED0000"/>
      <name val="GHEA Grapalat"/>
      <family val="3"/>
    </font>
    <font>
      <i/>
      <sz val="12"/>
      <color rgb="FFFF0000"/>
      <name val="GHEA Grapalat"/>
      <family val="3"/>
    </font>
    <font>
      <sz val="12"/>
      <color rgb="FFFF0000"/>
      <name val="Calibri"/>
      <family val="2"/>
      <charset val="1"/>
      <scheme val="minor"/>
    </font>
    <font>
      <sz val="12"/>
      <color rgb="FFED0000"/>
      <name val="Calibri"/>
      <family val="2"/>
      <charset val="1"/>
      <scheme val="minor"/>
    </font>
  </fonts>
  <fills count="60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7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6" tint="0.59999389629810485"/>
        <bgColor indexed="64"/>
      </patternFill>
    </fill>
  </fills>
  <borders count="41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hair">
        <color indexed="64"/>
      </left>
      <right/>
      <top style="hair">
        <color indexed="64"/>
      </top>
      <bottom style="hair">
        <color indexed="9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2032">
    <xf numFmtId="0" fontId="0" fillId="0" borderId="0"/>
    <xf numFmtId="0" fontId="8" fillId="0" borderId="0"/>
    <xf numFmtId="9" fontId="9" fillId="0" borderId="0" applyFont="0" applyFill="0" applyBorder="0" applyAlignment="0" applyProtection="0"/>
    <xf numFmtId="0" fontId="10" fillId="0" borderId="0"/>
    <xf numFmtId="0" fontId="11" fillId="0" borderId="0">
      <alignment horizontal="left" vertical="top" wrapText="1"/>
    </xf>
    <xf numFmtId="0" fontId="12" fillId="0" borderId="0"/>
    <xf numFmtId="165" fontId="14" fillId="0" borderId="0" applyFill="0" applyBorder="0" applyProtection="0">
      <alignment horizontal="right" vertical="top"/>
    </xf>
    <xf numFmtId="43" fontId="12" fillId="0" borderId="0" applyFont="0" applyFill="0" applyBorder="0" applyAlignment="0" applyProtection="0"/>
    <xf numFmtId="0" fontId="14" fillId="0" borderId="0">
      <alignment horizontal="left" vertical="top" wrapText="1"/>
    </xf>
    <xf numFmtId="0" fontId="15" fillId="0" borderId="0"/>
    <xf numFmtId="43" fontId="15" fillId="0" borderId="0" applyFont="0" applyFill="0" applyBorder="0" applyAlignment="0" applyProtection="0"/>
    <xf numFmtId="0" fontId="17" fillId="0" borderId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1" fillId="3" borderId="0" applyNumberFormat="0" applyBorder="0" applyAlignment="0" applyProtection="0"/>
    <xf numFmtId="0" fontId="22" fillId="4" borderId="0" applyNumberFormat="0" applyBorder="0" applyAlignment="0" applyProtection="0"/>
    <xf numFmtId="0" fontId="23" fillId="5" borderId="0" applyNumberFormat="0" applyBorder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7" fillId="0" borderId="8" applyNumberFormat="0" applyFill="0" applyAlignment="0" applyProtection="0"/>
    <xf numFmtId="0" fontId="28" fillId="8" borderId="9" applyNumberFormat="0" applyAlignment="0" applyProtection="0"/>
    <xf numFmtId="0" fontId="29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3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2" fillId="10" borderId="0" applyNumberFormat="0" applyBorder="0" applyAlignment="0" applyProtection="0"/>
    <xf numFmtId="0" fontId="7" fillId="11" borderId="0" applyNumberFormat="0" applyBorder="0" applyAlignment="0" applyProtection="0"/>
    <xf numFmtId="0" fontId="7" fillId="12" borderId="0" applyNumberFormat="0" applyBorder="0" applyAlignment="0" applyProtection="0"/>
    <xf numFmtId="0" fontId="32" fillId="13" borderId="0" applyNumberFormat="0" applyBorder="0" applyAlignment="0" applyProtection="0"/>
    <xf numFmtId="0" fontId="32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32" fillId="17" borderId="0" applyNumberFormat="0" applyBorder="0" applyAlignment="0" applyProtection="0"/>
    <xf numFmtId="0" fontId="32" fillId="18" borderId="0" applyNumberFormat="0" applyBorder="0" applyAlignment="0" applyProtection="0"/>
    <xf numFmtId="0" fontId="7" fillId="19" borderId="0" applyNumberFormat="0" applyBorder="0" applyAlignment="0" applyProtection="0"/>
    <xf numFmtId="0" fontId="7" fillId="20" borderId="0" applyNumberFormat="0" applyBorder="0" applyAlignment="0" applyProtection="0"/>
    <xf numFmtId="0" fontId="32" fillId="21" borderId="0" applyNumberFormat="0" applyBorder="0" applyAlignment="0" applyProtection="0"/>
    <xf numFmtId="0" fontId="32" fillId="22" borderId="0" applyNumberFormat="0" applyBorder="0" applyAlignment="0" applyProtection="0"/>
    <xf numFmtId="0" fontId="7" fillId="23" borderId="0" applyNumberFormat="0" applyBorder="0" applyAlignment="0" applyProtection="0"/>
    <xf numFmtId="0" fontId="7" fillId="24" borderId="0" applyNumberFormat="0" applyBorder="0" applyAlignment="0" applyProtection="0"/>
    <xf numFmtId="0" fontId="32" fillId="25" borderId="0" applyNumberFormat="0" applyBorder="0" applyAlignment="0" applyProtection="0"/>
    <xf numFmtId="0" fontId="32" fillId="26" borderId="0" applyNumberFormat="0" applyBorder="0" applyAlignment="0" applyProtection="0"/>
    <xf numFmtId="0" fontId="7" fillId="27" borderId="0" applyNumberFormat="0" applyBorder="0" applyAlignment="0" applyProtection="0"/>
    <xf numFmtId="0" fontId="7" fillId="28" borderId="0" applyNumberFormat="0" applyBorder="0" applyAlignment="0" applyProtection="0"/>
    <xf numFmtId="0" fontId="32" fillId="29" borderId="0" applyNumberFormat="0" applyBorder="0" applyAlignment="0" applyProtection="0"/>
    <xf numFmtId="0" fontId="32" fillId="30" borderId="0" applyNumberFormat="0" applyBorder="0" applyAlignment="0" applyProtection="0"/>
    <xf numFmtId="0" fontId="7" fillId="31" borderId="0" applyNumberFormat="0" applyBorder="0" applyAlignment="0" applyProtection="0"/>
    <xf numFmtId="0" fontId="7" fillId="32" borderId="0" applyNumberFormat="0" applyBorder="0" applyAlignment="0" applyProtection="0"/>
    <xf numFmtId="0" fontId="32" fillId="33" borderId="0" applyNumberFormat="0" applyBorder="0" applyAlignment="0" applyProtection="0"/>
    <xf numFmtId="0" fontId="33" fillId="0" borderId="0" applyNumberFormat="0" applyFill="0" applyBorder="0" applyAlignment="0" applyProtection="0"/>
    <xf numFmtId="0" fontId="34" fillId="14" borderId="0" applyNumberFormat="0" applyBorder="0" applyAlignment="0" applyProtection="0"/>
    <xf numFmtId="0" fontId="7" fillId="9" borderId="10" applyNumberFormat="0" applyFont="0" applyAlignment="0" applyProtection="0"/>
    <xf numFmtId="0" fontId="34" fillId="33" borderId="0" applyNumberFormat="0" applyBorder="0" applyAlignment="0" applyProtection="0"/>
    <xf numFmtId="0" fontId="34" fillId="21" borderId="0" applyNumberFormat="0" applyBorder="0" applyAlignment="0" applyProtection="0"/>
    <xf numFmtId="0" fontId="34" fillId="10" borderId="0" applyNumberFormat="0" applyBorder="0" applyAlignment="0" applyProtection="0"/>
    <xf numFmtId="0" fontId="34" fillId="30" borderId="0" applyNumberFormat="0" applyBorder="0" applyAlignment="0" applyProtection="0"/>
    <xf numFmtId="0" fontId="12" fillId="31" borderId="0" applyNumberFormat="0" applyBorder="0" applyAlignment="0" applyProtection="0"/>
    <xf numFmtId="0" fontId="12" fillId="32" borderId="0" applyNumberFormat="0" applyBorder="0" applyAlignment="0" applyProtection="0"/>
    <xf numFmtId="0" fontId="12" fillId="16" borderId="0" applyNumberFormat="0" applyBorder="0" applyAlignment="0" applyProtection="0"/>
    <xf numFmtId="0" fontId="34" fillId="17" borderId="0" applyNumberFormat="0" applyBorder="0" applyAlignment="0" applyProtection="0"/>
    <xf numFmtId="0" fontId="42" fillId="0" borderId="0" applyNumberFormat="0" applyFill="0" applyBorder="0" applyAlignment="0" applyProtection="0"/>
    <xf numFmtId="0" fontId="34" fillId="13" borderId="0" applyNumberFormat="0" applyBorder="0" applyAlignment="0" applyProtection="0"/>
    <xf numFmtId="0" fontId="40" fillId="0" borderId="3" applyNumberFormat="0" applyFill="0" applyAlignment="0" applyProtection="0"/>
    <xf numFmtId="0" fontId="34" fillId="25" borderId="0" applyNumberFormat="0" applyBorder="0" applyAlignment="0" applyProtection="0"/>
    <xf numFmtId="0" fontId="42" fillId="0" borderId="5" applyNumberFormat="0" applyFill="0" applyAlignment="0" applyProtection="0"/>
    <xf numFmtId="0" fontId="49" fillId="0" borderId="0" applyNumberFormat="0" applyFill="0" applyBorder="0" applyAlignment="0" applyProtection="0"/>
    <xf numFmtId="0" fontId="12" fillId="11" borderId="0" applyNumberFormat="0" applyBorder="0" applyAlignment="0" applyProtection="0"/>
    <xf numFmtId="0" fontId="44" fillId="0" borderId="8" applyNumberFormat="0" applyFill="0" applyAlignment="0" applyProtection="0"/>
    <xf numFmtId="0" fontId="12" fillId="19" borderId="0" applyNumberFormat="0" applyBorder="0" applyAlignment="0" applyProtection="0"/>
    <xf numFmtId="0" fontId="12" fillId="15" borderId="0" applyNumberFormat="0" applyBorder="0" applyAlignment="0" applyProtection="0"/>
    <xf numFmtId="0" fontId="34" fillId="29" borderId="0" applyNumberFormat="0" applyBorder="0" applyAlignment="0" applyProtection="0"/>
    <xf numFmtId="0" fontId="38" fillId="0" borderId="0" applyNumberFormat="0" applyFill="0" applyBorder="0" applyAlignment="0" applyProtection="0"/>
    <xf numFmtId="0" fontId="34" fillId="22" borderId="0" applyNumberFormat="0" applyBorder="0" applyAlignment="0" applyProtection="0"/>
    <xf numFmtId="0" fontId="45" fillId="5" borderId="0" applyNumberFormat="0" applyBorder="0" applyAlignment="0" applyProtection="0"/>
    <xf numFmtId="0" fontId="12" fillId="28" borderId="0" applyNumberFormat="0" applyBorder="0" applyAlignment="0" applyProtection="0"/>
    <xf numFmtId="0" fontId="12" fillId="24" borderId="0" applyNumberFormat="0" applyBorder="0" applyAlignment="0" applyProtection="0"/>
    <xf numFmtId="0" fontId="36" fillId="7" borderId="6" applyNumberFormat="0" applyAlignment="0" applyProtection="0"/>
    <xf numFmtId="0" fontId="39" fillId="3" borderId="0" applyNumberFormat="0" applyBorder="0" applyAlignment="0" applyProtection="0"/>
    <xf numFmtId="0" fontId="46" fillId="7" borderId="7" applyNumberFormat="0" applyAlignment="0" applyProtection="0"/>
    <xf numFmtId="0" fontId="43" fillId="6" borderId="6" applyNumberFormat="0" applyAlignment="0" applyProtection="0"/>
    <xf numFmtId="0" fontId="41" fillId="0" borderId="4" applyNumberFormat="0" applyFill="0" applyAlignment="0" applyProtection="0"/>
    <xf numFmtId="0" fontId="47" fillId="0" borderId="0" applyNumberFormat="0" applyFill="0" applyBorder="0" applyAlignment="0" applyProtection="0"/>
    <xf numFmtId="0" fontId="34" fillId="26" borderId="0" applyNumberFormat="0" applyBorder="0" applyAlignment="0" applyProtection="0"/>
    <xf numFmtId="0" fontId="37" fillId="8" borderId="9" applyNumberFormat="0" applyAlignment="0" applyProtection="0"/>
    <xf numFmtId="0" fontId="12" fillId="20" borderId="0" applyNumberFormat="0" applyBorder="0" applyAlignment="0" applyProtection="0"/>
    <xf numFmtId="0" fontId="12" fillId="23" borderId="0" applyNumberFormat="0" applyBorder="0" applyAlignment="0" applyProtection="0"/>
    <xf numFmtId="0" fontId="48" fillId="0" borderId="11" applyNumberFormat="0" applyFill="0" applyAlignment="0" applyProtection="0"/>
    <xf numFmtId="0" fontId="34" fillId="18" borderId="0" applyNumberFormat="0" applyBorder="0" applyAlignment="0" applyProtection="0"/>
    <xf numFmtId="0" fontId="12" fillId="27" borderId="0" applyNumberFormat="0" applyBorder="0" applyAlignment="0" applyProtection="0"/>
    <xf numFmtId="0" fontId="35" fillId="4" borderId="0" applyNumberFormat="0" applyBorder="0" applyAlignment="0" applyProtection="0"/>
    <xf numFmtId="0" fontId="12" fillId="12" borderId="0" applyNumberFormat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0" fontId="15" fillId="0" borderId="0"/>
    <xf numFmtId="9" fontId="15" fillId="0" borderId="0" applyFont="0" applyFill="0" applyBorder="0" applyAlignment="0" applyProtection="0"/>
    <xf numFmtId="0" fontId="17" fillId="0" borderId="0"/>
    <xf numFmtId="43" fontId="17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0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51" fillId="0" borderId="0"/>
    <xf numFmtId="0" fontId="52" fillId="5" borderId="0" applyNumberFormat="0" applyBorder="0" applyAlignment="0" applyProtection="0"/>
    <xf numFmtId="0" fontId="17" fillId="0" borderId="0"/>
    <xf numFmtId="0" fontId="10" fillId="0" borderId="0"/>
    <xf numFmtId="0" fontId="50" fillId="34" borderId="0" applyNumberFormat="0" applyBorder="0" applyAlignment="0" applyProtection="0"/>
    <xf numFmtId="0" fontId="50" fillId="35" borderId="0" applyNumberFormat="0" applyBorder="0" applyAlignment="0" applyProtection="0"/>
    <xf numFmtId="0" fontId="50" fillId="36" borderId="0" applyNumberFormat="0" applyBorder="0" applyAlignment="0" applyProtection="0"/>
    <xf numFmtId="0" fontId="50" fillId="37" borderId="0" applyNumberFormat="0" applyBorder="0" applyAlignment="0" applyProtection="0"/>
    <xf numFmtId="0" fontId="50" fillId="41" borderId="0" applyNumberFormat="0" applyBorder="0" applyAlignment="0" applyProtection="0"/>
    <xf numFmtId="0" fontId="50" fillId="42" borderId="0" applyNumberFormat="0" applyBorder="0" applyAlignment="0" applyProtection="0"/>
    <xf numFmtId="0" fontId="50" fillId="43" borderId="0" applyNumberFormat="0" applyBorder="0" applyAlignment="0" applyProtection="0"/>
    <xf numFmtId="0" fontId="50" fillId="44" borderId="0" applyNumberFormat="0" applyBorder="0" applyAlignment="0" applyProtection="0"/>
    <xf numFmtId="0" fontId="50" fillId="38" borderId="0" applyNumberFormat="0" applyBorder="0" applyAlignment="0" applyProtection="0"/>
    <xf numFmtId="0" fontId="50" fillId="37" borderId="0" applyNumberFormat="0" applyBorder="0" applyAlignment="0" applyProtection="0"/>
    <xf numFmtId="0" fontId="50" fillId="43" borderId="0" applyNumberFormat="0" applyBorder="0" applyAlignment="0" applyProtection="0"/>
    <xf numFmtId="0" fontId="50" fillId="45" borderId="0" applyNumberFormat="0" applyBorder="0" applyAlignment="0" applyProtection="0"/>
    <xf numFmtId="0" fontId="53" fillId="46" borderId="0" applyNumberFormat="0" applyBorder="0" applyAlignment="0" applyProtection="0"/>
    <xf numFmtId="0" fontId="53" fillId="44" borderId="0" applyNumberFormat="0" applyBorder="0" applyAlignment="0" applyProtection="0"/>
    <xf numFmtId="0" fontId="53" fillId="38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40" borderId="0" applyNumberFormat="0" applyBorder="0" applyAlignment="0" applyProtection="0"/>
    <xf numFmtId="0" fontId="53" fillId="48" borderId="0" applyNumberFormat="0" applyBorder="0" applyAlignment="0" applyProtection="0"/>
    <xf numFmtId="0" fontId="53" fillId="49" borderId="0" applyNumberFormat="0" applyBorder="0" applyAlignment="0" applyProtection="0"/>
    <xf numFmtId="0" fontId="53" fillId="50" borderId="0" applyNumberFormat="0" applyBorder="0" applyAlignment="0" applyProtection="0"/>
    <xf numFmtId="0" fontId="53" fillId="39" borderId="0" applyNumberFormat="0" applyBorder="0" applyAlignment="0" applyProtection="0"/>
    <xf numFmtId="0" fontId="53" fillId="47" borderId="0" applyNumberFormat="0" applyBorder="0" applyAlignment="0" applyProtection="0"/>
    <xf numFmtId="0" fontId="53" fillId="51" borderId="0" applyNumberFormat="0" applyBorder="0" applyAlignment="0" applyProtection="0"/>
    <xf numFmtId="0" fontId="54" fillId="35" borderId="0" applyNumberFormat="0" applyBorder="0" applyAlignment="0" applyProtection="0"/>
    <xf numFmtId="0" fontId="55" fillId="52" borderId="12" applyNumberFormat="0" applyAlignment="0" applyProtection="0"/>
    <xf numFmtId="0" fontId="56" fillId="53" borderId="13" applyNumberFormat="0" applyAlignment="0" applyProtection="0"/>
    <xf numFmtId="43" fontId="15" fillId="0" borderId="0" applyFont="0" applyFill="0" applyBorder="0" applyAlignment="0" applyProtection="0"/>
    <xf numFmtId="43" fontId="6" fillId="0" borderId="0" applyFont="0" applyFill="0" applyBorder="0" applyAlignment="0" applyProtection="0"/>
    <xf numFmtId="0" fontId="57" fillId="0" borderId="0" applyNumberFormat="0" applyFill="0" applyBorder="0" applyAlignment="0" applyProtection="0"/>
    <xf numFmtId="0" fontId="58" fillId="36" borderId="0" applyNumberFormat="0" applyBorder="0" applyAlignment="0" applyProtection="0"/>
    <xf numFmtId="0" fontId="59" fillId="0" borderId="14" applyNumberFormat="0" applyFill="0" applyAlignment="0" applyProtection="0"/>
    <xf numFmtId="0" fontId="60" fillId="0" borderId="15" applyNumberFormat="0" applyFill="0" applyAlignment="0" applyProtection="0"/>
    <xf numFmtId="0" fontId="61" fillId="0" borderId="16" applyNumberFormat="0" applyFill="0" applyAlignment="0" applyProtection="0"/>
    <xf numFmtId="0" fontId="61" fillId="0" borderId="0" applyNumberFormat="0" applyFill="0" applyBorder="0" applyAlignment="0" applyProtection="0"/>
    <xf numFmtId="0" fontId="62" fillId="42" borderId="12" applyNumberFormat="0" applyAlignment="0" applyProtection="0"/>
    <xf numFmtId="0" fontId="63" fillId="0" borderId="17" applyNumberFormat="0" applyFill="0" applyAlignment="0" applyProtection="0"/>
    <xf numFmtId="0" fontId="64" fillId="54" borderId="0" applyNumberFormat="0" applyBorder="0" applyAlignment="0" applyProtection="0"/>
    <xf numFmtId="1" fontId="70" fillId="0" borderId="0"/>
    <xf numFmtId="1" fontId="70" fillId="0" borderId="0"/>
    <xf numFmtId="1" fontId="70" fillId="0" borderId="0"/>
    <xf numFmtId="0" fontId="6" fillId="0" borderId="0"/>
    <xf numFmtId="0" fontId="10" fillId="0" borderId="0"/>
    <xf numFmtId="0" fontId="10" fillId="0" borderId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9" fillId="0" borderId="0"/>
    <xf numFmtId="0" fontId="69" fillId="0" borderId="0"/>
    <xf numFmtId="0" fontId="69" fillId="0" borderId="0"/>
    <xf numFmtId="0" fontId="66" fillId="0" borderId="0" applyNumberFormat="0" applyFill="0" applyBorder="0" applyAlignment="0" applyProtection="0"/>
    <xf numFmtId="0" fontId="67" fillId="0" borderId="20" applyNumberFormat="0" applyFill="0" applyAlignment="0" applyProtection="0"/>
    <xf numFmtId="0" fontId="68" fillId="0" borderId="0" applyNumberFormat="0" applyFill="0" applyBorder="0" applyAlignment="0" applyProtection="0"/>
    <xf numFmtId="0" fontId="51" fillId="0" borderId="0"/>
    <xf numFmtId="1" fontId="70" fillId="0" borderId="0"/>
    <xf numFmtId="0" fontId="71" fillId="0" borderId="0"/>
    <xf numFmtId="0" fontId="10" fillId="0" borderId="0"/>
    <xf numFmtId="0" fontId="6" fillId="0" borderId="0"/>
    <xf numFmtId="0" fontId="14" fillId="0" borderId="0">
      <alignment horizontal="left" vertical="top" wrapText="1"/>
    </xf>
    <xf numFmtId="0" fontId="5" fillId="9" borderId="10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69" fillId="0" borderId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3" fillId="9" borderId="10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2" fillId="0" borderId="0"/>
    <xf numFmtId="0" fontId="2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17" fillId="0" borderId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51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0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2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3" fontId="51" fillId="0" borderId="0" applyFont="0" applyFill="0" applyBorder="0" applyAlignment="0" applyProtection="0"/>
    <xf numFmtId="38" fontId="74" fillId="0" borderId="0"/>
    <xf numFmtId="38" fontId="75" fillId="0" borderId="0"/>
    <xf numFmtId="38" fontId="76" fillId="0" borderId="0"/>
    <xf numFmtId="38" fontId="77" fillId="0" borderId="0"/>
    <xf numFmtId="0" fontId="78" fillId="0" borderId="0"/>
    <xf numFmtId="0" fontId="78" fillId="0" borderId="0"/>
    <xf numFmtId="0" fontId="79" fillId="0" borderId="0"/>
    <xf numFmtId="0" fontId="51" fillId="0" borderId="0"/>
    <xf numFmtId="0" fontId="17" fillId="0" borderId="0"/>
    <xf numFmtId="0" fontId="10" fillId="0" borderId="0"/>
    <xf numFmtId="0" fontId="10" fillId="0" borderId="0"/>
    <xf numFmtId="0" fontId="10" fillId="0" borderId="0"/>
    <xf numFmtId="0" fontId="51" fillId="0" borderId="0"/>
    <xf numFmtId="0" fontId="15" fillId="0" borderId="0"/>
    <xf numFmtId="0" fontId="8" fillId="0" borderId="0"/>
    <xf numFmtId="0" fontId="15" fillId="0" borderId="0"/>
    <xf numFmtId="0" fontId="15" fillId="0" borderId="0"/>
    <xf numFmtId="0" fontId="80" fillId="0" borderId="0"/>
    <xf numFmtId="0" fontId="10" fillId="0" borderId="0"/>
    <xf numFmtId="0" fontId="12" fillId="0" borderId="0"/>
    <xf numFmtId="0" fontId="10" fillId="0" borderId="0"/>
    <xf numFmtId="0" fontId="15" fillId="0" borderId="0"/>
    <xf numFmtId="0" fontId="10" fillId="0" borderId="0"/>
    <xf numFmtId="0" fontId="17" fillId="0" borderId="0"/>
    <xf numFmtId="0" fontId="51" fillId="0" borderId="0"/>
    <xf numFmtId="0" fontId="80" fillId="0" borderId="0"/>
    <xf numFmtId="0" fontId="50" fillId="55" borderId="24" applyNumberFormat="0" applyFont="0" applyAlignment="0" applyProtection="0"/>
    <xf numFmtId="9" fontId="51" fillId="0" borderId="0" applyFont="0" applyFill="0" applyBorder="0" applyAlignment="0" applyProtection="0"/>
    <xf numFmtId="9" fontId="15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9" fontId="10" fillId="0" borderId="0" applyFont="0" applyFill="0" applyBorder="0" applyAlignment="0" applyProtection="0"/>
    <xf numFmtId="172" fontId="81" fillId="0" borderId="25">
      <protection locked="0"/>
    </xf>
    <xf numFmtId="172" fontId="82" fillId="56" borderId="25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50" fillId="0" borderId="0"/>
    <xf numFmtId="0" fontId="10" fillId="0" borderId="0"/>
    <xf numFmtId="0" fontId="50" fillId="0" borderId="0"/>
    <xf numFmtId="0" fontId="14" fillId="0" borderId="0">
      <alignment horizontal="left" vertical="top" wrapText="1"/>
    </xf>
    <xf numFmtId="0" fontId="69" fillId="0" borderId="0"/>
    <xf numFmtId="43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0" fontId="83" fillId="0" borderId="0"/>
    <xf numFmtId="43" fontId="12" fillId="0" borderId="0" applyFont="0" applyFill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1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5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19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3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27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31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2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16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0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4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28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1" fillId="32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3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17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1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5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29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32" fillId="33" borderId="0" applyNumberFormat="0" applyBorder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55" fillId="5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62" fillId="42" borderId="12" applyNumberForma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15" fillId="55" borderId="18" applyNumberFormat="0" applyFon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5" fillId="52" borderId="19" applyNumberFormat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67" fillId="0" borderId="20" applyNumberFormat="0" applyFill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0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4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18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2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26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32" fillId="30" borderId="0" applyNumberFormat="0" applyBorder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4" fillId="6" borderId="6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5" fillId="7" borderId="7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26" fillId="7" borderId="6" applyNumberFormat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19" fillId="0" borderId="4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5" applyNumberFormat="0" applyFill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20" fillId="0" borderId="0" applyNumberFormat="0" applyFill="0" applyBorder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31" fillId="0" borderId="11" applyNumberFormat="0" applyFill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8" fillId="8" borderId="9" applyNumberFormat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23" fillId="5" borderId="0" applyNumberFormat="0" applyBorder="0" applyAlignment="0" applyProtection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0" fillId="0" borderId="0"/>
    <xf numFmtId="0" fontId="10" fillId="0" borderId="0"/>
    <xf numFmtId="0" fontId="10" fillId="0" borderId="0"/>
    <xf numFmtId="0" fontId="10" fillId="0" borderId="0"/>
    <xf numFmtId="0" fontId="1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1" fontId="70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50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4" fillId="0" borderId="0">
      <alignment horizontal="left" vertical="top" wrapText="1"/>
    </xf>
    <xf numFmtId="0" fontId="12" fillId="0" borderId="0"/>
    <xf numFmtId="0" fontId="12" fillId="0" borderId="0"/>
    <xf numFmtId="0" fontId="12" fillId="0" borderId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22" fillId="4" borderId="0" applyNumberFormat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30" fillId="0" borderId="0" applyNumberFormat="0" applyFill="0" applyBorder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12" fillId="9" borderId="10" applyNumberFormat="0" applyFont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7" fillId="0" borderId="8" applyNumberFormat="0" applyFill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0" fontId="29" fillId="0" borderId="0" applyNumberForma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70" fontId="15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0" fontId="21" fillId="3" borderId="0" applyNumberFormat="0" applyBorder="0" applyAlignment="0" applyProtection="0"/>
    <xf numFmtId="43" fontId="14" fillId="0" borderId="0" applyFont="0" applyFill="0" applyBorder="0" applyAlignment="0" applyProtection="0"/>
    <xf numFmtId="43" fontId="15" fillId="0" borderId="0" applyFont="0" applyFill="0" applyBorder="0" applyAlignment="0" applyProtection="0"/>
    <xf numFmtId="43" fontId="17" fillId="0" borderId="0" applyFont="0" applyFill="0" applyBorder="0" applyAlignment="0" applyProtection="0"/>
    <xf numFmtId="0" fontId="14" fillId="0" borderId="0">
      <alignment horizontal="left" vertical="top" wrapText="1"/>
    </xf>
    <xf numFmtId="0" fontId="85" fillId="0" borderId="0"/>
    <xf numFmtId="43" fontId="85" fillId="0" borderId="0" applyFont="0" applyFill="0" applyBorder="0" applyAlignment="0" applyProtection="0"/>
    <xf numFmtId="174" fontId="83" fillId="0" borderId="0" applyFont="0" applyFill="0" applyBorder="0" applyAlignment="0" applyProtection="0"/>
    <xf numFmtId="0" fontId="12" fillId="0" borderId="0"/>
    <xf numFmtId="9" fontId="83" fillId="0" borderId="0" applyFont="0" applyFill="0" applyBorder="0" applyAlignment="0" applyProtection="0"/>
    <xf numFmtId="43" fontId="12" fillId="0" borderId="0" applyFont="0" applyFill="0" applyBorder="0" applyAlignment="0" applyProtection="0"/>
    <xf numFmtId="165" fontId="98" fillId="0" borderId="0" applyFill="0" applyBorder="0" applyProtection="0">
      <alignment horizontal="right" vertical="top"/>
    </xf>
  </cellStyleXfs>
  <cellXfs count="585">
    <xf numFmtId="0" fontId="0" fillId="0" borderId="0" xfId="0"/>
    <xf numFmtId="0" fontId="73" fillId="2" borderId="0" xfId="0" applyFont="1" applyFill="1"/>
    <xf numFmtId="169" fontId="16" fillId="2" borderId="21" xfId="7" applyNumberFormat="1" applyFont="1" applyFill="1" applyBorder="1" applyAlignment="1">
      <alignment horizontal="center" vertical="center" wrapText="1"/>
    </xf>
    <xf numFmtId="0" fontId="72" fillId="2" borderId="0" xfId="0" applyFont="1" applyFill="1"/>
    <xf numFmtId="0" fontId="16" fillId="2" borderId="21" xfId="0" applyFont="1" applyFill="1" applyBorder="1" applyAlignment="1">
      <alignment horizontal="left" vertical="top" wrapText="1"/>
    </xf>
    <xf numFmtId="166" fontId="72" fillId="2" borderId="21" xfId="7" applyNumberFormat="1" applyFont="1" applyFill="1" applyBorder="1" applyAlignment="1">
      <alignment horizontal="center" vertical="center" wrapText="1"/>
    </xf>
    <xf numFmtId="169" fontId="72" fillId="2" borderId="21" xfId="7" applyNumberFormat="1" applyFont="1" applyFill="1" applyBorder="1" applyAlignment="1">
      <alignment horizontal="center" vertical="center" wrapText="1"/>
    </xf>
    <xf numFmtId="166" fontId="72" fillId="2" borderId="21" xfId="7" applyNumberFormat="1" applyFont="1" applyFill="1" applyBorder="1" applyAlignment="1">
      <alignment horizontal="right" vertical="center" wrapText="1"/>
    </xf>
    <xf numFmtId="169" fontId="16" fillId="2" borderId="21" xfId="7" applyNumberFormat="1" applyFont="1" applyFill="1" applyBorder="1" applyAlignment="1">
      <alignment horizontal="center" vertical="top" wrapText="1"/>
    </xf>
    <xf numFmtId="0" fontId="72" fillId="2" borderId="21" xfId="0" applyFont="1" applyFill="1" applyBorder="1" applyAlignment="1">
      <alignment horizontal="left" vertical="top" wrapText="1"/>
    </xf>
    <xf numFmtId="0" fontId="72" fillId="2" borderId="0" xfId="0" applyFont="1" applyFill="1" applyAlignment="1">
      <alignment horizontal="left" vertical="top" wrapText="1"/>
    </xf>
    <xf numFmtId="43" fontId="72" fillId="2" borderId="21" xfId="7" applyFont="1" applyFill="1" applyBorder="1" applyAlignment="1">
      <alignment horizontal="center" vertical="center" wrapText="1"/>
    </xf>
    <xf numFmtId="169" fontId="16" fillId="2" borderId="21" xfId="7" applyNumberFormat="1" applyFont="1" applyFill="1" applyBorder="1" applyAlignment="1">
      <alignment horizontal="right" vertical="center" wrapText="1"/>
    </xf>
    <xf numFmtId="0" fontId="84" fillId="2" borderId="0" xfId="0" applyFont="1" applyFill="1" applyAlignment="1">
      <alignment horizontal="left" vertical="top" wrapText="1"/>
    </xf>
    <xf numFmtId="167" fontId="72" fillId="2" borderId="0" xfId="0" applyNumberFormat="1" applyFont="1" applyFill="1" applyAlignment="1">
      <alignment horizontal="left" vertical="top" wrapText="1"/>
    </xf>
    <xf numFmtId="0" fontId="16" fillId="2" borderId="21" xfId="0" applyFont="1" applyFill="1" applyBorder="1" applyAlignment="1">
      <alignment horizontal="center" vertical="top" wrapText="1"/>
    </xf>
    <xf numFmtId="0" fontId="16" fillId="2" borderId="26" xfId="0" applyFont="1" applyFill="1" applyBorder="1" applyAlignment="1">
      <alignment horizontal="left" vertical="top" wrapText="1"/>
    </xf>
    <xf numFmtId="0" fontId="72" fillId="2" borderId="26" xfId="0" applyFont="1" applyFill="1" applyBorder="1" applyAlignment="1">
      <alignment horizontal="left" vertical="top" wrapText="1"/>
    </xf>
    <xf numFmtId="0" fontId="72" fillId="2" borderId="26" xfId="0" applyFont="1" applyFill="1" applyBorder="1" applyAlignment="1">
      <alignment horizontal="left" vertical="center" wrapText="1"/>
    </xf>
    <xf numFmtId="0" fontId="72" fillId="2" borderId="0" xfId="0" applyFont="1" applyFill="1" applyAlignment="1">
      <alignment vertical="center"/>
    </xf>
    <xf numFmtId="0" fontId="72" fillId="2" borderId="0" xfId="0" applyFont="1" applyFill="1" applyAlignment="1">
      <alignment horizontal="right"/>
    </xf>
    <xf numFmtId="0" fontId="72" fillId="2" borderId="0" xfId="299" applyFont="1" applyFill="1"/>
    <xf numFmtId="0" fontId="72" fillId="2" borderId="0" xfId="299" applyFont="1" applyFill="1" applyAlignment="1">
      <alignment horizontal="left" vertical="center" wrapText="1"/>
    </xf>
    <xf numFmtId="0" fontId="87" fillId="2" borderId="0" xfId="0" applyFont="1" applyFill="1"/>
    <xf numFmtId="49" fontId="72" fillId="2" borderId="26" xfId="0" applyNumberFormat="1" applyFont="1" applyFill="1" applyBorder="1" applyAlignment="1">
      <alignment horizontal="left" vertical="top" wrapText="1"/>
    </xf>
    <xf numFmtId="0" fontId="72" fillId="2" borderId="22" xfId="0" applyFont="1" applyFill="1" applyBorder="1" applyAlignment="1">
      <alignment vertical="top" wrapText="1"/>
    </xf>
    <xf numFmtId="0" fontId="72" fillId="2" borderId="1" xfId="0" applyFont="1" applyFill="1" applyBorder="1" applyAlignment="1">
      <alignment vertical="top" wrapText="1"/>
    </xf>
    <xf numFmtId="166" fontId="72" fillId="2" borderId="26" xfId="7" applyNumberFormat="1" applyFont="1" applyFill="1" applyBorder="1" applyAlignment="1">
      <alignment horizontal="right" vertical="center" wrapText="1"/>
    </xf>
    <xf numFmtId="0" fontId="16" fillId="2" borderId="22" xfId="0" applyFont="1" applyFill="1" applyBorder="1" applyAlignment="1">
      <alignment vertical="center" wrapText="1"/>
    </xf>
    <xf numFmtId="0" fontId="16" fillId="2" borderId="1" xfId="0" applyFont="1" applyFill="1" applyBorder="1" applyAlignment="1">
      <alignment vertical="center" wrapText="1"/>
    </xf>
    <xf numFmtId="0" fontId="16" fillId="2" borderId="2" xfId="0" applyFont="1" applyFill="1" applyBorder="1" applyAlignment="1">
      <alignment vertical="center" wrapText="1"/>
    </xf>
    <xf numFmtId="0" fontId="72" fillId="2" borderId="2" xfId="0" applyFont="1" applyFill="1" applyBorder="1" applyAlignment="1">
      <alignment vertical="top" wrapText="1"/>
    </xf>
    <xf numFmtId="169" fontId="84" fillId="2" borderId="21" xfId="7" applyNumberFormat="1" applyFont="1" applyFill="1" applyBorder="1" applyAlignment="1">
      <alignment horizontal="right" vertical="center" wrapText="1"/>
    </xf>
    <xf numFmtId="169" fontId="72" fillId="2" borderId="21" xfId="7" applyNumberFormat="1" applyFont="1" applyFill="1" applyBorder="1" applyAlignment="1">
      <alignment horizontal="right" vertical="center" wrapText="1"/>
    </xf>
    <xf numFmtId="0" fontId="72" fillId="2" borderId="0" xfId="299" applyFont="1" applyFill="1" applyAlignment="1">
      <alignment vertical="center"/>
    </xf>
    <xf numFmtId="0" fontId="72" fillId="2" borderId="0" xfId="0" applyFont="1" applyFill="1" applyAlignment="1">
      <alignment horizontal="left"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top" wrapText="1"/>
    </xf>
    <xf numFmtId="169" fontId="16" fillId="2" borderId="32" xfId="7" applyNumberFormat="1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left" vertical="top" wrapText="1"/>
    </xf>
    <xf numFmtId="0" fontId="16" fillId="2" borderId="32" xfId="0" applyFont="1" applyFill="1" applyBorder="1" applyAlignment="1">
      <alignment horizontal="left" vertical="center" wrapText="1"/>
    </xf>
    <xf numFmtId="0" fontId="88" fillId="2" borderId="32" xfId="0" applyFont="1" applyFill="1" applyBorder="1"/>
    <xf numFmtId="0" fontId="86" fillId="2" borderId="23" xfId="96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left" vertical="center" wrapText="1"/>
    </xf>
    <xf numFmtId="169" fontId="72" fillId="2" borderId="32" xfId="7" applyNumberFormat="1" applyFont="1" applyFill="1" applyBorder="1" applyAlignment="1">
      <alignment horizontal="center" vertical="center" wrapText="1"/>
    </xf>
    <xf numFmtId="0" fontId="84" fillId="2" borderId="32" xfId="165" applyFont="1" applyFill="1" applyBorder="1">
      <alignment horizontal="left" vertical="top" wrapText="1"/>
    </xf>
    <xf numFmtId="0" fontId="16" fillId="2" borderId="32" xfId="0" applyFont="1" applyFill="1" applyBorder="1" applyAlignment="1">
      <alignment horizontal="center" vertical="center" wrapText="1"/>
    </xf>
    <xf numFmtId="0" fontId="72" fillId="0" borderId="32" xfId="0" applyFont="1" applyBorder="1" applyAlignment="1">
      <alignment horizontal="left" vertical="top" wrapText="1"/>
    </xf>
    <xf numFmtId="0" fontId="72" fillId="2" borderId="32" xfId="0" applyFont="1" applyFill="1" applyBorder="1" applyAlignment="1">
      <alignment vertical="center" wrapText="1"/>
    </xf>
    <xf numFmtId="0" fontId="16" fillId="2" borderId="32" xfId="0" applyFont="1" applyFill="1" applyBorder="1" applyAlignment="1">
      <alignment horizontal="center"/>
    </xf>
    <xf numFmtId="0" fontId="89" fillId="2" borderId="0" xfId="253" applyFont="1" applyFill="1"/>
    <xf numFmtId="166" fontId="84" fillId="2" borderId="32" xfId="223" applyNumberFormat="1" applyFont="1" applyFill="1" applyBorder="1" applyAlignment="1">
      <alignment vertical="center"/>
    </xf>
    <xf numFmtId="0" fontId="72" fillId="2" borderId="32" xfId="96" applyFont="1" applyFill="1" applyBorder="1" applyAlignment="1">
      <alignment horizontal="center" vertical="center" wrapText="1"/>
    </xf>
    <xf numFmtId="165" fontId="72" fillId="2" borderId="32" xfId="6" applyFont="1" applyFill="1" applyBorder="1" applyAlignment="1">
      <alignment horizontal="center" vertical="center"/>
    </xf>
    <xf numFmtId="0" fontId="72" fillId="2" borderId="0" xfId="253" applyFont="1" applyFill="1"/>
    <xf numFmtId="0" fontId="72" fillId="2" borderId="32" xfId="253" applyFont="1" applyFill="1" applyBorder="1"/>
    <xf numFmtId="0" fontId="16" fillId="2" borderId="32" xfId="96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vertical="center" wrapText="1"/>
    </xf>
    <xf numFmtId="43" fontId="87" fillId="2" borderId="0" xfId="7" applyFont="1" applyFill="1"/>
    <xf numFmtId="0" fontId="72" fillId="2" borderId="34" xfId="0" applyFont="1" applyFill="1" applyBorder="1" applyAlignment="1">
      <alignment vertical="center"/>
    </xf>
    <xf numFmtId="169" fontId="72" fillId="2" borderId="32" xfId="0" applyNumberFormat="1" applyFont="1" applyFill="1" applyBorder="1" applyAlignment="1">
      <alignment horizontal="right" vertical="center" wrapText="1"/>
    </xf>
    <xf numFmtId="169" fontId="72" fillId="0" borderId="32" xfId="0" applyNumberFormat="1" applyFont="1" applyBorder="1" applyAlignment="1">
      <alignment horizontal="right" vertical="center" wrapText="1"/>
    </xf>
    <xf numFmtId="0" fontId="72" fillId="0" borderId="0" xfId="0" applyFont="1" applyAlignment="1">
      <alignment horizontal="left" vertical="center" wrapText="1"/>
    </xf>
    <xf numFmtId="171" fontId="72" fillId="2" borderId="32" xfId="6" applyNumberFormat="1" applyFont="1" applyFill="1" applyBorder="1" applyAlignment="1">
      <alignment horizontal="center" vertical="center"/>
    </xf>
    <xf numFmtId="0" fontId="88" fillId="2" borderId="1" xfId="0" applyFont="1" applyFill="1" applyBorder="1"/>
    <xf numFmtId="0" fontId="86" fillId="0" borderId="32" xfId="0" applyFont="1" applyBorder="1" applyAlignment="1">
      <alignment vertical="center" wrapText="1"/>
    </xf>
    <xf numFmtId="0" fontId="84" fillId="0" borderId="23" xfId="0" applyFont="1" applyBorder="1" applyAlignment="1">
      <alignment vertical="center" wrapText="1"/>
    </xf>
    <xf numFmtId="0" fontId="72" fillId="2" borderId="32" xfId="299" applyFont="1" applyFill="1" applyBorder="1" applyAlignment="1">
      <alignment horizontal="center"/>
    </xf>
    <xf numFmtId="0" fontId="16" fillId="2" borderId="32" xfId="96" applyFont="1" applyFill="1" applyBorder="1" applyAlignment="1">
      <alignment horizontal="left" vertical="center" wrapText="1"/>
    </xf>
    <xf numFmtId="0" fontId="73" fillId="2" borderId="34" xfId="0" applyFont="1" applyFill="1" applyBorder="1" applyAlignment="1">
      <alignment vertical="center" wrapText="1"/>
    </xf>
    <xf numFmtId="0" fontId="72" fillId="2" borderId="32" xfId="0" applyFont="1" applyFill="1" applyBorder="1" applyAlignment="1">
      <alignment horizontal="center"/>
    </xf>
    <xf numFmtId="0" fontId="16" fillId="0" borderId="32" xfId="96" applyFont="1" applyBorder="1" applyAlignment="1">
      <alignment horizontal="left" vertical="center" wrapText="1"/>
    </xf>
    <xf numFmtId="0" fontId="72" fillId="2" borderId="0" xfId="0" applyFont="1" applyFill="1" applyAlignment="1">
      <alignment horizontal="center" vertical="center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16" fillId="0" borderId="32" xfId="0" applyFont="1" applyBorder="1" applyAlignment="1">
      <alignment horizontal="center" vertical="center" wrapText="1"/>
    </xf>
    <xf numFmtId="43" fontId="16" fillId="2" borderId="32" xfId="7" applyFont="1" applyFill="1" applyBorder="1" applyAlignment="1">
      <alignment vertical="center" wrapText="1"/>
    </xf>
    <xf numFmtId="0" fontId="73" fillId="2" borderId="0" xfId="0" applyFont="1" applyFill="1" applyAlignment="1">
      <alignment vertical="center" wrapText="1"/>
    </xf>
    <xf numFmtId="0" fontId="73" fillId="2" borderId="0" xfId="253" applyFont="1" applyFill="1" applyAlignment="1">
      <alignment vertical="top"/>
    </xf>
    <xf numFmtId="0" fontId="73" fillId="2" borderId="0" xfId="253" applyFont="1" applyFill="1"/>
    <xf numFmtId="0" fontId="73" fillId="2" borderId="0" xfId="253" applyFont="1" applyFill="1" applyAlignment="1">
      <alignment wrapText="1"/>
    </xf>
    <xf numFmtId="166" fontId="73" fillId="2" borderId="0" xfId="253" applyNumberFormat="1" applyFont="1" applyFill="1" applyAlignment="1">
      <alignment wrapText="1"/>
    </xf>
    <xf numFmtId="169" fontId="16" fillId="59" borderId="32" xfId="96" applyNumberFormat="1" applyFont="1" applyFill="1" applyBorder="1" applyAlignment="1">
      <alignment horizontal="center" vertical="top" wrapText="1"/>
    </xf>
    <xf numFmtId="0" fontId="72" fillId="0" borderId="0" xfId="0" applyFont="1" applyAlignment="1">
      <alignment horizontal="center" vertical="top" wrapText="1"/>
    </xf>
    <xf numFmtId="169" fontId="16" fillId="2" borderId="32" xfId="96" applyNumberFormat="1" applyFont="1" applyFill="1" applyBorder="1" applyAlignment="1">
      <alignment horizontal="center" vertical="center" wrapText="1"/>
    </xf>
    <xf numFmtId="0" fontId="88" fillId="0" borderId="0" xfId="0" applyFont="1" applyAlignment="1">
      <alignment horizontal="left" vertical="top" wrapText="1"/>
    </xf>
    <xf numFmtId="0" fontId="72" fillId="0" borderId="0" xfId="0" applyFont="1" applyAlignment="1">
      <alignment horizontal="left" vertical="top" wrapText="1"/>
    </xf>
    <xf numFmtId="43" fontId="13" fillId="2" borderId="32" xfId="7" applyFont="1" applyFill="1" applyBorder="1" applyAlignment="1">
      <alignment vertical="center" wrapText="1"/>
    </xf>
    <xf numFmtId="0" fontId="13" fillId="2" borderId="0" xfId="0" applyFont="1" applyFill="1" applyAlignment="1">
      <alignment vertical="center" wrapText="1"/>
    </xf>
    <xf numFmtId="0" fontId="73" fillId="2" borderId="23" xfId="0" applyFont="1" applyFill="1" applyBorder="1" applyAlignment="1">
      <alignment vertical="center" wrapText="1"/>
    </xf>
    <xf numFmtId="0" fontId="72" fillId="2" borderId="0" xfId="0" applyFont="1" applyFill="1" applyAlignment="1">
      <alignment vertical="center" wrapText="1"/>
    </xf>
    <xf numFmtId="0" fontId="16" fillId="2" borderId="0" xfId="0" applyFont="1" applyFill="1" applyAlignment="1">
      <alignment vertical="center" wrapText="1"/>
    </xf>
    <xf numFmtId="0" fontId="73" fillId="2" borderId="0" xfId="0" applyFont="1" applyFill="1" applyAlignment="1">
      <alignment horizontal="center" vertical="center" wrapText="1"/>
    </xf>
    <xf numFmtId="37" fontId="73" fillId="2" borderId="32" xfId="0" applyNumberFormat="1" applyFont="1" applyFill="1" applyBorder="1" applyAlignment="1">
      <alignment vertical="center" wrapText="1"/>
    </xf>
    <xf numFmtId="0" fontId="73" fillId="2" borderId="35" xfId="0" applyFont="1" applyFill="1" applyBorder="1" applyAlignment="1">
      <alignment horizontal="center" vertical="center" wrapText="1"/>
    </xf>
    <xf numFmtId="169" fontId="72" fillId="57" borderId="29" xfId="0" applyNumberFormat="1" applyFont="1" applyFill="1" applyBorder="1" applyAlignment="1">
      <alignment horizontal="right" vertical="center" wrapText="1"/>
    </xf>
    <xf numFmtId="0" fontId="16" fillId="2" borderId="32" xfId="0" applyFont="1" applyFill="1" applyBorder="1" applyAlignment="1">
      <alignment horizontal="center" vertical="top" wrapText="1"/>
    </xf>
    <xf numFmtId="0" fontId="72" fillId="2" borderId="0" xfId="0" applyFont="1" applyFill="1" applyAlignment="1">
      <alignment horizontal="right" vertical="top"/>
    </xf>
    <xf numFmtId="0" fontId="16" fillId="2" borderId="0" xfId="0" applyFont="1" applyFill="1" applyAlignment="1">
      <alignment horizontal="center" wrapText="1"/>
    </xf>
    <xf numFmtId="0" fontId="72" fillId="2" borderId="21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89" fillId="2" borderId="0" xfId="0" applyFont="1" applyFill="1"/>
    <xf numFmtId="0" fontId="72" fillId="0" borderId="29" xfId="0" applyFont="1" applyBorder="1" applyAlignment="1">
      <alignment horizontal="left" vertical="top" wrapText="1"/>
    </xf>
    <xf numFmtId="0" fontId="13" fillId="2" borderId="29" xfId="0" applyFont="1" applyFill="1" applyBorder="1" applyAlignment="1">
      <alignment horizontal="center" vertical="center" wrapText="1"/>
    </xf>
    <xf numFmtId="0" fontId="72" fillId="2" borderId="0" xfId="0" applyFont="1" applyFill="1" applyAlignment="1">
      <alignment horizontal="center" vertical="top" wrapText="1"/>
    </xf>
    <xf numFmtId="0" fontId="88" fillId="2" borderId="0" xfId="0" applyFont="1" applyFill="1" applyAlignment="1">
      <alignment horizontal="left" vertical="top" wrapText="1"/>
    </xf>
    <xf numFmtId="0" fontId="72" fillId="2" borderId="32" xfId="0" applyFont="1" applyFill="1" applyBorder="1"/>
    <xf numFmtId="0" fontId="86" fillId="2" borderId="32" xfId="0" applyFont="1" applyFill="1" applyBorder="1" applyAlignment="1">
      <alignment vertical="center" wrapText="1"/>
    </xf>
    <xf numFmtId="166" fontId="86" fillId="2" borderId="32" xfId="223" applyNumberFormat="1" applyFont="1" applyFill="1" applyBorder="1"/>
    <xf numFmtId="43" fontId="92" fillId="2" borderId="0" xfId="7" applyFont="1" applyFill="1"/>
    <xf numFmtId="0" fontId="92" fillId="2" borderId="0" xfId="0" applyFont="1" applyFill="1"/>
    <xf numFmtId="165" fontId="72" fillId="0" borderId="32" xfId="6" applyFont="1" applyBorder="1" applyAlignment="1">
      <alignment horizontal="center" vertical="center"/>
    </xf>
    <xf numFmtId="165" fontId="16" fillId="2" borderId="32" xfId="6" applyFont="1" applyFill="1" applyBorder="1" applyAlignment="1">
      <alignment horizontal="center" vertical="center"/>
    </xf>
    <xf numFmtId="43" fontId="72" fillId="2" borderId="0" xfId="7" applyFont="1" applyFill="1"/>
    <xf numFmtId="0" fontId="16" fillId="2" borderId="1" xfId="96" applyFont="1" applyFill="1" applyBorder="1" applyAlignment="1">
      <alignment horizontal="center" vertical="center" wrapText="1"/>
    </xf>
    <xf numFmtId="0" fontId="72" fillId="2" borderId="23" xfId="0" applyFont="1" applyFill="1" applyBorder="1" applyAlignment="1">
      <alignment horizontal="center"/>
    </xf>
    <xf numFmtId="175" fontId="72" fillId="2" borderId="32" xfId="2029" applyNumberFormat="1" applyFont="1" applyFill="1" applyBorder="1"/>
    <xf numFmtId="0" fontId="72" fillId="2" borderId="22" xfId="0" applyFont="1" applyFill="1" applyBorder="1"/>
    <xf numFmtId="0" fontId="72" fillId="2" borderId="29" xfId="0" applyFont="1" applyFill="1" applyBorder="1" applyAlignment="1">
      <alignment horizontal="left" vertical="top" wrapText="1"/>
    </xf>
    <xf numFmtId="0" fontId="84" fillId="2" borderId="29" xfId="0" applyFont="1" applyFill="1" applyBorder="1" applyAlignment="1">
      <alignment vertical="center" wrapText="1"/>
    </xf>
    <xf numFmtId="0" fontId="16" fillId="2" borderId="29" xfId="0" applyFont="1" applyFill="1" applyBorder="1" applyAlignment="1">
      <alignment horizontal="center"/>
    </xf>
    <xf numFmtId="0" fontId="84" fillId="2" borderId="29" xfId="165" applyFont="1" applyFill="1" applyBorder="1">
      <alignment horizontal="left" vertical="top" wrapText="1"/>
    </xf>
    <xf numFmtId="0" fontId="72" fillId="2" borderId="29" xfId="0" applyFont="1" applyFill="1" applyBorder="1" applyAlignment="1">
      <alignment horizontal="center" vertical="top" wrapText="1"/>
    </xf>
    <xf numFmtId="49" fontId="72" fillId="2" borderId="29" xfId="0" applyNumberFormat="1" applyFont="1" applyFill="1" applyBorder="1" applyAlignment="1">
      <alignment horizontal="left" vertical="top" wrapText="1"/>
    </xf>
    <xf numFmtId="177" fontId="72" fillId="0" borderId="26" xfId="7" applyNumberFormat="1" applyFont="1" applyFill="1" applyBorder="1" applyAlignment="1">
      <alignment vertical="center"/>
    </xf>
    <xf numFmtId="167" fontId="16" fillId="2" borderId="21" xfId="7" applyNumberFormat="1" applyFont="1" applyFill="1" applyBorder="1" applyAlignment="1">
      <alignment horizontal="center" vertical="center" wrapText="1"/>
    </xf>
    <xf numFmtId="177" fontId="16" fillId="2" borderId="32" xfId="7" applyNumberFormat="1" applyFont="1" applyFill="1" applyBorder="1" applyAlignment="1">
      <alignment vertical="center" wrapText="1"/>
    </xf>
    <xf numFmtId="177" fontId="72" fillId="2" borderId="32" xfId="7" applyNumberFormat="1" applyFont="1" applyFill="1" applyBorder="1" applyAlignment="1">
      <alignment vertical="center" wrapText="1"/>
    </xf>
    <xf numFmtId="177" fontId="16" fillId="2" borderId="32" xfId="0" applyNumberFormat="1" applyFont="1" applyFill="1" applyBorder="1" applyAlignment="1">
      <alignment vertical="center" wrapText="1"/>
    </xf>
    <xf numFmtId="0" fontId="72" fillId="57" borderId="32" xfId="0" applyFont="1" applyFill="1" applyBorder="1" applyAlignment="1">
      <alignment vertical="center" wrapText="1"/>
    </xf>
    <xf numFmtId="0" fontId="72" fillId="2" borderId="33" xfId="1737" applyFont="1" applyFill="1" applyBorder="1" applyAlignment="1">
      <alignment vertical="center"/>
    </xf>
    <xf numFmtId="0" fontId="72" fillId="2" borderId="34" xfId="1737" applyFont="1" applyFill="1" applyBorder="1" applyAlignment="1">
      <alignment vertical="center"/>
    </xf>
    <xf numFmtId="0" fontId="72" fillId="2" borderId="34" xfId="1737" applyFont="1" applyFill="1" applyBorder="1" applyAlignment="1">
      <alignment horizontal="center" vertical="center"/>
    </xf>
    <xf numFmtId="179" fontId="73" fillId="2" borderId="2" xfId="7" applyNumberFormat="1" applyFont="1" applyFill="1" applyBorder="1" applyAlignment="1">
      <alignment vertical="center" wrapText="1"/>
    </xf>
    <xf numFmtId="0" fontId="73" fillId="2" borderId="2" xfId="0" applyFont="1" applyFill="1" applyBorder="1" applyAlignment="1">
      <alignment vertical="center" wrapText="1"/>
    </xf>
    <xf numFmtId="166" fontId="16" fillId="2" borderId="32" xfId="7" applyNumberFormat="1" applyFont="1" applyFill="1" applyBorder="1" applyAlignment="1">
      <alignment vertical="center" wrapText="1"/>
    </xf>
    <xf numFmtId="37" fontId="73" fillId="2" borderId="2" xfId="0" applyNumberFormat="1" applyFont="1" applyFill="1" applyBorder="1" applyAlignment="1">
      <alignment vertical="center" wrapText="1"/>
    </xf>
    <xf numFmtId="169" fontId="16" fillId="57" borderId="32" xfId="96" applyNumberFormat="1" applyFont="1" applyFill="1" applyBorder="1" applyAlignment="1">
      <alignment horizontal="center" vertical="top" wrapText="1"/>
    </xf>
    <xf numFmtId="43" fontId="72" fillId="2" borderId="0" xfId="299" applyNumberFormat="1" applyFont="1" applyFill="1"/>
    <xf numFmtId="0" fontId="16" fillId="2" borderId="22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wrapText="1"/>
    </xf>
    <xf numFmtId="0" fontId="72" fillId="2" borderId="32" xfId="0" applyFont="1" applyFill="1" applyBorder="1" applyAlignment="1">
      <alignment horizontal="center" vertical="top" wrapText="1"/>
    </xf>
    <xf numFmtId="49" fontId="16" fillId="2" borderId="22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177" fontId="16" fillId="0" borderId="32" xfId="96" applyNumberFormat="1" applyFont="1" applyBorder="1" applyAlignment="1">
      <alignment horizontal="left" vertical="center" wrapText="1"/>
    </xf>
    <xf numFmtId="177" fontId="72" fillId="0" borderId="32" xfId="7" applyNumberFormat="1" applyFont="1" applyFill="1" applyBorder="1" applyAlignment="1">
      <alignment vertical="center"/>
    </xf>
    <xf numFmtId="177" fontId="72" fillId="0" borderId="32" xfId="299" applyNumberFormat="1" applyFont="1" applyBorder="1" applyAlignment="1">
      <alignment horizontal="center"/>
    </xf>
    <xf numFmtId="177" fontId="86" fillId="0" borderId="23" xfId="96" applyNumberFormat="1" applyFont="1" applyBorder="1" applyAlignment="1">
      <alignment horizontal="center" vertical="center" wrapText="1"/>
    </xf>
    <xf numFmtId="177" fontId="72" fillId="0" borderId="32" xfId="96" applyNumberFormat="1" applyFont="1" applyBorder="1" applyAlignment="1">
      <alignment horizontal="center" vertical="center" wrapText="1"/>
    </xf>
    <xf numFmtId="177" fontId="86" fillId="0" borderId="32" xfId="0" applyNumberFormat="1" applyFont="1" applyBorder="1" applyAlignment="1">
      <alignment vertical="center" wrapText="1"/>
    </xf>
    <xf numFmtId="0" fontId="72" fillId="0" borderId="32" xfId="0" applyFont="1" applyBorder="1" applyAlignment="1">
      <alignment horizontal="left" vertical="center" wrapText="1"/>
    </xf>
    <xf numFmtId="0" fontId="88" fillId="2" borderId="2" xfId="0" applyFont="1" applyFill="1" applyBorder="1" applyAlignment="1">
      <alignment horizontal="center"/>
    </xf>
    <xf numFmtId="0" fontId="72" fillId="0" borderId="32" xfId="0" applyFont="1" applyBorder="1" applyAlignment="1">
      <alignment horizontal="center" vertical="center" wrapText="1"/>
    </xf>
    <xf numFmtId="169" fontId="72" fillId="2" borderId="0" xfId="299" applyNumberFormat="1" applyFont="1" applyFill="1" applyAlignment="1">
      <alignment vertical="center"/>
    </xf>
    <xf numFmtId="0" fontId="72" fillId="2" borderId="32" xfId="299" applyFont="1" applyFill="1" applyBorder="1" applyAlignment="1">
      <alignment vertical="top"/>
    </xf>
    <xf numFmtId="0" fontId="72" fillId="2" borderId="29" xfId="0" applyFont="1" applyFill="1" applyBorder="1" applyAlignment="1">
      <alignment horizontal="center" vertical="center"/>
    </xf>
    <xf numFmtId="169" fontId="72" fillId="2" borderId="29" xfId="1737" applyNumberFormat="1" applyFont="1" applyFill="1" applyBorder="1" applyAlignment="1">
      <alignment vertical="center"/>
    </xf>
    <xf numFmtId="176" fontId="72" fillId="0" borderId="32" xfId="0" applyNumberFormat="1" applyFont="1" applyBorder="1" applyAlignment="1">
      <alignment horizontal="center" vertical="center"/>
    </xf>
    <xf numFmtId="0" fontId="89" fillId="2" borderId="0" xfId="299" applyFont="1" applyFill="1" applyAlignment="1">
      <alignment vertical="center"/>
    </xf>
    <xf numFmtId="0" fontId="89" fillId="2" borderId="0" xfId="299" applyFont="1" applyFill="1"/>
    <xf numFmtId="0" fontId="89" fillId="2" borderId="32" xfId="0" applyFont="1" applyFill="1" applyBorder="1" applyAlignment="1">
      <alignment horizontal="left" vertical="center" wrapText="1"/>
    </xf>
    <xf numFmtId="0" fontId="72" fillId="2" borderId="29" xfId="0" applyFont="1" applyFill="1" applyBorder="1" applyAlignment="1">
      <alignment horizontal="center"/>
    </xf>
    <xf numFmtId="0" fontId="94" fillId="2" borderId="2" xfId="0" applyFont="1" applyFill="1" applyBorder="1" applyAlignment="1">
      <alignment horizontal="center"/>
    </xf>
    <xf numFmtId="0" fontId="89" fillId="2" borderId="0" xfId="299" applyFont="1" applyFill="1" applyAlignment="1">
      <alignment horizontal="center" vertical="center"/>
    </xf>
    <xf numFmtId="168" fontId="90" fillId="0" borderId="26" xfId="96" applyNumberFormat="1" applyFont="1" applyBorder="1" applyAlignment="1">
      <alignment horizontal="center" vertical="center" wrapText="1"/>
    </xf>
    <xf numFmtId="0" fontId="72" fillId="57" borderId="26" xfId="0" applyFont="1" applyFill="1" applyBorder="1" applyAlignment="1">
      <alignment wrapText="1"/>
    </xf>
    <xf numFmtId="0" fontId="72" fillId="2" borderId="26" xfId="299" applyFont="1" applyFill="1" applyBorder="1" applyAlignment="1">
      <alignment vertical="top"/>
    </xf>
    <xf numFmtId="0" fontId="72" fillId="2" borderId="23" xfId="0" applyFont="1" applyFill="1" applyBorder="1" applyAlignment="1">
      <alignment horizontal="center" vertical="center"/>
    </xf>
    <xf numFmtId="171" fontId="72" fillId="0" borderId="32" xfId="6" applyNumberFormat="1" applyFont="1" applyFill="1" applyBorder="1" applyAlignment="1">
      <alignment horizontal="center" vertical="center"/>
    </xf>
    <xf numFmtId="169" fontId="72" fillId="0" borderId="26" xfId="0" applyNumberFormat="1" applyFont="1" applyBorder="1" applyAlignment="1">
      <alignment horizontal="right" vertical="center" wrapText="1"/>
    </xf>
    <xf numFmtId="176" fontId="72" fillId="2" borderId="26" xfId="0" applyNumberFormat="1" applyFont="1" applyFill="1" applyBorder="1" applyAlignment="1">
      <alignment horizontal="center" vertical="center"/>
    </xf>
    <xf numFmtId="0" fontId="72" fillId="2" borderId="22" xfId="0" applyFont="1" applyFill="1" applyBorder="1" applyAlignment="1">
      <alignment horizontal="center"/>
    </xf>
    <xf numFmtId="0" fontId="73" fillId="2" borderId="0" xfId="0" applyFont="1" applyFill="1" applyAlignment="1">
      <alignment vertical="top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0" xfId="8" applyFont="1" applyFill="1">
      <alignment horizontal="left" vertical="top" wrapText="1"/>
    </xf>
    <xf numFmtId="0" fontId="72" fillId="2" borderId="0" xfId="8" applyFont="1" applyFill="1" applyAlignment="1">
      <alignment horizontal="left" vertical="center" wrapText="1"/>
    </xf>
    <xf numFmtId="165" fontId="72" fillId="2" borderId="0" xfId="8" applyNumberFormat="1" applyFont="1" applyFill="1" applyAlignment="1">
      <alignment horizontal="left" vertical="center" wrapText="1"/>
    </xf>
    <xf numFmtId="0" fontId="16" fillId="2" borderId="32" xfId="0" applyFont="1" applyFill="1" applyBorder="1" applyAlignment="1">
      <alignment horizontal="center" vertical="center"/>
    </xf>
    <xf numFmtId="169" fontId="16" fillId="2" borderId="29" xfId="8" applyNumberFormat="1" applyFont="1" applyFill="1" applyBorder="1" applyAlignment="1">
      <alignment horizontal="right" vertical="center" wrapText="1"/>
    </xf>
    <xf numFmtId="43" fontId="72" fillId="2" borderId="0" xfId="8" applyNumberFormat="1" applyFont="1" applyFill="1">
      <alignment horizontal="left" vertical="top" wrapText="1"/>
    </xf>
    <xf numFmtId="0" fontId="72" fillId="2" borderId="32" xfId="8" applyFont="1" applyFill="1" applyBorder="1">
      <alignment horizontal="left" vertical="top" wrapText="1"/>
    </xf>
    <xf numFmtId="4" fontId="16" fillId="2" borderId="29" xfId="8" applyNumberFormat="1" applyFont="1" applyFill="1" applyBorder="1" applyAlignment="1">
      <alignment horizontal="center" vertical="top" wrapText="1"/>
    </xf>
    <xf numFmtId="39" fontId="16" fillId="2" borderId="29" xfId="8" applyNumberFormat="1" applyFont="1" applyFill="1" applyBorder="1" applyAlignment="1">
      <alignment horizontal="center" vertical="center" wrapText="1"/>
    </xf>
    <xf numFmtId="4" fontId="72" fillId="2" borderId="0" xfId="8" applyNumberFormat="1" applyFont="1" applyFill="1">
      <alignment horizontal="left" vertical="top" wrapText="1"/>
    </xf>
    <xf numFmtId="0" fontId="84" fillId="2" borderId="2" xfId="0" applyFont="1" applyFill="1" applyBorder="1" applyAlignment="1">
      <alignment horizontal="left" vertical="center" wrapText="1"/>
    </xf>
    <xf numFmtId="169" fontId="84" fillId="2" borderId="32" xfId="0" applyNumberFormat="1" applyFont="1" applyFill="1" applyBorder="1" applyAlignment="1">
      <alignment horizontal="right" vertical="center" wrapText="1"/>
    </xf>
    <xf numFmtId="0" fontId="72" fillId="2" borderId="32" xfId="8" applyFont="1" applyFill="1" applyBorder="1" applyAlignment="1">
      <alignment horizontal="left" vertical="center" wrapText="1"/>
    </xf>
    <xf numFmtId="0" fontId="84" fillId="2" borderId="32" xfId="0" applyFont="1" applyFill="1" applyBorder="1" applyAlignment="1">
      <alignment vertical="center" wrapText="1"/>
    </xf>
    <xf numFmtId="0" fontId="89" fillId="2" borderId="0" xfId="8" applyFont="1" applyFill="1">
      <alignment horizontal="left" vertical="top" wrapText="1"/>
    </xf>
    <xf numFmtId="0" fontId="89" fillId="2" borderId="32" xfId="8" applyFont="1" applyFill="1" applyBorder="1">
      <alignment horizontal="left" vertical="top" wrapText="1"/>
    </xf>
    <xf numFmtId="0" fontId="89" fillId="2" borderId="32" xfId="8" applyFont="1" applyFill="1" applyBorder="1" applyAlignment="1">
      <alignment horizontal="left" vertical="center" wrapText="1"/>
    </xf>
    <xf numFmtId="0" fontId="89" fillId="2" borderId="32" xfId="0" applyFont="1" applyFill="1" applyBorder="1" applyAlignment="1">
      <alignment vertical="center" wrapText="1"/>
    </xf>
    <xf numFmtId="0" fontId="84" fillId="0" borderId="32" xfId="0" applyFont="1" applyBorder="1" applyAlignment="1">
      <alignment vertical="center" wrapText="1"/>
    </xf>
    <xf numFmtId="169" fontId="72" fillId="2" borderId="0" xfId="8" applyNumberFormat="1" applyFont="1" applyFill="1">
      <alignment horizontal="left" vertical="top" wrapText="1"/>
    </xf>
    <xf numFmtId="0" fontId="72" fillId="2" borderId="2" xfId="0" applyFont="1" applyFill="1" applyBorder="1" applyAlignment="1">
      <alignment horizontal="center"/>
    </xf>
    <xf numFmtId="169" fontId="16" fillId="2" borderId="32" xfId="0" applyNumberFormat="1" applyFont="1" applyFill="1" applyBorder="1" applyAlignment="1">
      <alignment horizontal="right" vertical="center" wrapText="1"/>
    </xf>
    <xf numFmtId="39" fontId="84" fillId="2" borderId="32" xfId="0" applyNumberFormat="1" applyFont="1" applyFill="1" applyBorder="1" applyAlignment="1">
      <alignment horizontal="right" vertical="center" wrapText="1"/>
    </xf>
    <xf numFmtId="169" fontId="84" fillId="0" borderId="32" xfId="0" applyNumberFormat="1" applyFont="1" applyBorder="1" applyAlignment="1">
      <alignment horizontal="right" vertical="center" wrapText="1"/>
    </xf>
    <xf numFmtId="0" fontId="16" fillId="0" borderId="32" xfId="96" applyFont="1" applyBorder="1" applyAlignment="1">
      <alignment horizontal="center" vertical="center" wrapText="1"/>
    </xf>
    <xf numFmtId="0" fontId="72" fillId="2" borderId="32" xfId="299" applyFont="1" applyFill="1" applyBorder="1"/>
    <xf numFmtId="0" fontId="72" fillId="2" borderId="33" xfId="0" applyFont="1" applyFill="1" applyBorder="1" applyAlignment="1">
      <alignment vertical="center"/>
    </xf>
    <xf numFmtId="0" fontId="72" fillId="2" borderId="23" xfId="0" applyFont="1" applyFill="1" applyBorder="1" applyAlignment="1">
      <alignment vertical="center"/>
    </xf>
    <xf numFmtId="0" fontId="16" fillId="2" borderId="32" xfId="96" applyFont="1" applyFill="1" applyBorder="1" applyAlignment="1">
      <alignment vertical="center" wrapText="1"/>
    </xf>
    <xf numFmtId="165" fontId="72" fillId="2" borderId="32" xfId="0" applyNumberFormat="1" applyFont="1" applyFill="1" applyBorder="1"/>
    <xf numFmtId="166" fontId="72" fillId="2" borderId="32" xfId="0" applyNumberFormat="1" applyFont="1" applyFill="1" applyBorder="1"/>
    <xf numFmtId="0" fontId="86" fillId="2" borderId="32" xfId="96" applyFont="1" applyFill="1" applyBorder="1" applyAlignment="1">
      <alignment horizontal="center" vertical="center" wrapText="1"/>
    </xf>
    <xf numFmtId="166" fontId="86" fillId="2" borderId="32" xfId="223" applyNumberFormat="1" applyFont="1" applyFill="1" applyBorder="1" applyAlignment="1">
      <alignment vertical="center"/>
    </xf>
    <xf numFmtId="166" fontId="92" fillId="2" borderId="0" xfId="0" applyNumberFormat="1" applyFont="1" applyFill="1"/>
    <xf numFmtId="0" fontId="86" fillId="0" borderId="32" xfId="96" applyFont="1" applyBorder="1" applyAlignment="1">
      <alignment horizontal="left" vertical="center" wrapText="1"/>
    </xf>
    <xf numFmtId="0" fontId="72" fillId="2" borderId="32" xfId="0" applyFont="1" applyFill="1" applyBorder="1" applyAlignment="1">
      <alignment vertical="center"/>
    </xf>
    <xf numFmtId="43" fontId="92" fillId="2" borderId="0" xfId="7" applyFont="1" applyFill="1" applyAlignment="1">
      <alignment vertical="center"/>
    </xf>
    <xf numFmtId="0" fontId="92" fillId="2" borderId="0" xfId="0" applyFont="1" applyFill="1" applyAlignment="1">
      <alignment vertical="center"/>
    </xf>
    <xf numFmtId="0" fontId="16" fillId="2" borderId="22" xfId="96" applyFont="1" applyFill="1" applyBorder="1" applyAlignment="1">
      <alignment horizontal="center" vertical="center" wrapText="1"/>
    </xf>
    <xf numFmtId="168" fontId="72" fillId="2" borderId="32" xfId="96" applyNumberFormat="1" applyFont="1" applyFill="1" applyBorder="1" applyAlignment="1">
      <alignment vertical="center" wrapText="1"/>
    </xf>
    <xf numFmtId="49" fontId="16" fillId="2" borderId="32" xfId="96" applyNumberFormat="1" applyFont="1" applyFill="1" applyBorder="1" applyAlignment="1">
      <alignment vertical="center" textRotation="90" wrapText="1"/>
    </xf>
    <xf numFmtId="0" fontId="86" fillId="2" borderId="29" xfId="96" applyFont="1" applyFill="1" applyBorder="1" applyAlignment="1">
      <alignment horizontal="center" vertical="center" wrapText="1"/>
    </xf>
    <xf numFmtId="165" fontId="86" fillId="2" borderId="32" xfId="6" applyFont="1" applyFill="1" applyBorder="1" applyAlignment="1">
      <alignment horizontal="center" vertical="center"/>
    </xf>
    <xf numFmtId="43" fontId="86" fillId="2" borderId="32" xfId="253" applyNumberFormat="1" applyFont="1" applyFill="1" applyBorder="1" applyAlignment="1">
      <alignment vertical="center"/>
    </xf>
    <xf numFmtId="0" fontId="86" fillId="2" borderId="32" xfId="96" applyFont="1" applyFill="1" applyBorder="1" applyAlignment="1">
      <alignment horizontal="left" vertical="center" wrapText="1"/>
    </xf>
    <xf numFmtId="43" fontId="16" fillId="2" borderId="32" xfId="253" applyNumberFormat="1" applyFont="1" applyFill="1" applyBorder="1" applyAlignment="1">
      <alignment vertical="center"/>
    </xf>
    <xf numFmtId="0" fontId="72" fillId="2" borderId="22" xfId="253" applyFont="1" applyFill="1" applyBorder="1" applyAlignment="1">
      <alignment horizontal="center"/>
    </xf>
    <xf numFmtId="43" fontId="72" fillId="2" borderId="32" xfId="7" applyFont="1" applyFill="1" applyBorder="1" applyAlignment="1">
      <alignment vertical="center"/>
    </xf>
    <xf numFmtId="0" fontId="88" fillId="2" borderId="22" xfId="0" applyFont="1" applyFill="1" applyBorder="1" applyAlignment="1">
      <alignment horizontal="center"/>
    </xf>
    <xf numFmtId="169" fontId="16" fillId="2" borderId="26" xfId="96" applyNumberFormat="1" applyFont="1" applyFill="1" applyBorder="1" applyAlignment="1">
      <alignment horizontal="center" vertical="center" wrapText="1"/>
    </xf>
    <xf numFmtId="165" fontId="16" fillId="2" borderId="26" xfId="6" applyFont="1" applyFill="1" applyBorder="1" applyAlignment="1">
      <alignment horizontal="center" vertical="center"/>
    </xf>
    <xf numFmtId="0" fontId="72" fillId="2" borderId="26" xfId="208" applyFont="1" applyFill="1" applyBorder="1" applyAlignment="1">
      <alignment horizontal="center"/>
    </xf>
    <xf numFmtId="0" fontId="72" fillId="2" borderId="26" xfId="208" applyFont="1" applyFill="1" applyBorder="1" applyAlignment="1">
      <alignment horizontal="left"/>
    </xf>
    <xf numFmtId="169" fontId="72" fillId="0" borderId="26" xfId="208" applyNumberFormat="1" applyFont="1" applyBorder="1"/>
    <xf numFmtId="43" fontId="72" fillId="2" borderId="26" xfId="217" applyFont="1" applyFill="1" applyBorder="1"/>
    <xf numFmtId="0" fontId="72" fillId="2" borderId="26" xfId="208" applyFont="1" applyFill="1" applyBorder="1"/>
    <xf numFmtId="178" fontId="72" fillId="2" borderId="26" xfId="208" applyNumberFormat="1" applyFont="1" applyFill="1" applyBorder="1"/>
    <xf numFmtId="0" fontId="87" fillId="2" borderId="0" xfId="208" applyFont="1" applyFill="1"/>
    <xf numFmtId="0" fontId="72" fillId="2" borderId="32" xfId="0" applyFont="1" applyFill="1" applyBorder="1" applyAlignment="1">
      <alignment vertical="top" wrapText="1"/>
    </xf>
    <xf numFmtId="169" fontId="72" fillId="2" borderId="23" xfId="0" applyNumberFormat="1" applyFont="1" applyFill="1" applyBorder="1" applyAlignment="1">
      <alignment horizontal="right" vertical="top" wrapText="1"/>
    </xf>
    <xf numFmtId="0" fontId="72" fillId="2" borderId="0" xfId="0" applyFont="1" applyFill="1" applyAlignment="1">
      <alignment vertical="top"/>
    </xf>
    <xf numFmtId="177" fontId="72" fillId="0" borderId="32" xfId="96" applyNumberFormat="1" applyFont="1" applyBorder="1" applyAlignment="1">
      <alignment vertical="center" wrapText="1"/>
    </xf>
    <xf numFmtId="0" fontId="95" fillId="2" borderId="32" xfId="0" applyFont="1" applyFill="1" applyBorder="1"/>
    <xf numFmtId="177" fontId="86" fillId="0" borderId="32" xfId="253" applyNumberFormat="1" applyFont="1" applyBorder="1" applyAlignment="1">
      <alignment vertical="center"/>
    </xf>
    <xf numFmtId="0" fontId="84" fillId="2" borderId="0" xfId="253" applyFont="1" applyFill="1"/>
    <xf numFmtId="0" fontId="72" fillId="57" borderId="26" xfId="0" applyFont="1" applyFill="1" applyBorder="1" applyAlignment="1">
      <alignment vertical="center" wrapText="1"/>
    </xf>
    <xf numFmtId="0" fontId="72" fillId="2" borderId="22" xfId="0" applyFont="1" applyFill="1" applyBorder="1" applyAlignment="1">
      <alignment vertical="center"/>
    </xf>
    <xf numFmtId="165" fontId="72" fillId="2" borderId="26" xfId="6" applyFont="1" applyFill="1" applyBorder="1" applyAlignment="1">
      <alignment horizontal="center" vertical="center"/>
    </xf>
    <xf numFmtId="176" fontId="72" fillId="0" borderId="26" xfId="0" applyNumberFormat="1" applyFont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165" fontId="72" fillId="0" borderId="32" xfId="6" applyFont="1" applyFill="1" applyBorder="1" applyAlignment="1">
      <alignment horizontal="center" vertical="center"/>
    </xf>
    <xf numFmtId="0" fontId="84" fillId="0" borderId="29" xfId="0" applyFont="1" applyBorder="1" applyAlignment="1">
      <alignment vertical="center" wrapText="1"/>
    </xf>
    <xf numFmtId="0" fontId="72" fillId="0" borderId="0" xfId="299" applyFont="1" applyAlignment="1">
      <alignment horizontal="left" vertical="center" wrapText="1"/>
    </xf>
    <xf numFmtId="43" fontId="72" fillId="2" borderId="0" xfId="253" applyNumberFormat="1" applyFont="1" applyFill="1"/>
    <xf numFmtId="0" fontId="96" fillId="0" borderId="32" xfId="0" applyFont="1" applyBorder="1" applyAlignment="1">
      <alignment vertical="center" wrapText="1"/>
    </xf>
    <xf numFmtId="169" fontId="16" fillId="58" borderId="26" xfId="7" applyNumberFormat="1" applyFont="1" applyFill="1" applyBorder="1" applyAlignment="1">
      <alignment vertical="top" wrapText="1"/>
    </xf>
    <xf numFmtId="169" fontId="72" fillId="2" borderId="32" xfId="7" applyNumberFormat="1" applyFont="1" applyFill="1" applyBorder="1" applyAlignment="1">
      <alignment horizontal="right" vertical="top" wrapText="1"/>
    </xf>
    <xf numFmtId="169" fontId="72" fillId="57" borderId="29" xfId="7" applyNumberFormat="1" applyFont="1" applyFill="1" applyBorder="1" applyAlignment="1">
      <alignment horizontal="right" vertical="center" wrapText="1"/>
    </xf>
    <xf numFmtId="169" fontId="72" fillId="2" borderId="26" xfId="7" applyNumberFormat="1" applyFont="1" applyFill="1" applyBorder="1" applyAlignment="1">
      <alignment horizontal="right" vertical="top" wrapText="1"/>
    </xf>
    <xf numFmtId="169" fontId="89" fillId="2" borderId="0" xfId="299" applyNumberFormat="1" applyFont="1" applyFill="1" applyAlignment="1">
      <alignment vertical="center"/>
    </xf>
    <xf numFmtId="169" fontId="16" fillId="2" borderId="29" xfId="8" applyNumberFormat="1" applyFont="1" applyFill="1" applyBorder="1" applyAlignment="1">
      <alignment horizontal="center" vertical="center" wrapText="1"/>
    </xf>
    <xf numFmtId="4" fontId="16" fillId="2" borderId="29" xfId="8" applyNumberFormat="1" applyFont="1" applyFill="1" applyBorder="1" applyAlignment="1">
      <alignment horizontal="center" vertical="center" wrapText="1"/>
    </xf>
    <xf numFmtId="0" fontId="89" fillId="2" borderId="0" xfId="8" applyFont="1" applyFill="1" applyAlignment="1">
      <alignment horizontal="left" vertical="center" wrapText="1"/>
    </xf>
    <xf numFmtId="0" fontId="72" fillId="2" borderId="0" xfId="253" applyFont="1" applyFill="1" applyAlignment="1">
      <alignment vertical="top"/>
    </xf>
    <xf numFmtId="0" fontId="72" fillId="2" borderId="0" xfId="253" applyFont="1" applyFill="1" applyAlignment="1">
      <alignment wrapText="1"/>
    </xf>
    <xf numFmtId="0" fontId="72" fillId="2" borderId="0" xfId="253" applyFont="1" applyFill="1" applyAlignment="1">
      <alignment horizontal="center"/>
    </xf>
    <xf numFmtId="49" fontId="16" fillId="2" borderId="26" xfId="96" applyNumberFormat="1" applyFont="1" applyFill="1" applyBorder="1" applyAlignment="1">
      <alignment horizontal="center" vertical="center" textRotation="90" wrapText="1"/>
    </xf>
    <xf numFmtId="0" fontId="16" fillId="2" borderId="26" xfId="165" applyFont="1" applyFill="1" applyBorder="1" applyAlignment="1">
      <alignment horizontal="center" vertical="center" wrapText="1"/>
    </xf>
    <xf numFmtId="0" fontId="97" fillId="2" borderId="26" xfId="253" applyFont="1" applyFill="1" applyBorder="1" applyAlignment="1">
      <alignment horizontal="center" vertical="center" wrapText="1"/>
    </xf>
    <xf numFmtId="0" fontId="84" fillId="2" borderId="26" xfId="253" applyFont="1" applyFill="1" applyBorder="1" applyAlignment="1">
      <alignment horizontal="center" vertical="center" wrapText="1"/>
    </xf>
    <xf numFmtId="0" fontId="72" fillId="2" borderId="0" xfId="1660" applyFont="1" applyFill="1" applyAlignment="1">
      <alignment vertical="top"/>
    </xf>
    <xf numFmtId="169" fontId="72" fillId="2" borderId="0" xfId="96" applyNumberFormat="1" applyFont="1" applyFill="1" applyAlignment="1">
      <alignment vertical="top" wrapText="1"/>
    </xf>
    <xf numFmtId="0" fontId="72" fillId="2" borderId="0" xfId="299" applyFont="1" applyFill="1" applyAlignment="1">
      <alignment vertical="top"/>
    </xf>
    <xf numFmtId="169" fontId="72" fillId="2" borderId="0" xfId="96" applyNumberFormat="1" applyFont="1" applyFill="1" applyAlignment="1">
      <alignment vertical="center" wrapText="1"/>
    </xf>
    <xf numFmtId="0" fontId="72" fillId="2" borderId="0" xfId="1660" applyFont="1" applyFill="1"/>
    <xf numFmtId="49" fontId="16" fillId="2" borderId="0" xfId="96" applyNumberFormat="1" applyFont="1" applyFill="1" applyAlignment="1">
      <alignment horizontal="center" vertical="center" wrapText="1"/>
    </xf>
    <xf numFmtId="0" fontId="16" fillId="2" borderId="0" xfId="96" applyFont="1" applyFill="1" applyAlignment="1">
      <alignment horizontal="center" vertical="center" wrapText="1"/>
    </xf>
    <xf numFmtId="0" fontId="72" fillId="2" borderId="0" xfId="2028" applyFont="1" applyFill="1"/>
    <xf numFmtId="174" fontId="72" fillId="2" borderId="0" xfId="2027" applyFont="1" applyFill="1"/>
    <xf numFmtId="168" fontId="16" fillId="2" borderId="26" xfId="96" applyNumberFormat="1" applyFont="1" applyFill="1" applyBorder="1" applyAlignment="1">
      <alignment horizontal="center" vertical="center" wrapText="1"/>
    </xf>
    <xf numFmtId="0" fontId="16" fillId="2" borderId="26" xfId="96" applyFont="1" applyFill="1" applyBorder="1" applyAlignment="1">
      <alignment horizontal="center" vertical="center" wrapText="1"/>
    </xf>
    <xf numFmtId="173" fontId="72" fillId="2" borderId="0" xfId="299" applyNumberFormat="1" applyFont="1" applyFill="1"/>
    <xf numFmtId="0" fontId="72" fillId="2" borderId="26" xfId="96" applyFont="1" applyFill="1" applyBorder="1" applyAlignment="1">
      <alignment horizontal="center" vertical="center" wrapText="1"/>
    </xf>
    <xf numFmtId="0" fontId="97" fillId="2" borderId="26" xfId="96" applyFont="1" applyFill="1" applyBorder="1" applyAlignment="1">
      <alignment horizontal="center" vertical="center" wrapText="1"/>
    </xf>
    <xf numFmtId="168" fontId="72" fillId="2" borderId="26" xfId="96" applyNumberFormat="1" applyFont="1" applyFill="1" applyBorder="1" applyAlignment="1">
      <alignment horizontal="center" vertical="center" wrapText="1"/>
    </xf>
    <xf numFmtId="0" fontId="72" fillId="2" borderId="0" xfId="1734" applyFont="1" applyFill="1"/>
    <xf numFmtId="0" fontId="72" fillId="2" borderId="0" xfId="1734" applyFont="1" applyFill="1" applyAlignment="1">
      <alignment vertical="center"/>
    </xf>
    <xf numFmtId="0" fontId="72" fillId="2" borderId="0" xfId="1734" applyFont="1" applyFill="1" applyAlignment="1">
      <alignment horizontal="center" vertical="center"/>
    </xf>
    <xf numFmtId="169" fontId="72" fillId="2" borderId="0" xfId="1734" applyNumberFormat="1" applyFont="1" applyFill="1" applyAlignment="1">
      <alignment horizontal="right" vertical="center"/>
    </xf>
    <xf numFmtId="0" fontId="16" fillId="2" borderId="0" xfId="1734" applyFont="1" applyFill="1" applyAlignment="1">
      <alignment horizontal="center" vertical="center" wrapText="1"/>
    </xf>
    <xf numFmtId="169" fontId="16" fillId="2" borderId="0" xfId="1734" applyNumberFormat="1" applyFont="1" applyFill="1" applyAlignment="1">
      <alignment horizontal="center" vertical="center" wrapText="1"/>
    </xf>
    <xf numFmtId="0" fontId="72" fillId="2" borderId="26" xfId="1735" applyFont="1" applyFill="1" applyBorder="1" applyAlignment="1">
      <alignment horizontal="center" vertical="center" wrapText="1"/>
    </xf>
    <xf numFmtId="169" fontId="72" fillId="2" borderId="26" xfId="1736" applyNumberFormat="1" applyFont="1" applyFill="1" applyBorder="1" applyAlignment="1">
      <alignment horizontal="center" vertical="center"/>
    </xf>
    <xf numFmtId="0" fontId="72" fillId="2" borderId="26" xfId="1735" applyFont="1" applyFill="1" applyBorder="1" applyAlignment="1">
      <alignment horizontal="center"/>
    </xf>
    <xf numFmtId="49" fontId="72" fillId="2" borderId="32" xfId="0" applyNumberFormat="1" applyFont="1" applyFill="1" applyBorder="1" applyAlignment="1">
      <alignment horizontal="left" vertical="top" wrapText="1"/>
    </xf>
    <xf numFmtId="166" fontId="72" fillId="2" borderId="32" xfId="7" applyNumberFormat="1" applyFont="1" applyFill="1" applyBorder="1" applyAlignment="1">
      <alignment horizontal="right" vertical="center" wrapText="1"/>
    </xf>
    <xf numFmtId="169" fontId="72" fillId="2" borderId="32" xfId="7" applyNumberFormat="1" applyFont="1" applyFill="1" applyBorder="1" applyAlignment="1">
      <alignment horizontal="right" vertical="center" wrapText="1"/>
    </xf>
    <xf numFmtId="0" fontId="73" fillId="2" borderId="32" xfId="0" applyFont="1" applyFill="1" applyBorder="1" applyAlignment="1">
      <alignment vertical="center" wrapText="1"/>
    </xf>
    <xf numFmtId="39" fontId="96" fillId="2" borderId="32" xfId="0" applyNumberFormat="1" applyFont="1" applyFill="1" applyBorder="1" applyAlignment="1">
      <alignment horizontal="right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33" xfId="0" applyFont="1" applyFill="1" applyBorder="1" applyAlignment="1">
      <alignment horizontal="left" vertical="center" wrapText="1"/>
    </xf>
    <xf numFmtId="0" fontId="16" fillId="2" borderId="34" xfId="0" applyFont="1" applyFill="1" applyBorder="1" applyAlignment="1">
      <alignment horizontal="left" vertical="center" wrapText="1"/>
    </xf>
    <xf numFmtId="0" fontId="72" fillId="0" borderId="32" xfId="0" applyFont="1" applyBorder="1" applyAlignment="1">
      <alignment horizontal="center" vertical="top" wrapText="1"/>
    </xf>
    <xf numFmtId="0" fontId="73" fillId="2" borderId="1" xfId="0" applyFont="1" applyFill="1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top" wrapText="1"/>
    </xf>
    <xf numFmtId="0" fontId="72" fillId="0" borderId="22" xfId="0" applyFont="1" applyBorder="1" applyAlignment="1">
      <alignment horizontal="center" vertical="top" wrapText="1"/>
    </xf>
    <xf numFmtId="0" fontId="13" fillId="2" borderId="32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166" fontId="72" fillId="2" borderId="32" xfId="7" applyNumberFormat="1" applyFont="1" applyFill="1" applyBorder="1" applyAlignment="1">
      <alignment horizontal="center" vertical="center" wrapText="1"/>
    </xf>
    <xf numFmtId="169" fontId="16" fillId="2" borderId="32" xfId="7" applyNumberFormat="1" applyFont="1" applyFill="1" applyBorder="1" applyAlignment="1">
      <alignment horizontal="right" vertical="center" wrapText="1"/>
    </xf>
    <xf numFmtId="169" fontId="84" fillId="2" borderId="32" xfId="7" applyNumberFormat="1" applyFont="1" applyFill="1" applyBorder="1" applyAlignment="1">
      <alignment horizontal="right" vertical="top" wrapText="1"/>
    </xf>
    <xf numFmtId="169" fontId="84" fillId="2" borderId="32" xfId="7" applyNumberFormat="1" applyFont="1" applyFill="1" applyBorder="1" applyAlignment="1">
      <alignment horizontal="right" vertical="center" wrapText="1"/>
    </xf>
    <xf numFmtId="43" fontId="72" fillId="2" borderId="32" xfId="7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top" wrapText="1"/>
    </xf>
    <xf numFmtId="168" fontId="72" fillId="2" borderId="0" xfId="253" applyNumberFormat="1" applyFont="1" applyFill="1"/>
    <xf numFmtId="0" fontId="16" fillId="2" borderId="32" xfId="0" applyFont="1" applyFill="1" applyBorder="1" applyAlignment="1">
      <alignment horizontal="center" wrapText="1"/>
    </xf>
    <xf numFmtId="43" fontId="72" fillId="2" borderId="32" xfId="7" applyFont="1" applyFill="1" applyBorder="1" applyAlignment="1">
      <alignment vertical="center" wrapText="1"/>
    </xf>
    <xf numFmtId="169" fontId="72" fillId="2" borderId="0" xfId="299" applyNumberFormat="1" applyFont="1" applyFill="1"/>
    <xf numFmtId="0" fontId="13" fillId="2" borderId="22" xfId="0" applyFont="1" applyFill="1" applyBorder="1" applyAlignment="1">
      <alignment horizontal="center" vertical="center" wrapText="1"/>
    </xf>
    <xf numFmtId="0" fontId="73" fillId="2" borderId="29" xfId="0" applyFont="1" applyFill="1" applyBorder="1" applyAlignment="1">
      <alignment vertical="center" wrapText="1"/>
    </xf>
    <xf numFmtId="169" fontId="73" fillId="2" borderId="32" xfId="0" applyNumberFormat="1" applyFont="1" applyFill="1" applyBorder="1" applyAlignment="1">
      <alignment vertical="center" wrapText="1"/>
    </xf>
    <xf numFmtId="0" fontId="73" fillId="0" borderId="35" xfId="0" applyFont="1" applyBorder="1" applyAlignment="1">
      <alignment horizontal="center" vertical="center" wrapText="1"/>
    </xf>
    <xf numFmtId="0" fontId="73" fillId="0" borderId="32" xfId="0" applyFont="1" applyBorder="1" applyAlignment="1">
      <alignment vertical="center" wrapText="1"/>
    </xf>
    <xf numFmtId="37" fontId="73" fillId="0" borderId="32" xfId="0" applyNumberFormat="1" applyFont="1" applyBorder="1" applyAlignment="1">
      <alignment vertical="center" wrapText="1"/>
    </xf>
    <xf numFmtId="43" fontId="16" fillId="0" borderId="32" xfId="7" applyFont="1" applyFill="1" applyBorder="1" applyAlignment="1">
      <alignment vertical="center" wrapText="1"/>
    </xf>
    <xf numFmtId="169" fontId="16" fillId="2" borderId="22" xfId="96" applyNumberFormat="1" applyFont="1" applyFill="1" applyBorder="1" applyAlignment="1">
      <alignment horizontal="center" vertical="center" wrapText="1"/>
    </xf>
    <xf numFmtId="165" fontId="16" fillId="0" borderId="32" xfId="2031" applyFont="1" applyBorder="1">
      <alignment horizontal="right" vertical="top"/>
    </xf>
    <xf numFmtId="0" fontId="72" fillId="0" borderId="32" xfId="0" applyFont="1" applyBorder="1" applyAlignment="1">
      <alignment horizontal="right" vertical="top" wrapText="1"/>
    </xf>
    <xf numFmtId="0" fontId="16" fillId="2" borderId="39" xfId="0" applyFont="1" applyFill="1" applyBorder="1" applyAlignment="1">
      <alignment vertical="center" wrapText="1"/>
    </xf>
    <xf numFmtId="0" fontId="16" fillId="2" borderId="39" xfId="0" applyFont="1" applyFill="1" applyBorder="1" applyAlignment="1">
      <alignment horizontal="center" vertical="center" wrapText="1"/>
    </xf>
    <xf numFmtId="169" fontId="16" fillId="2" borderId="2" xfId="96" applyNumberFormat="1" applyFont="1" applyFill="1" applyBorder="1" applyAlignment="1">
      <alignment horizontal="center" vertical="center" wrapText="1"/>
    </xf>
    <xf numFmtId="169" fontId="16" fillId="57" borderId="32" xfId="96" applyNumberFormat="1" applyFont="1" applyFill="1" applyBorder="1" applyAlignment="1">
      <alignment horizontal="center" vertical="center" wrapText="1"/>
    </xf>
    <xf numFmtId="0" fontId="16" fillId="2" borderId="31" xfId="0" applyFont="1" applyFill="1" applyBorder="1" applyAlignment="1">
      <alignment vertical="center" wrapText="1"/>
    </xf>
    <xf numFmtId="0" fontId="16" fillId="2" borderId="35" xfId="0" applyFont="1" applyFill="1" applyBorder="1" applyAlignment="1">
      <alignment vertical="center" wrapText="1"/>
    </xf>
    <xf numFmtId="43" fontId="72" fillId="0" borderId="0" xfId="253" applyNumberFormat="1" applyFont="1"/>
    <xf numFmtId="43" fontId="89" fillId="2" borderId="0" xfId="299" applyNumberFormat="1" applyFont="1" applyFill="1"/>
    <xf numFmtId="49" fontId="72" fillId="2" borderId="26" xfId="96" applyNumberFormat="1" applyFont="1" applyFill="1" applyBorder="1" applyAlignment="1">
      <alignment horizontal="center" vertical="center" textRotation="90" wrapText="1"/>
    </xf>
    <xf numFmtId="169" fontId="89" fillId="2" borderId="26" xfId="96" applyNumberFormat="1" applyFont="1" applyFill="1" applyBorder="1" applyAlignment="1">
      <alignment horizontal="center" vertical="center" wrapText="1"/>
    </xf>
    <xf numFmtId="173" fontId="89" fillId="2" borderId="0" xfId="299" applyNumberFormat="1" applyFont="1" applyFill="1"/>
    <xf numFmtId="43" fontId="72" fillId="2" borderId="0" xfId="7" applyFont="1" applyFill="1" applyAlignment="1">
      <alignment vertical="top"/>
    </xf>
    <xf numFmtId="43" fontId="89" fillId="2" borderId="0" xfId="7" applyFont="1" applyFill="1"/>
    <xf numFmtId="43" fontId="90" fillId="2" borderId="0" xfId="7" applyFont="1" applyFill="1" applyAlignment="1">
      <alignment vertical="top"/>
    </xf>
    <xf numFmtId="43" fontId="90" fillId="2" borderId="0" xfId="7" applyFont="1" applyFill="1"/>
    <xf numFmtId="43" fontId="99" fillId="2" borderId="0" xfId="7" applyFont="1" applyFill="1"/>
    <xf numFmtId="43" fontId="100" fillId="2" borderId="0" xfId="7" applyFont="1" applyFill="1"/>
    <xf numFmtId="43" fontId="100" fillId="2" borderId="0" xfId="7" applyFont="1" applyFill="1" applyAlignment="1">
      <alignment vertical="center"/>
    </xf>
    <xf numFmtId="0" fontId="72" fillId="2" borderId="30" xfId="0" applyFont="1" applyFill="1" applyBorder="1" applyAlignment="1">
      <alignment horizontal="right"/>
    </xf>
    <xf numFmtId="0" fontId="16" fillId="2" borderId="32" xfId="8" applyFont="1" applyFill="1" applyBorder="1" applyAlignment="1">
      <alignment horizontal="center" vertical="top" wrapText="1"/>
    </xf>
    <xf numFmtId="165" fontId="16" fillId="2" borderId="32" xfId="8" applyNumberFormat="1" applyFont="1" applyFill="1" applyBorder="1" applyAlignment="1">
      <alignment horizontal="center" vertical="center" wrapText="1"/>
    </xf>
    <xf numFmtId="169" fontId="16" fillId="2" borderId="32" xfId="0" applyNumberFormat="1" applyFont="1" applyFill="1" applyBorder="1" applyAlignment="1">
      <alignment horizontal="center" vertical="center"/>
    </xf>
    <xf numFmtId="165" fontId="72" fillId="2" borderId="32" xfId="8" applyNumberFormat="1" applyFont="1" applyFill="1" applyBorder="1" applyAlignment="1">
      <alignment horizontal="center" vertical="center" wrapText="1"/>
    </xf>
    <xf numFmtId="168" fontId="16" fillId="2" borderId="32" xfId="0" applyNumberFormat="1" applyFont="1" applyFill="1" applyBorder="1" applyAlignment="1">
      <alignment horizontal="center" vertical="center"/>
    </xf>
    <xf numFmtId="0" fontId="16" fillId="2" borderId="32" xfId="0" applyFont="1" applyFill="1" applyBorder="1" applyAlignment="1">
      <alignment wrapText="1"/>
    </xf>
    <xf numFmtId="165" fontId="16" fillId="2" borderId="32" xfId="6" applyFont="1" applyFill="1" applyBorder="1" applyAlignment="1">
      <alignment horizontal="right" vertical="center"/>
    </xf>
    <xf numFmtId="165" fontId="72" fillId="2" borderId="32" xfId="6" applyFont="1" applyFill="1" applyBorder="1" applyAlignment="1">
      <alignment horizontal="right" vertical="center"/>
    </xf>
    <xf numFmtId="0" fontId="84" fillId="2" borderId="32" xfId="0" applyFont="1" applyFill="1" applyBorder="1" applyAlignment="1">
      <alignment horizontal="left" vertical="top" wrapText="1"/>
    </xf>
    <xf numFmtId="165" fontId="84" fillId="2" borderId="32" xfId="6" applyFont="1" applyFill="1" applyBorder="1" applyAlignment="1">
      <alignment horizontal="right" vertical="center"/>
    </xf>
    <xf numFmtId="0" fontId="16" fillId="2" borderId="38" xfId="0" applyFont="1" applyFill="1" applyBorder="1" applyAlignment="1">
      <alignment horizontal="center" vertical="top" wrapText="1"/>
    </xf>
    <xf numFmtId="0" fontId="16" fillId="2" borderId="34" xfId="0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left" vertical="center" wrapText="1"/>
    </xf>
    <xf numFmtId="49" fontId="16" fillId="2" borderId="35" xfId="0" applyNumberFormat="1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left" vertical="top" wrapText="1"/>
    </xf>
    <xf numFmtId="0" fontId="16" fillId="2" borderId="31" xfId="0" applyFont="1" applyFill="1" applyBorder="1"/>
    <xf numFmtId="177" fontId="72" fillId="2" borderId="0" xfId="253" applyNumberFormat="1" applyFont="1" applyFill="1"/>
    <xf numFmtId="37" fontId="73" fillId="2" borderId="39" xfId="0" applyNumberFormat="1" applyFont="1" applyFill="1" applyBorder="1" applyAlignment="1">
      <alignment vertical="center" wrapText="1"/>
    </xf>
    <xf numFmtId="177" fontId="86" fillId="2" borderId="32" xfId="0" applyNumberFormat="1" applyFont="1" applyFill="1" applyBorder="1" applyAlignment="1">
      <alignment vertical="center" wrapText="1"/>
    </xf>
    <xf numFmtId="0" fontId="101" fillId="0" borderId="32" xfId="0" applyFont="1" applyBorder="1" applyAlignment="1">
      <alignment horizontal="center" vertical="center" wrapText="1"/>
    </xf>
    <xf numFmtId="0" fontId="101" fillId="0" borderId="32" xfId="0" applyFont="1" applyBorder="1" applyAlignment="1">
      <alignment horizontal="left" vertical="center" wrapText="1"/>
    </xf>
    <xf numFmtId="37" fontId="72" fillId="2" borderId="26" xfId="1735" applyNumberFormat="1" applyFont="1" applyFill="1" applyBorder="1" applyAlignment="1">
      <alignment horizontal="center" vertical="center" wrapText="1"/>
    </xf>
    <xf numFmtId="168" fontId="102" fillId="2" borderId="2" xfId="96" applyNumberFormat="1" applyFont="1" applyFill="1" applyBorder="1" applyAlignment="1">
      <alignment horizontal="center" vertical="center" wrapText="1"/>
    </xf>
    <xf numFmtId="177" fontId="72" fillId="2" borderId="26" xfId="7" applyNumberFormat="1" applyFont="1" applyFill="1" applyBorder="1" applyAlignment="1">
      <alignment vertical="center"/>
    </xf>
    <xf numFmtId="166" fontId="103" fillId="2" borderId="32" xfId="223" applyNumberFormat="1" applyFont="1" applyFill="1" applyBorder="1" applyAlignment="1">
      <alignment vertical="center"/>
    </xf>
    <xf numFmtId="43" fontId="104" fillId="2" borderId="0" xfId="7" applyFont="1" applyFill="1"/>
    <xf numFmtId="0" fontId="104" fillId="2" borderId="0" xfId="0" applyFont="1" applyFill="1"/>
    <xf numFmtId="0" fontId="13" fillId="2" borderId="31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center" vertical="top"/>
    </xf>
    <xf numFmtId="0" fontId="16" fillId="0" borderId="32" xfId="0" applyFont="1" applyBorder="1" applyAlignment="1">
      <alignment horizontal="left" vertical="center" wrapText="1"/>
    </xf>
    <xf numFmtId="0" fontId="16" fillId="0" borderId="32" xfId="0" applyFont="1" applyBorder="1" applyAlignment="1">
      <alignment horizontal="center" vertical="center" wrapText="1"/>
    </xf>
    <xf numFmtId="0" fontId="72" fillId="0" borderId="32" xfId="0" applyFont="1" applyBorder="1" applyAlignment="1">
      <alignment horizontal="left" vertical="center" wrapText="1"/>
    </xf>
    <xf numFmtId="0" fontId="72" fillId="2" borderId="0" xfId="0" applyFont="1" applyFill="1" applyAlignment="1">
      <alignment horizontal="right" vertical="top"/>
    </xf>
    <xf numFmtId="0" fontId="72" fillId="2" borderId="0" xfId="0" applyFont="1" applyFill="1" applyAlignment="1">
      <alignment horizontal="right" vertical="center"/>
    </xf>
    <xf numFmtId="0" fontId="16" fillId="2" borderId="0" xfId="0" applyFont="1" applyFill="1" applyAlignment="1">
      <alignment horizontal="center" vertical="center" wrapText="1"/>
    </xf>
    <xf numFmtId="0" fontId="72" fillId="2" borderId="33" xfId="0" applyFont="1" applyFill="1" applyBorder="1" applyAlignment="1">
      <alignment horizontal="center" vertical="center" wrapText="1"/>
    </xf>
    <xf numFmtId="0" fontId="72" fillId="2" borderId="29" xfId="0" applyFont="1" applyFill="1" applyBorder="1" applyAlignment="1">
      <alignment horizontal="center" vertical="center" wrapText="1"/>
    </xf>
    <xf numFmtId="49" fontId="16" fillId="2" borderId="32" xfId="0" applyNumberFormat="1" applyFont="1" applyFill="1" applyBorder="1" applyAlignment="1">
      <alignment horizontal="center" vertical="top" wrapText="1"/>
    </xf>
    <xf numFmtId="49" fontId="16" fillId="2" borderId="33" xfId="0" applyNumberFormat="1" applyFont="1" applyFill="1" applyBorder="1" applyAlignment="1">
      <alignment horizontal="center" vertical="top" wrapText="1"/>
    </xf>
    <xf numFmtId="49" fontId="16" fillId="2" borderId="32" xfId="0" applyNumberFormat="1" applyFont="1" applyFill="1" applyBorder="1" applyAlignment="1">
      <alignment horizontal="center" vertical="top"/>
    </xf>
    <xf numFmtId="0" fontId="16" fillId="2" borderId="22" xfId="0" applyFont="1" applyFill="1" applyBorder="1" applyAlignment="1">
      <alignment horizontal="center" vertical="top"/>
    </xf>
    <xf numFmtId="0" fontId="16" fillId="2" borderId="1" xfId="0" applyFont="1" applyFill="1" applyBorder="1" applyAlignment="1">
      <alignment horizontal="center" vertical="top"/>
    </xf>
    <xf numFmtId="0" fontId="16" fillId="2" borderId="2" xfId="0" applyFont="1" applyFill="1" applyBorder="1" applyAlignment="1">
      <alignment horizontal="center" vertical="top"/>
    </xf>
    <xf numFmtId="0" fontId="72" fillId="2" borderId="29" xfId="0" applyFont="1" applyFill="1" applyBorder="1" applyAlignment="1">
      <alignment horizontal="center" vertical="top" wrapText="1"/>
    </xf>
    <xf numFmtId="0" fontId="72" fillId="2" borderId="32" xfId="0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vertical="center" wrapText="1"/>
    </xf>
    <xf numFmtId="0" fontId="16" fillId="2" borderId="1" xfId="0" applyFont="1" applyFill="1" applyBorder="1" applyAlignment="1">
      <alignment horizontal="center" vertical="center" wrapText="1"/>
    </xf>
    <xf numFmtId="0" fontId="16" fillId="2" borderId="35" xfId="0" applyFont="1" applyFill="1" applyBorder="1" applyAlignment="1">
      <alignment horizontal="center" vertical="center" wrapText="1"/>
    </xf>
    <xf numFmtId="0" fontId="16" fillId="2" borderId="39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left" vertical="top" wrapText="1"/>
    </xf>
    <xf numFmtId="0" fontId="16" fillId="2" borderId="32" xfId="0" applyFont="1" applyFill="1" applyBorder="1" applyAlignment="1">
      <alignment horizontal="left" vertical="top" wrapText="1"/>
    </xf>
    <xf numFmtId="0" fontId="16" fillId="2" borderId="32" xfId="0" applyFont="1" applyFill="1" applyBorder="1" applyAlignment="1">
      <alignment horizontal="center" vertical="top" wrapText="1"/>
    </xf>
    <xf numFmtId="0" fontId="16" fillId="2" borderId="22" xfId="0" applyFont="1" applyFill="1" applyBorder="1" applyAlignment="1">
      <alignment horizontal="center" wrapText="1"/>
    </xf>
    <xf numFmtId="0" fontId="16" fillId="2" borderId="1" xfId="0" applyFont="1" applyFill="1" applyBorder="1" applyAlignment="1">
      <alignment horizontal="center" wrapText="1"/>
    </xf>
    <xf numFmtId="0" fontId="16" fillId="2" borderId="32" xfId="0" applyFont="1" applyFill="1" applyBorder="1" applyAlignment="1">
      <alignment horizontal="center" wrapText="1"/>
    </xf>
    <xf numFmtId="0" fontId="16" fillId="2" borderId="2" xfId="0" applyFont="1" applyFill="1" applyBorder="1" applyAlignment="1">
      <alignment horizontal="center" vertical="center" wrapText="1"/>
    </xf>
    <xf numFmtId="0" fontId="72" fillId="2" borderId="22" xfId="0" applyFont="1" applyFill="1" applyBorder="1" applyAlignment="1">
      <alignment horizontal="center"/>
    </xf>
    <xf numFmtId="0" fontId="72" fillId="2" borderId="1" xfId="0" applyFont="1" applyFill="1" applyBorder="1" applyAlignment="1">
      <alignment horizontal="center"/>
    </xf>
    <xf numFmtId="0" fontId="72" fillId="2" borderId="2" xfId="0" applyFont="1" applyFill="1" applyBorder="1" applyAlignment="1">
      <alignment horizontal="center"/>
    </xf>
    <xf numFmtId="49" fontId="16" fillId="2" borderId="22" xfId="0" applyNumberFormat="1" applyFont="1" applyFill="1" applyBorder="1" applyAlignment="1">
      <alignment horizontal="center" vertical="top" wrapText="1"/>
    </xf>
    <xf numFmtId="49" fontId="16" fillId="2" borderId="1" xfId="0" applyNumberFormat="1" applyFont="1" applyFill="1" applyBorder="1" applyAlignment="1">
      <alignment horizontal="center" vertical="top" wrapText="1"/>
    </xf>
    <xf numFmtId="49" fontId="16" fillId="2" borderId="2" xfId="0" applyNumberFormat="1" applyFont="1" applyFill="1" applyBorder="1" applyAlignment="1">
      <alignment horizontal="center" vertical="top" wrapText="1"/>
    </xf>
    <xf numFmtId="49" fontId="16" fillId="2" borderId="36" xfId="0" applyNumberFormat="1" applyFont="1" applyFill="1" applyBorder="1" applyAlignment="1">
      <alignment horizontal="center" vertical="top" wrapText="1"/>
    </xf>
    <xf numFmtId="49" fontId="16" fillId="2" borderId="40" xfId="0" applyNumberFormat="1" applyFont="1" applyFill="1" applyBorder="1" applyAlignment="1">
      <alignment horizontal="center" vertical="top" wrapText="1"/>
    </xf>
    <xf numFmtId="49" fontId="16" fillId="2" borderId="38" xfId="0" applyNumberFormat="1" applyFont="1" applyFill="1" applyBorder="1" applyAlignment="1">
      <alignment horizontal="center" vertical="top" wrapText="1"/>
    </xf>
    <xf numFmtId="0" fontId="16" fillId="2" borderId="33" xfId="0" applyFont="1" applyFill="1" applyBorder="1" applyAlignment="1">
      <alignment horizontal="left" vertical="top" wrapText="1"/>
    </xf>
    <xf numFmtId="0" fontId="16" fillId="2" borderId="22" xfId="0" applyFont="1" applyFill="1" applyBorder="1" applyAlignment="1">
      <alignment horizontal="center"/>
    </xf>
    <xf numFmtId="0" fontId="16" fillId="2" borderId="1" xfId="0" applyFont="1" applyFill="1" applyBorder="1" applyAlignment="1">
      <alignment horizontal="center"/>
    </xf>
    <xf numFmtId="0" fontId="16" fillId="2" borderId="2" xfId="0" applyFont="1" applyFill="1" applyBorder="1" applyAlignment="1">
      <alignment horizontal="center"/>
    </xf>
    <xf numFmtId="0" fontId="90" fillId="2" borderId="22" xfId="0" applyFont="1" applyFill="1" applyBorder="1" applyAlignment="1">
      <alignment horizontal="center" wrapText="1"/>
    </xf>
    <xf numFmtId="0" fontId="90" fillId="2" borderId="1" xfId="0" applyFont="1" applyFill="1" applyBorder="1" applyAlignment="1">
      <alignment horizontal="center" wrapText="1"/>
    </xf>
    <xf numFmtId="0" fontId="90" fillId="2" borderId="2" xfId="0" applyFont="1" applyFill="1" applyBorder="1" applyAlignment="1">
      <alignment horizontal="center" wrapText="1"/>
    </xf>
    <xf numFmtId="0" fontId="90" fillId="2" borderId="22" xfId="0" applyFont="1" applyFill="1" applyBorder="1" applyAlignment="1">
      <alignment horizontal="center" vertical="top" wrapText="1"/>
    </xf>
    <xf numFmtId="0" fontId="90" fillId="2" borderId="1" xfId="0" applyFont="1" applyFill="1" applyBorder="1" applyAlignment="1">
      <alignment horizontal="center" vertical="top" wrapText="1"/>
    </xf>
    <xf numFmtId="0" fontId="90" fillId="2" borderId="2" xfId="0" applyFont="1" applyFill="1" applyBorder="1" applyAlignment="1">
      <alignment horizontal="center" vertical="top" wrapText="1"/>
    </xf>
    <xf numFmtId="0" fontId="72" fillId="2" borderId="22" xfId="0" applyFont="1" applyFill="1" applyBorder="1" applyAlignment="1">
      <alignment horizontal="center" vertical="top" wrapText="1"/>
    </xf>
    <xf numFmtId="0" fontId="72" fillId="2" borderId="1" xfId="0" applyFont="1" applyFill="1" applyBorder="1" applyAlignment="1">
      <alignment horizontal="center" vertical="top" wrapText="1"/>
    </xf>
    <xf numFmtId="0" fontId="72" fillId="2" borderId="2" xfId="0" applyFont="1" applyFill="1" applyBorder="1" applyAlignment="1">
      <alignment horizontal="center" vertical="top" wrapText="1"/>
    </xf>
    <xf numFmtId="0" fontId="90" fillId="2" borderId="32" xfId="0" applyFont="1" applyFill="1" applyBorder="1" applyAlignment="1">
      <alignment horizontal="center" wrapText="1"/>
    </xf>
    <xf numFmtId="0" fontId="16" fillId="2" borderId="32" xfId="0" applyFont="1" applyFill="1" applyBorder="1" applyAlignment="1">
      <alignment horizontal="center"/>
    </xf>
    <xf numFmtId="0" fontId="72" fillId="2" borderId="0" xfId="0" applyFont="1" applyFill="1" applyAlignment="1">
      <alignment horizontal="right"/>
    </xf>
    <xf numFmtId="0" fontId="16" fillId="2" borderId="0" xfId="0" applyFont="1" applyFill="1" applyAlignment="1">
      <alignment horizontal="center" wrapText="1"/>
    </xf>
    <xf numFmtId="0" fontId="72" fillId="2" borderId="21" xfId="0" applyFont="1" applyFill="1" applyBorder="1" applyAlignment="1">
      <alignment horizontal="center" vertical="center" wrapText="1"/>
    </xf>
    <xf numFmtId="0" fontId="90" fillId="2" borderId="32" xfId="0" applyFont="1" applyFill="1" applyBorder="1" applyAlignment="1">
      <alignment horizontal="center" vertical="top" wrapText="1"/>
    </xf>
    <xf numFmtId="0" fontId="16" fillId="2" borderId="32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center" wrapText="1"/>
    </xf>
    <xf numFmtId="0" fontId="89" fillId="2" borderId="22" xfId="0" applyFont="1" applyFill="1" applyBorder="1" applyAlignment="1">
      <alignment horizontal="center"/>
    </xf>
    <xf numFmtId="0" fontId="89" fillId="2" borderId="1" xfId="0" applyFont="1" applyFill="1" applyBorder="1" applyAlignment="1">
      <alignment horizontal="center"/>
    </xf>
    <xf numFmtId="0" fontId="89" fillId="2" borderId="2" xfId="0" applyFont="1" applyFill="1" applyBorder="1" applyAlignment="1">
      <alignment horizontal="center"/>
    </xf>
    <xf numFmtId="0" fontId="16" fillId="2" borderId="22" xfId="0" applyFont="1" applyFill="1" applyBorder="1" applyAlignment="1">
      <alignment horizontal="center" vertical="top" wrapText="1"/>
    </xf>
    <xf numFmtId="0" fontId="16" fillId="2" borderId="1" xfId="0" applyFont="1" applyFill="1" applyBorder="1" applyAlignment="1">
      <alignment horizontal="center" vertical="top" wrapText="1"/>
    </xf>
    <xf numFmtId="0" fontId="16" fillId="2" borderId="2" xfId="0" applyFont="1" applyFill="1" applyBorder="1" applyAlignment="1">
      <alignment horizontal="center" vertical="top" wrapText="1"/>
    </xf>
    <xf numFmtId="0" fontId="89" fillId="2" borderId="32" xfId="0" applyFont="1" applyFill="1" applyBorder="1" applyAlignment="1">
      <alignment horizontal="center"/>
    </xf>
    <xf numFmtId="0" fontId="89" fillId="2" borderId="29" xfId="0" applyFont="1" applyFill="1" applyBorder="1" applyAlignment="1">
      <alignment horizontal="center"/>
    </xf>
    <xf numFmtId="49" fontId="16" fillId="2" borderId="36" xfId="0" applyNumberFormat="1" applyFont="1" applyFill="1" applyBorder="1" applyAlignment="1">
      <alignment horizontal="center" vertical="top"/>
    </xf>
    <xf numFmtId="49" fontId="16" fillId="2" borderId="40" xfId="0" applyNumberFormat="1" applyFont="1" applyFill="1" applyBorder="1" applyAlignment="1">
      <alignment horizontal="center" vertical="top"/>
    </xf>
    <xf numFmtId="49" fontId="16" fillId="2" borderId="1" xfId="0" applyNumberFormat="1" applyFont="1" applyFill="1" applyBorder="1" applyAlignment="1">
      <alignment horizontal="center" vertical="top"/>
    </xf>
    <xf numFmtId="49" fontId="16" fillId="2" borderId="2" xfId="0" applyNumberFormat="1" applyFont="1" applyFill="1" applyBorder="1" applyAlignment="1">
      <alignment horizontal="center" vertical="top"/>
    </xf>
    <xf numFmtId="0" fontId="16" fillId="2" borderId="36" xfId="0" applyFont="1" applyFill="1" applyBorder="1" applyAlignment="1">
      <alignment horizontal="center" vertical="center"/>
    </xf>
    <xf numFmtId="0" fontId="16" fillId="2" borderId="38" xfId="0" applyFont="1" applyFill="1" applyBorder="1" applyAlignment="1">
      <alignment horizontal="center" vertical="center"/>
    </xf>
    <xf numFmtId="0" fontId="72" fillId="2" borderId="22" xfId="299" applyFont="1" applyFill="1" applyBorder="1" applyAlignment="1">
      <alignment horizontal="center"/>
    </xf>
    <xf numFmtId="0" fontId="72" fillId="2" borderId="1" xfId="299" applyFont="1" applyFill="1" applyBorder="1" applyAlignment="1">
      <alignment horizontal="center"/>
    </xf>
    <xf numFmtId="0" fontId="72" fillId="2" borderId="2" xfId="299" applyFont="1" applyFill="1" applyBorder="1" applyAlignment="1">
      <alignment horizontal="center"/>
    </xf>
    <xf numFmtId="169" fontId="72" fillId="2" borderId="0" xfId="96" applyNumberFormat="1" applyFont="1" applyFill="1" applyAlignment="1">
      <alignment horizontal="right" vertical="top" wrapText="1"/>
    </xf>
    <xf numFmtId="169" fontId="72" fillId="2" borderId="0" xfId="96" applyNumberFormat="1" applyFont="1" applyFill="1" applyAlignment="1">
      <alignment horizontal="right" vertical="center" wrapText="1"/>
    </xf>
    <xf numFmtId="49" fontId="16" fillId="2" borderId="0" xfId="96" applyNumberFormat="1" applyFont="1" applyFill="1" applyAlignment="1">
      <alignment horizontal="center" vertical="center" wrapText="1"/>
    </xf>
    <xf numFmtId="0" fontId="72" fillId="2" borderId="0" xfId="1660" applyFont="1" applyFill="1" applyAlignment="1">
      <alignment vertical="center" wrapText="1"/>
    </xf>
    <xf numFmtId="0" fontId="72" fillId="2" borderId="30" xfId="2028" applyFont="1" applyFill="1" applyBorder="1" applyAlignment="1">
      <alignment horizontal="right"/>
    </xf>
    <xf numFmtId="49" fontId="16" fillId="2" borderId="27" xfId="96" applyNumberFormat="1" applyFont="1" applyFill="1" applyBorder="1" applyAlignment="1">
      <alignment horizontal="center" vertical="center" wrapText="1"/>
    </xf>
    <xf numFmtId="49" fontId="16" fillId="2" borderId="29" xfId="96" applyNumberFormat="1" applyFont="1" applyFill="1" applyBorder="1" applyAlignment="1">
      <alignment horizontal="center" vertical="center" wrapText="1"/>
    </xf>
    <xf numFmtId="0" fontId="16" fillId="2" borderId="22" xfId="96" applyFont="1" applyFill="1" applyBorder="1" applyAlignment="1">
      <alignment horizontal="center" vertical="center" wrapText="1"/>
    </xf>
    <xf numFmtId="0" fontId="16" fillId="2" borderId="2" xfId="96" applyFont="1" applyFill="1" applyBorder="1" applyAlignment="1">
      <alignment horizontal="center" vertical="center" wrapText="1"/>
    </xf>
    <xf numFmtId="168" fontId="16" fillId="2" borderId="22" xfId="96" applyNumberFormat="1" applyFont="1" applyFill="1" applyBorder="1" applyAlignment="1">
      <alignment horizontal="center" vertical="center" wrapText="1"/>
    </xf>
    <xf numFmtId="168" fontId="16" fillId="2" borderId="2" xfId="96" applyNumberFormat="1" applyFont="1" applyFill="1" applyBorder="1" applyAlignment="1">
      <alignment horizontal="center" vertical="center" wrapText="1"/>
    </xf>
    <xf numFmtId="168" fontId="72" fillId="2" borderId="27" xfId="96" applyNumberFormat="1" applyFont="1" applyFill="1" applyBorder="1" applyAlignment="1">
      <alignment horizontal="center" vertical="center" wrapText="1"/>
    </xf>
    <xf numFmtId="168" fontId="72" fillId="2" borderId="28" xfId="96" applyNumberFormat="1" applyFont="1" applyFill="1" applyBorder="1" applyAlignment="1">
      <alignment horizontal="center" vertical="center" wrapText="1"/>
    </xf>
    <xf numFmtId="168" fontId="72" fillId="2" borderId="29" xfId="96" applyNumberFormat="1" applyFont="1" applyFill="1" applyBorder="1" applyAlignment="1">
      <alignment horizontal="center" vertical="center" wrapText="1"/>
    </xf>
    <xf numFmtId="0" fontId="88" fillId="2" borderId="22" xfId="0" applyFont="1" applyFill="1" applyBorder="1" applyAlignment="1">
      <alignment horizontal="center"/>
    </xf>
    <xf numFmtId="0" fontId="88" fillId="2" borderId="2" xfId="0" applyFont="1" applyFill="1" applyBorder="1" applyAlignment="1">
      <alignment horizontal="center"/>
    </xf>
    <xf numFmtId="0" fontId="88" fillId="2" borderId="1" xfId="0" applyFont="1" applyFill="1" applyBorder="1" applyAlignment="1">
      <alignment horizontal="center"/>
    </xf>
    <xf numFmtId="0" fontId="72" fillId="2" borderId="0" xfId="253" applyFont="1" applyFill="1" applyAlignment="1">
      <alignment horizontal="right" vertical="top" wrapText="1"/>
    </xf>
    <xf numFmtId="0" fontId="72" fillId="2" borderId="0" xfId="253" applyFont="1" applyFill="1" applyAlignment="1">
      <alignment horizontal="right" wrapText="1"/>
    </xf>
    <xf numFmtId="0" fontId="16" fillId="2" borderId="0" xfId="299" applyFont="1" applyFill="1" applyAlignment="1">
      <alignment horizontal="center" vertical="center" wrapText="1"/>
    </xf>
    <xf numFmtId="168" fontId="72" fillId="2" borderId="33" xfId="96" applyNumberFormat="1" applyFont="1" applyFill="1" applyBorder="1" applyAlignment="1">
      <alignment horizontal="center" vertical="center" wrapText="1"/>
    </xf>
    <xf numFmtId="0" fontId="94" fillId="2" borderId="22" xfId="0" applyFont="1" applyFill="1" applyBorder="1" applyAlignment="1">
      <alignment horizontal="center"/>
    </xf>
    <xf numFmtId="0" fontId="94" fillId="2" borderId="2" xfId="0" applyFont="1" applyFill="1" applyBorder="1" applyAlignment="1">
      <alignment horizontal="center"/>
    </xf>
    <xf numFmtId="0" fontId="16" fillId="2" borderId="33" xfId="0" applyFont="1" applyFill="1" applyBorder="1" applyAlignment="1">
      <alignment horizontal="center" vertical="center"/>
    </xf>
    <xf numFmtId="0" fontId="16" fillId="2" borderId="34" xfId="0" applyFont="1" applyFill="1" applyBorder="1" applyAlignment="1">
      <alignment horizontal="center" vertical="center"/>
    </xf>
    <xf numFmtId="0" fontId="16" fillId="2" borderId="29" xfId="0" applyFont="1" applyFill="1" applyBorder="1" applyAlignment="1">
      <alignment horizontal="center" vertical="center"/>
    </xf>
    <xf numFmtId="0" fontId="16" fillId="2" borderId="33" xfId="0" applyFont="1" applyFill="1" applyBorder="1" applyAlignment="1">
      <alignment horizontal="left" vertical="center" wrapText="1"/>
    </xf>
    <xf numFmtId="0" fontId="16" fillId="2" borderId="34" xfId="0" applyFont="1" applyFill="1" applyBorder="1" applyAlignment="1">
      <alignment horizontal="left" vertical="center" wrapText="1"/>
    </xf>
    <xf numFmtId="0" fontId="16" fillId="2" borderId="29" xfId="0" applyFont="1" applyFill="1" applyBorder="1" applyAlignment="1">
      <alignment horizontal="left" vertical="center" wrapText="1"/>
    </xf>
    <xf numFmtId="0" fontId="16" fillId="2" borderId="33" xfId="0" applyFont="1" applyFill="1" applyBorder="1" applyAlignment="1">
      <alignment horizontal="center" vertical="center" wrapText="1"/>
    </xf>
    <xf numFmtId="0" fontId="16" fillId="2" borderId="34" xfId="0" applyFont="1" applyFill="1" applyBorder="1" applyAlignment="1">
      <alignment horizontal="center" vertical="center" wrapText="1"/>
    </xf>
    <xf numFmtId="0" fontId="16" fillId="2" borderId="29" xfId="0" applyFont="1" applyFill="1" applyBorder="1" applyAlignment="1">
      <alignment horizontal="center" vertical="center" wrapText="1"/>
    </xf>
    <xf numFmtId="0" fontId="73" fillId="2" borderId="0" xfId="0" applyFont="1" applyFill="1" applyAlignment="1">
      <alignment horizontal="right" vertical="top"/>
    </xf>
    <xf numFmtId="0" fontId="73" fillId="2" borderId="0" xfId="0" applyFont="1" applyFill="1" applyAlignment="1">
      <alignment horizontal="right"/>
    </xf>
    <xf numFmtId="0" fontId="13" fillId="2" borderId="0" xfId="0" applyFont="1" applyFill="1" applyAlignment="1">
      <alignment horizontal="center" vertical="center" wrapText="1"/>
    </xf>
    <xf numFmtId="0" fontId="13" fillId="2" borderId="30" xfId="0" applyFont="1" applyFill="1" applyBorder="1" applyAlignment="1">
      <alignment horizontal="right" wrapText="1"/>
    </xf>
    <xf numFmtId="0" fontId="72" fillId="2" borderId="32" xfId="8" applyFont="1" applyFill="1" applyBorder="1" applyAlignment="1">
      <alignment horizontal="center" vertical="center" wrapText="1"/>
    </xf>
    <xf numFmtId="0" fontId="72" fillId="2" borderId="36" xfId="8" applyFont="1" applyFill="1" applyBorder="1" applyAlignment="1">
      <alignment horizontal="center" vertical="center" wrapText="1"/>
    </xf>
    <xf numFmtId="0" fontId="72" fillId="2" borderId="37" xfId="8" applyFont="1" applyFill="1" applyBorder="1" applyAlignment="1">
      <alignment horizontal="center" vertical="center" wrapText="1"/>
    </xf>
    <xf numFmtId="0" fontId="72" fillId="2" borderId="31" xfId="8" applyFont="1" applyFill="1" applyBorder="1" applyAlignment="1">
      <alignment horizontal="center" vertical="center" wrapText="1"/>
    </xf>
    <xf numFmtId="0" fontId="72" fillId="2" borderId="38" xfId="8" applyFont="1" applyFill="1" applyBorder="1" applyAlignment="1">
      <alignment horizontal="center" vertical="center" wrapText="1"/>
    </xf>
    <xf numFmtId="0" fontId="72" fillId="2" borderId="30" xfId="8" applyFont="1" applyFill="1" applyBorder="1" applyAlignment="1">
      <alignment horizontal="center" vertical="center" wrapText="1"/>
    </xf>
    <xf numFmtId="0" fontId="72" fillId="2" borderId="39" xfId="8" applyFont="1" applyFill="1" applyBorder="1" applyAlignment="1">
      <alignment horizontal="center" vertical="center" wrapText="1"/>
    </xf>
    <xf numFmtId="0" fontId="72" fillId="2" borderId="22" xfId="8" applyFont="1" applyFill="1" applyBorder="1" applyAlignment="1">
      <alignment horizontal="center" vertical="center" wrapText="1"/>
    </xf>
    <xf numFmtId="0" fontId="72" fillId="2" borderId="2" xfId="8" applyFont="1" applyFill="1" applyBorder="1" applyAlignment="1">
      <alignment horizontal="center" vertical="center" wrapText="1"/>
    </xf>
    <xf numFmtId="177" fontId="84" fillId="2" borderId="33" xfId="98" applyNumberFormat="1" applyFont="1" applyFill="1" applyBorder="1" applyAlignment="1">
      <alignment horizontal="left" vertical="center" wrapText="1"/>
    </xf>
    <xf numFmtId="177" fontId="84" fillId="2" borderId="29" xfId="98" applyNumberFormat="1" applyFont="1" applyFill="1" applyBorder="1" applyAlignment="1">
      <alignment horizontal="left" vertical="center" wrapText="1"/>
    </xf>
    <xf numFmtId="0" fontId="16" fillId="57" borderId="22" xfId="0" applyFont="1" applyFill="1" applyBorder="1" applyAlignment="1">
      <alignment horizontal="left" vertical="top" wrapText="1"/>
    </xf>
    <xf numFmtId="0" fontId="16" fillId="57" borderId="32" xfId="0" applyFont="1" applyFill="1" applyBorder="1" applyAlignment="1">
      <alignment horizontal="left" vertical="top" wrapText="1"/>
    </xf>
    <xf numFmtId="0" fontId="13" fillId="2" borderId="22" xfId="0" applyFont="1" applyFill="1" applyBorder="1" applyAlignment="1">
      <alignment horizontal="left" vertical="center" wrapText="1"/>
    </xf>
    <xf numFmtId="0" fontId="13" fillId="2" borderId="32" xfId="0" applyFont="1" applyFill="1" applyBorder="1" applyAlignment="1">
      <alignment horizontal="left" vertical="center" wrapText="1"/>
    </xf>
    <xf numFmtId="0" fontId="13" fillId="2" borderId="29" xfId="0" applyFont="1" applyFill="1" applyBorder="1" applyAlignment="1">
      <alignment horizontal="center" vertical="center" wrapText="1"/>
    </xf>
    <xf numFmtId="0" fontId="13" fillId="2" borderId="32" xfId="0" applyFont="1" applyFill="1" applyBorder="1" applyAlignment="1">
      <alignment horizontal="center" vertical="center" wrapText="1"/>
    </xf>
    <xf numFmtId="0" fontId="72" fillId="2" borderId="32" xfId="0" applyFont="1" applyFill="1" applyBorder="1" applyAlignment="1">
      <alignment horizontal="center" vertical="center" wrapText="1"/>
    </xf>
    <xf numFmtId="0" fontId="73" fillId="2" borderId="32" xfId="0" applyFont="1" applyFill="1" applyBorder="1" applyAlignment="1">
      <alignment horizontal="center" vertical="center" wrapText="1"/>
    </xf>
    <xf numFmtId="0" fontId="16" fillId="2" borderId="32" xfId="0" applyFont="1" applyFill="1" applyBorder="1" applyAlignment="1">
      <alignment horizontal="left" vertical="center" wrapText="1"/>
    </xf>
    <xf numFmtId="0" fontId="16" fillId="2" borderId="31" xfId="0" applyFont="1" applyFill="1" applyBorder="1" applyAlignment="1">
      <alignment horizontal="center" vertical="center" wrapText="1"/>
    </xf>
    <xf numFmtId="0" fontId="16" fillId="0" borderId="32" xfId="0" applyFont="1" applyBorder="1" applyAlignment="1">
      <alignment horizontal="left" vertical="top" wrapText="1"/>
    </xf>
    <xf numFmtId="0" fontId="73" fillId="2" borderId="29" xfId="0" applyFont="1" applyFill="1" applyBorder="1" applyAlignment="1">
      <alignment horizontal="center" vertical="center" wrapText="1"/>
    </xf>
    <xf numFmtId="0" fontId="16" fillId="0" borderId="29" xfId="0" applyFont="1" applyBorder="1" applyAlignment="1">
      <alignment horizontal="left" vertical="top" wrapText="1"/>
    </xf>
    <xf numFmtId="0" fontId="72" fillId="0" borderId="32" xfId="0" applyFont="1" applyBorder="1" applyAlignment="1">
      <alignment horizontal="center" vertical="top" wrapText="1"/>
    </xf>
    <xf numFmtId="0" fontId="16" fillId="0" borderId="32" xfId="0" applyFont="1" applyBorder="1" applyAlignment="1">
      <alignment horizontal="center" vertical="top" wrapText="1"/>
    </xf>
    <xf numFmtId="0" fontId="73" fillId="0" borderId="32" xfId="0" applyFont="1" applyBorder="1" applyAlignment="1">
      <alignment horizontal="center" vertical="center" wrapText="1"/>
    </xf>
    <xf numFmtId="0" fontId="72" fillId="0" borderId="22" xfId="0" applyFont="1" applyBorder="1" applyAlignment="1">
      <alignment horizontal="center" vertical="top" wrapText="1"/>
    </xf>
    <xf numFmtId="0" fontId="72" fillId="0" borderId="1" xfId="0" applyFont="1" applyBorder="1" applyAlignment="1">
      <alignment horizontal="center" vertical="top" wrapText="1"/>
    </xf>
    <xf numFmtId="0" fontId="72" fillId="0" borderId="2" xfId="0" applyFont="1" applyBorder="1" applyAlignment="1">
      <alignment horizontal="center" vertical="top" wrapText="1"/>
    </xf>
    <xf numFmtId="0" fontId="16" fillId="0" borderId="0" xfId="0" applyFont="1" applyAlignment="1">
      <alignment horizontal="left" vertical="top" wrapText="1"/>
    </xf>
    <xf numFmtId="0" fontId="13" fillId="2" borderId="22" xfId="0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0" fontId="13" fillId="2" borderId="2" xfId="0" applyFont="1" applyFill="1" applyBorder="1" applyAlignment="1">
      <alignment horizontal="center" vertical="center" wrapText="1"/>
    </xf>
    <xf numFmtId="0" fontId="13" fillId="2" borderId="31" xfId="0" applyFont="1" applyFill="1" applyBorder="1" applyAlignment="1">
      <alignment horizontal="center" vertical="center" wrapText="1"/>
    </xf>
    <xf numFmtId="0" fontId="13" fillId="2" borderId="35" xfId="0" applyFont="1" applyFill="1" applyBorder="1" applyAlignment="1">
      <alignment horizontal="center" vertical="center" wrapText="1"/>
    </xf>
    <xf numFmtId="0" fontId="13" fillId="2" borderId="39" xfId="0" applyFont="1" applyFill="1" applyBorder="1" applyAlignment="1">
      <alignment horizontal="center" vertical="center" wrapText="1"/>
    </xf>
    <xf numFmtId="0" fontId="16" fillId="2" borderId="2" xfId="0" applyFont="1" applyFill="1" applyBorder="1" applyAlignment="1">
      <alignment horizontal="left" vertical="center" wrapText="1"/>
    </xf>
    <xf numFmtId="0" fontId="73" fillId="2" borderId="1" xfId="0" applyFont="1" applyFill="1" applyBorder="1" applyAlignment="1">
      <alignment horizontal="center" vertical="center" wrapText="1"/>
    </xf>
    <xf numFmtId="0" fontId="13" fillId="2" borderId="33" xfId="0" applyFont="1" applyFill="1" applyBorder="1" applyAlignment="1">
      <alignment horizontal="left" vertical="center" wrapText="1"/>
    </xf>
    <xf numFmtId="0" fontId="13" fillId="2" borderId="34" xfId="0" applyFont="1" applyFill="1" applyBorder="1" applyAlignment="1">
      <alignment horizontal="left" vertical="center" wrapText="1"/>
    </xf>
    <xf numFmtId="0" fontId="13" fillId="2" borderId="29" xfId="0" applyFont="1" applyFill="1" applyBorder="1" applyAlignment="1">
      <alignment horizontal="left" vertical="center" wrapText="1"/>
    </xf>
    <xf numFmtId="0" fontId="16" fillId="0" borderId="0" xfId="0" applyFont="1" applyAlignment="1">
      <alignment horizontal="left" vertical="center" wrapText="1"/>
    </xf>
    <xf numFmtId="0" fontId="16" fillId="59" borderId="32" xfId="0" applyFont="1" applyFill="1" applyBorder="1" applyAlignment="1">
      <alignment horizontal="center" vertical="top" wrapText="1"/>
    </xf>
    <xf numFmtId="0" fontId="88" fillId="0" borderId="32" xfId="0" applyFont="1" applyBorder="1" applyAlignment="1">
      <alignment horizontal="left" vertical="top" wrapText="1"/>
    </xf>
    <xf numFmtId="0" fontId="16" fillId="2" borderId="23" xfId="0" applyFont="1" applyFill="1" applyBorder="1" applyAlignment="1">
      <alignment horizontal="left" vertical="center" wrapText="1"/>
    </xf>
    <xf numFmtId="166" fontId="73" fillId="2" borderId="0" xfId="253" applyNumberFormat="1" applyFont="1" applyFill="1" applyAlignment="1">
      <alignment horizontal="right" vertical="top" wrapText="1"/>
    </xf>
    <xf numFmtId="166" fontId="73" fillId="2" borderId="0" xfId="253" applyNumberFormat="1" applyFont="1" applyFill="1" applyAlignment="1">
      <alignment horizontal="right" wrapText="1"/>
    </xf>
    <xf numFmtId="0" fontId="72" fillId="0" borderId="33" xfId="0" applyFont="1" applyBorder="1" applyAlignment="1">
      <alignment horizontal="center" vertical="center" wrapText="1"/>
    </xf>
    <xf numFmtId="0" fontId="72" fillId="0" borderId="29" xfId="0" applyFont="1" applyBorder="1" applyAlignment="1">
      <alignment horizontal="center" vertical="center" wrapText="1"/>
    </xf>
    <xf numFmtId="0" fontId="73" fillId="2" borderId="35" xfId="0" applyFont="1" applyFill="1" applyBorder="1" applyAlignment="1">
      <alignment horizontal="center" vertical="center" wrapText="1"/>
    </xf>
    <xf numFmtId="0" fontId="73" fillId="2" borderId="22" xfId="0" applyFont="1" applyFill="1" applyBorder="1" applyAlignment="1">
      <alignment horizontal="center" vertical="center" wrapText="1"/>
    </xf>
    <xf numFmtId="0" fontId="73" fillId="2" borderId="2" xfId="0" applyFont="1" applyFill="1" applyBorder="1" applyAlignment="1">
      <alignment horizontal="center" vertical="center" wrapText="1"/>
    </xf>
    <xf numFmtId="0" fontId="72" fillId="2" borderId="33" xfId="0" applyFont="1" applyFill="1" applyBorder="1" applyAlignment="1">
      <alignment horizontal="left" vertical="center" wrapText="1"/>
    </xf>
    <xf numFmtId="0" fontId="72" fillId="2" borderId="34" xfId="0" applyFont="1" applyFill="1" applyBorder="1" applyAlignment="1">
      <alignment horizontal="left" vertical="center" wrapText="1"/>
    </xf>
    <xf numFmtId="0" fontId="72" fillId="2" borderId="29" xfId="0" applyFont="1" applyFill="1" applyBorder="1" applyAlignment="1">
      <alignment horizontal="left" vertical="center" wrapText="1"/>
    </xf>
    <xf numFmtId="0" fontId="72" fillId="2" borderId="32" xfId="0" applyFont="1" applyFill="1" applyBorder="1" applyAlignment="1">
      <alignment horizontal="left" vertical="center" wrapText="1"/>
    </xf>
    <xf numFmtId="0" fontId="72" fillId="2" borderId="27" xfId="299" applyFont="1" applyFill="1" applyBorder="1" applyAlignment="1">
      <alignment horizontal="left" vertical="top" wrapText="1"/>
    </xf>
    <xf numFmtId="0" fontId="72" fillId="2" borderId="28" xfId="299" applyFont="1" applyFill="1" applyBorder="1" applyAlignment="1">
      <alignment horizontal="left" vertical="top" wrapText="1"/>
    </xf>
    <xf numFmtId="0" fontId="72" fillId="2" borderId="29" xfId="299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center" vertical="center" wrapText="1"/>
    </xf>
    <xf numFmtId="0" fontId="72" fillId="57" borderId="33" xfId="0" applyFont="1" applyFill="1" applyBorder="1" applyAlignment="1">
      <alignment horizontal="left" vertical="center" wrapText="1"/>
    </xf>
    <xf numFmtId="0" fontId="72" fillId="57" borderId="34" xfId="0" applyFont="1" applyFill="1" applyBorder="1" applyAlignment="1">
      <alignment horizontal="left" vertical="center" wrapText="1"/>
    </xf>
    <xf numFmtId="0" fontId="72" fillId="57" borderId="29" xfId="0" applyFont="1" applyFill="1" applyBorder="1" applyAlignment="1">
      <alignment horizontal="left" vertical="center" wrapText="1"/>
    </xf>
    <xf numFmtId="0" fontId="72" fillId="2" borderId="33" xfId="299" applyFont="1" applyFill="1" applyBorder="1" applyAlignment="1">
      <alignment horizontal="left" vertical="top" wrapText="1"/>
    </xf>
    <xf numFmtId="0" fontId="72" fillId="2" borderId="34" xfId="299" applyFont="1" applyFill="1" applyBorder="1" applyAlignment="1">
      <alignment horizontal="left" vertical="top" wrapText="1"/>
    </xf>
    <xf numFmtId="0" fontId="72" fillId="2" borderId="33" xfId="299" applyFont="1" applyFill="1" applyBorder="1" applyAlignment="1">
      <alignment horizontal="center" vertical="top" wrapText="1"/>
    </xf>
    <xf numFmtId="0" fontId="72" fillId="2" borderId="34" xfId="299" applyFont="1" applyFill="1" applyBorder="1" applyAlignment="1">
      <alignment horizontal="center" vertical="top" wrapText="1"/>
    </xf>
    <xf numFmtId="0" fontId="72" fillId="2" borderId="29" xfId="299" applyFont="1" applyFill="1" applyBorder="1" applyAlignment="1">
      <alignment horizontal="center" vertical="top" wrapText="1"/>
    </xf>
    <xf numFmtId="0" fontId="72" fillId="0" borderId="32" xfId="0" applyFont="1" applyBorder="1" applyAlignment="1">
      <alignment horizontal="left" vertical="top" wrapText="1"/>
    </xf>
    <xf numFmtId="0" fontId="72" fillId="2" borderId="32" xfId="0" applyFont="1" applyFill="1" applyBorder="1" applyAlignment="1">
      <alignment horizontal="left" vertical="top" wrapText="1"/>
    </xf>
    <xf numFmtId="0" fontId="72" fillId="2" borderId="23" xfId="0" applyFont="1" applyFill="1" applyBorder="1" applyAlignment="1">
      <alignment horizontal="center" vertical="center" wrapText="1"/>
    </xf>
    <xf numFmtId="0" fontId="72" fillId="57" borderId="27" xfId="0" applyFont="1" applyFill="1" applyBorder="1" applyAlignment="1">
      <alignment horizontal="left" vertical="center" wrapText="1"/>
    </xf>
    <xf numFmtId="0" fontId="72" fillId="57" borderId="28" xfId="0" applyFont="1" applyFill="1" applyBorder="1" applyAlignment="1">
      <alignment horizontal="left" vertical="center" wrapText="1"/>
    </xf>
    <xf numFmtId="0" fontId="72" fillId="2" borderId="33" xfId="0" applyFont="1" applyFill="1" applyBorder="1" applyAlignment="1">
      <alignment horizontal="left" vertical="top" wrapText="1"/>
    </xf>
    <xf numFmtId="0" fontId="72" fillId="2" borderId="34" xfId="0" applyFont="1" applyFill="1" applyBorder="1" applyAlignment="1">
      <alignment horizontal="left" vertical="top" wrapText="1"/>
    </xf>
    <xf numFmtId="0" fontId="72" fillId="2" borderId="29" xfId="0" applyFont="1" applyFill="1" applyBorder="1" applyAlignment="1">
      <alignment horizontal="left" vertical="top" wrapText="1"/>
    </xf>
    <xf numFmtId="0" fontId="16" fillId="58" borderId="26" xfId="0" applyFont="1" applyFill="1" applyBorder="1" applyAlignment="1">
      <alignment vertical="top" wrapText="1"/>
    </xf>
    <xf numFmtId="0" fontId="72" fillId="2" borderId="27" xfId="1735" applyFont="1" applyFill="1" applyBorder="1" applyAlignment="1">
      <alignment horizontal="center" wrapText="1"/>
    </xf>
    <xf numFmtId="0" fontId="72" fillId="2" borderId="28" xfId="1735" applyFont="1" applyFill="1" applyBorder="1" applyAlignment="1">
      <alignment horizontal="center" wrapText="1"/>
    </xf>
    <xf numFmtId="0" fontId="72" fillId="2" borderId="29" xfId="1735" applyFont="1" applyFill="1" applyBorder="1" applyAlignment="1">
      <alignment horizontal="center" wrapText="1"/>
    </xf>
    <xf numFmtId="0" fontId="72" fillId="2" borderId="0" xfId="1734" applyFont="1" applyFill="1" applyAlignment="1">
      <alignment horizontal="right" vertical="top"/>
    </xf>
    <xf numFmtId="0" fontId="72" fillId="2" borderId="0" xfId="1734" applyFont="1" applyFill="1" applyAlignment="1">
      <alignment horizontal="right" vertical="center"/>
    </xf>
    <xf numFmtId="0" fontId="16" fillId="2" borderId="26" xfId="1734" applyFont="1" applyFill="1" applyBorder="1" applyAlignment="1">
      <alignment horizontal="center" vertical="center" wrapText="1"/>
    </xf>
    <xf numFmtId="0" fontId="72" fillId="2" borderId="26" xfId="1735" applyFont="1" applyFill="1" applyBorder="1" applyAlignment="1">
      <alignment horizontal="center" vertical="center" wrapText="1"/>
    </xf>
    <xf numFmtId="0" fontId="72" fillId="2" borderId="26" xfId="8" applyFont="1" applyFill="1" applyBorder="1" applyAlignment="1">
      <alignment horizontal="center" vertical="center" wrapText="1"/>
    </xf>
    <xf numFmtId="0" fontId="16" fillId="2" borderId="32" xfId="8" applyFont="1" applyFill="1" applyBorder="1" applyAlignment="1">
      <alignment horizontal="center" vertical="top" wrapText="1"/>
    </xf>
    <xf numFmtId="0" fontId="16" fillId="2" borderId="22" xfId="8" applyFont="1" applyFill="1" applyBorder="1" applyAlignment="1">
      <alignment horizontal="center" vertical="top" wrapText="1"/>
    </xf>
    <xf numFmtId="0" fontId="16" fillId="2" borderId="1" xfId="8" applyFont="1" applyFill="1" applyBorder="1" applyAlignment="1">
      <alignment horizontal="center" vertical="top" wrapText="1"/>
    </xf>
    <xf numFmtId="0" fontId="16" fillId="2" borderId="2" xfId="8" applyFont="1" applyFill="1" applyBorder="1" applyAlignment="1">
      <alignment horizontal="center" vertical="top" wrapText="1"/>
    </xf>
    <xf numFmtId="0" fontId="72" fillId="2" borderId="32" xfId="8" applyFont="1" applyFill="1" applyBorder="1" applyAlignment="1">
      <alignment horizontal="center" vertical="top" wrapText="1"/>
    </xf>
    <xf numFmtId="0" fontId="72" fillId="2" borderId="31" xfId="0" applyFont="1" applyFill="1" applyBorder="1" applyAlignment="1">
      <alignment horizontal="center"/>
    </xf>
    <xf numFmtId="0" fontId="72" fillId="2" borderId="35" xfId="0" applyFont="1" applyFill="1" applyBorder="1" applyAlignment="1">
      <alignment horizontal="center"/>
    </xf>
    <xf numFmtId="0" fontId="72" fillId="2" borderId="39" xfId="0" applyFont="1" applyFill="1" applyBorder="1" applyAlignment="1">
      <alignment horizontal="center"/>
    </xf>
    <xf numFmtId="49" fontId="16" fillId="2" borderId="32" xfId="0" applyNumberFormat="1" applyFont="1" applyFill="1" applyBorder="1" applyAlignment="1">
      <alignment horizontal="left" vertical="top" wrapText="1"/>
    </xf>
    <xf numFmtId="0" fontId="72" fillId="2" borderId="32" xfId="0" applyFont="1" applyFill="1" applyBorder="1" applyAlignment="1">
      <alignment wrapText="1"/>
    </xf>
    <xf numFmtId="0" fontId="16" fillId="2" borderId="35" xfId="0" applyFont="1" applyFill="1" applyBorder="1" applyAlignment="1">
      <alignment horizontal="center" vertical="top" wrapText="1"/>
    </xf>
    <xf numFmtId="0" fontId="16" fillId="2" borderId="39" xfId="0" applyFont="1" applyFill="1" applyBorder="1" applyAlignment="1">
      <alignment horizontal="center" vertical="top" wrapText="1"/>
    </xf>
    <xf numFmtId="0" fontId="16" fillId="2" borderId="29" xfId="0" applyFont="1" applyFill="1" applyBorder="1" applyAlignment="1">
      <alignment horizontal="center" vertical="top" wrapText="1"/>
    </xf>
    <xf numFmtId="0" fontId="16" fillId="2" borderId="31" xfId="0" applyFont="1" applyFill="1" applyBorder="1" applyAlignment="1">
      <alignment horizontal="center" vertical="top" wrapText="1"/>
    </xf>
    <xf numFmtId="43" fontId="105" fillId="2" borderId="0" xfId="7" applyFont="1" applyFill="1"/>
  </cellXfs>
  <cellStyles count="2032">
    <cellStyle name="20% - Accent1" xfId="29" builtinId="30" customBuiltin="1"/>
    <cellStyle name="20% - Accent1 2" xfId="69" xr:uid="{00000000-0005-0000-0000-000001000000}"/>
    <cellStyle name="20% - Accent1 2 2" xfId="108" xr:uid="{00000000-0005-0000-0000-000002000000}"/>
    <cellStyle name="20% - Accent1 3" xfId="167" xr:uid="{00000000-0005-0000-0000-000003000000}"/>
    <cellStyle name="20% - Accent1 4" xfId="191" xr:uid="{00000000-0005-0000-0000-000004000000}"/>
    <cellStyle name="20% - Accent2" xfId="33" builtinId="34" customBuiltin="1"/>
    <cellStyle name="20% - Accent2 2" xfId="72" xr:uid="{00000000-0005-0000-0000-000006000000}"/>
    <cellStyle name="20% - Accent2 2 2" xfId="109" xr:uid="{00000000-0005-0000-0000-000007000000}"/>
    <cellStyle name="20% - Accent2 3" xfId="169" xr:uid="{00000000-0005-0000-0000-000008000000}"/>
    <cellStyle name="20% - Accent2 4" xfId="193" xr:uid="{00000000-0005-0000-0000-000009000000}"/>
    <cellStyle name="20% - Accent3" xfId="37" builtinId="38" customBuiltin="1"/>
    <cellStyle name="20% - Accent3 2" xfId="71" xr:uid="{00000000-0005-0000-0000-00000B000000}"/>
    <cellStyle name="20% - Accent3 2 2" xfId="110" xr:uid="{00000000-0005-0000-0000-00000C000000}"/>
    <cellStyle name="20% - Accent3 3" xfId="171" xr:uid="{00000000-0005-0000-0000-00000D000000}"/>
    <cellStyle name="20% - Accent3 4" xfId="195" xr:uid="{00000000-0005-0000-0000-00000E000000}"/>
    <cellStyle name="20% - Accent4" xfId="41" builtinId="42" customBuiltin="1"/>
    <cellStyle name="20% - Accent4 2" xfId="88" xr:uid="{00000000-0005-0000-0000-000010000000}"/>
    <cellStyle name="20% - Accent4 2 2" xfId="111" xr:uid="{00000000-0005-0000-0000-000011000000}"/>
    <cellStyle name="20% - Accent4 3" xfId="173" xr:uid="{00000000-0005-0000-0000-000012000000}"/>
    <cellStyle name="20% - Accent4 4" xfId="197" xr:uid="{00000000-0005-0000-0000-000013000000}"/>
    <cellStyle name="20% - Accent5" xfId="45" builtinId="46" customBuiltin="1"/>
    <cellStyle name="20% - Accent5 2" xfId="91" xr:uid="{00000000-0005-0000-0000-000015000000}"/>
    <cellStyle name="20% - Accent5 2 2" xfId="112" xr:uid="{00000000-0005-0000-0000-000016000000}"/>
    <cellStyle name="20% - Accent5 3" xfId="175" xr:uid="{00000000-0005-0000-0000-000017000000}"/>
    <cellStyle name="20% - Accent5 4" xfId="199" xr:uid="{00000000-0005-0000-0000-000018000000}"/>
    <cellStyle name="20% - Accent6" xfId="49" builtinId="50" customBuiltin="1"/>
    <cellStyle name="20% - Accent6 2" xfId="59" xr:uid="{00000000-0005-0000-0000-00001A000000}"/>
    <cellStyle name="20% - Accent6 2 2" xfId="113" xr:uid="{00000000-0005-0000-0000-00001B000000}"/>
    <cellStyle name="20% - Accent6 3" xfId="177" xr:uid="{00000000-0005-0000-0000-00001C000000}"/>
    <cellStyle name="20% - Accent6 4" xfId="201" xr:uid="{00000000-0005-0000-0000-00001D000000}"/>
    <cellStyle name="20% - Акцент1 10" xfId="301" xr:uid="{00000000-0005-0000-0000-00001E000000}"/>
    <cellStyle name="20% - Акцент1 11" xfId="302" xr:uid="{00000000-0005-0000-0000-00001F000000}"/>
    <cellStyle name="20% - Акцент1 12" xfId="303" xr:uid="{00000000-0005-0000-0000-000020000000}"/>
    <cellStyle name="20% - Акцент1 13" xfId="304" xr:uid="{00000000-0005-0000-0000-000021000000}"/>
    <cellStyle name="20% - Акцент1 14" xfId="305" xr:uid="{00000000-0005-0000-0000-000022000000}"/>
    <cellStyle name="20% - Акцент1 15" xfId="306" xr:uid="{00000000-0005-0000-0000-000023000000}"/>
    <cellStyle name="20% - Акцент1 16" xfId="307" xr:uid="{00000000-0005-0000-0000-000024000000}"/>
    <cellStyle name="20% - Акцент1 17" xfId="308" xr:uid="{00000000-0005-0000-0000-000025000000}"/>
    <cellStyle name="20% - Акцент1 18" xfId="309" xr:uid="{00000000-0005-0000-0000-000026000000}"/>
    <cellStyle name="20% - Акцент1 19" xfId="310" xr:uid="{00000000-0005-0000-0000-000027000000}"/>
    <cellStyle name="20% - Акцент1 2" xfId="311" xr:uid="{00000000-0005-0000-0000-000028000000}"/>
    <cellStyle name="20% - Акцент1 20" xfId="312" xr:uid="{00000000-0005-0000-0000-000029000000}"/>
    <cellStyle name="20% - Акцент1 21" xfId="313" xr:uid="{00000000-0005-0000-0000-00002A000000}"/>
    <cellStyle name="20% - Акцент1 22" xfId="314" xr:uid="{00000000-0005-0000-0000-00002B000000}"/>
    <cellStyle name="20% - Акцент1 23" xfId="315" xr:uid="{00000000-0005-0000-0000-00002C000000}"/>
    <cellStyle name="20% - Акцент1 24" xfId="316" xr:uid="{00000000-0005-0000-0000-00002D000000}"/>
    <cellStyle name="20% - Акцент1 25" xfId="317" xr:uid="{00000000-0005-0000-0000-00002E000000}"/>
    <cellStyle name="20% - Акцент1 26" xfId="318" xr:uid="{00000000-0005-0000-0000-00002F000000}"/>
    <cellStyle name="20% - Акцент1 27" xfId="319" xr:uid="{00000000-0005-0000-0000-000030000000}"/>
    <cellStyle name="20% - Акцент1 28" xfId="320" xr:uid="{00000000-0005-0000-0000-000031000000}"/>
    <cellStyle name="20% - Акцент1 29" xfId="321" xr:uid="{00000000-0005-0000-0000-000032000000}"/>
    <cellStyle name="20% - Акцент1 3" xfId="322" xr:uid="{00000000-0005-0000-0000-000033000000}"/>
    <cellStyle name="20% - Акцент1 30" xfId="323" xr:uid="{00000000-0005-0000-0000-000034000000}"/>
    <cellStyle name="20% - Акцент1 31" xfId="324" xr:uid="{00000000-0005-0000-0000-000035000000}"/>
    <cellStyle name="20% - Акцент1 32" xfId="325" xr:uid="{00000000-0005-0000-0000-000036000000}"/>
    <cellStyle name="20% - Акцент1 33" xfId="326" xr:uid="{00000000-0005-0000-0000-000037000000}"/>
    <cellStyle name="20% - Акцент1 34" xfId="327" xr:uid="{00000000-0005-0000-0000-000038000000}"/>
    <cellStyle name="20% - Акцент1 35" xfId="328" xr:uid="{00000000-0005-0000-0000-000039000000}"/>
    <cellStyle name="20% - Акцент1 36" xfId="329" xr:uid="{00000000-0005-0000-0000-00003A000000}"/>
    <cellStyle name="20% - Акцент1 4" xfId="330" xr:uid="{00000000-0005-0000-0000-00003B000000}"/>
    <cellStyle name="20% - Акцент1 5" xfId="331" xr:uid="{00000000-0005-0000-0000-00003C000000}"/>
    <cellStyle name="20% - Акцент1 6" xfId="332" xr:uid="{00000000-0005-0000-0000-00003D000000}"/>
    <cellStyle name="20% - Акцент1 7" xfId="333" xr:uid="{00000000-0005-0000-0000-00003E000000}"/>
    <cellStyle name="20% - Акцент1 8" xfId="334" xr:uid="{00000000-0005-0000-0000-00003F000000}"/>
    <cellStyle name="20% - Акцент1 9" xfId="335" xr:uid="{00000000-0005-0000-0000-000040000000}"/>
    <cellStyle name="20% - Акцент2 10" xfId="336" xr:uid="{00000000-0005-0000-0000-000041000000}"/>
    <cellStyle name="20% - Акцент2 11" xfId="337" xr:uid="{00000000-0005-0000-0000-000042000000}"/>
    <cellStyle name="20% - Акцент2 12" xfId="338" xr:uid="{00000000-0005-0000-0000-000043000000}"/>
    <cellStyle name="20% - Акцент2 13" xfId="339" xr:uid="{00000000-0005-0000-0000-000044000000}"/>
    <cellStyle name="20% - Акцент2 14" xfId="340" xr:uid="{00000000-0005-0000-0000-000045000000}"/>
    <cellStyle name="20% - Акцент2 15" xfId="341" xr:uid="{00000000-0005-0000-0000-000046000000}"/>
    <cellStyle name="20% - Акцент2 16" xfId="342" xr:uid="{00000000-0005-0000-0000-000047000000}"/>
    <cellStyle name="20% - Акцент2 17" xfId="343" xr:uid="{00000000-0005-0000-0000-000048000000}"/>
    <cellStyle name="20% - Акцент2 18" xfId="344" xr:uid="{00000000-0005-0000-0000-000049000000}"/>
    <cellStyle name="20% - Акцент2 19" xfId="345" xr:uid="{00000000-0005-0000-0000-00004A000000}"/>
    <cellStyle name="20% - Акцент2 2" xfId="346" xr:uid="{00000000-0005-0000-0000-00004B000000}"/>
    <cellStyle name="20% - Акцент2 20" xfId="347" xr:uid="{00000000-0005-0000-0000-00004C000000}"/>
    <cellStyle name="20% - Акцент2 21" xfId="348" xr:uid="{00000000-0005-0000-0000-00004D000000}"/>
    <cellStyle name="20% - Акцент2 22" xfId="349" xr:uid="{00000000-0005-0000-0000-00004E000000}"/>
    <cellStyle name="20% - Акцент2 23" xfId="350" xr:uid="{00000000-0005-0000-0000-00004F000000}"/>
    <cellStyle name="20% - Акцент2 24" xfId="351" xr:uid="{00000000-0005-0000-0000-000050000000}"/>
    <cellStyle name="20% - Акцент2 25" xfId="352" xr:uid="{00000000-0005-0000-0000-000051000000}"/>
    <cellStyle name="20% - Акцент2 26" xfId="353" xr:uid="{00000000-0005-0000-0000-000052000000}"/>
    <cellStyle name="20% - Акцент2 27" xfId="354" xr:uid="{00000000-0005-0000-0000-000053000000}"/>
    <cellStyle name="20% - Акцент2 28" xfId="355" xr:uid="{00000000-0005-0000-0000-000054000000}"/>
    <cellStyle name="20% - Акцент2 29" xfId="356" xr:uid="{00000000-0005-0000-0000-000055000000}"/>
    <cellStyle name="20% - Акцент2 3" xfId="357" xr:uid="{00000000-0005-0000-0000-000056000000}"/>
    <cellStyle name="20% - Акцент2 30" xfId="358" xr:uid="{00000000-0005-0000-0000-000057000000}"/>
    <cellStyle name="20% - Акцент2 31" xfId="359" xr:uid="{00000000-0005-0000-0000-000058000000}"/>
    <cellStyle name="20% - Акцент2 32" xfId="360" xr:uid="{00000000-0005-0000-0000-000059000000}"/>
    <cellStyle name="20% - Акцент2 33" xfId="361" xr:uid="{00000000-0005-0000-0000-00005A000000}"/>
    <cellStyle name="20% - Акцент2 34" xfId="362" xr:uid="{00000000-0005-0000-0000-00005B000000}"/>
    <cellStyle name="20% - Акцент2 35" xfId="363" xr:uid="{00000000-0005-0000-0000-00005C000000}"/>
    <cellStyle name="20% - Акцент2 36" xfId="364" xr:uid="{00000000-0005-0000-0000-00005D000000}"/>
    <cellStyle name="20% - Акцент2 4" xfId="365" xr:uid="{00000000-0005-0000-0000-00005E000000}"/>
    <cellStyle name="20% - Акцент2 5" xfId="366" xr:uid="{00000000-0005-0000-0000-00005F000000}"/>
    <cellStyle name="20% - Акцент2 6" xfId="367" xr:uid="{00000000-0005-0000-0000-000060000000}"/>
    <cellStyle name="20% - Акцент2 7" xfId="368" xr:uid="{00000000-0005-0000-0000-000061000000}"/>
    <cellStyle name="20% - Акцент2 8" xfId="369" xr:uid="{00000000-0005-0000-0000-000062000000}"/>
    <cellStyle name="20% - Акцент2 9" xfId="370" xr:uid="{00000000-0005-0000-0000-000063000000}"/>
    <cellStyle name="20% - Акцент3 10" xfId="371" xr:uid="{00000000-0005-0000-0000-000064000000}"/>
    <cellStyle name="20% - Акцент3 11" xfId="372" xr:uid="{00000000-0005-0000-0000-000065000000}"/>
    <cellStyle name="20% - Акцент3 12" xfId="373" xr:uid="{00000000-0005-0000-0000-000066000000}"/>
    <cellStyle name="20% - Акцент3 13" xfId="374" xr:uid="{00000000-0005-0000-0000-000067000000}"/>
    <cellStyle name="20% - Акцент3 14" xfId="375" xr:uid="{00000000-0005-0000-0000-000068000000}"/>
    <cellStyle name="20% - Акцент3 15" xfId="376" xr:uid="{00000000-0005-0000-0000-000069000000}"/>
    <cellStyle name="20% - Акцент3 16" xfId="377" xr:uid="{00000000-0005-0000-0000-00006A000000}"/>
    <cellStyle name="20% - Акцент3 17" xfId="378" xr:uid="{00000000-0005-0000-0000-00006B000000}"/>
    <cellStyle name="20% - Акцент3 18" xfId="379" xr:uid="{00000000-0005-0000-0000-00006C000000}"/>
    <cellStyle name="20% - Акцент3 19" xfId="380" xr:uid="{00000000-0005-0000-0000-00006D000000}"/>
    <cellStyle name="20% - Акцент3 2" xfId="381" xr:uid="{00000000-0005-0000-0000-00006E000000}"/>
    <cellStyle name="20% - Акцент3 20" xfId="382" xr:uid="{00000000-0005-0000-0000-00006F000000}"/>
    <cellStyle name="20% - Акцент3 21" xfId="383" xr:uid="{00000000-0005-0000-0000-000070000000}"/>
    <cellStyle name="20% - Акцент3 22" xfId="384" xr:uid="{00000000-0005-0000-0000-000071000000}"/>
    <cellStyle name="20% - Акцент3 23" xfId="385" xr:uid="{00000000-0005-0000-0000-000072000000}"/>
    <cellStyle name="20% - Акцент3 24" xfId="386" xr:uid="{00000000-0005-0000-0000-000073000000}"/>
    <cellStyle name="20% - Акцент3 25" xfId="387" xr:uid="{00000000-0005-0000-0000-000074000000}"/>
    <cellStyle name="20% - Акцент3 26" xfId="388" xr:uid="{00000000-0005-0000-0000-000075000000}"/>
    <cellStyle name="20% - Акцент3 27" xfId="389" xr:uid="{00000000-0005-0000-0000-000076000000}"/>
    <cellStyle name="20% - Акцент3 28" xfId="390" xr:uid="{00000000-0005-0000-0000-000077000000}"/>
    <cellStyle name="20% - Акцент3 29" xfId="391" xr:uid="{00000000-0005-0000-0000-000078000000}"/>
    <cellStyle name="20% - Акцент3 3" xfId="392" xr:uid="{00000000-0005-0000-0000-000079000000}"/>
    <cellStyle name="20% - Акцент3 30" xfId="393" xr:uid="{00000000-0005-0000-0000-00007A000000}"/>
    <cellStyle name="20% - Акцент3 31" xfId="394" xr:uid="{00000000-0005-0000-0000-00007B000000}"/>
    <cellStyle name="20% - Акцент3 32" xfId="395" xr:uid="{00000000-0005-0000-0000-00007C000000}"/>
    <cellStyle name="20% - Акцент3 33" xfId="396" xr:uid="{00000000-0005-0000-0000-00007D000000}"/>
    <cellStyle name="20% - Акцент3 34" xfId="397" xr:uid="{00000000-0005-0000-0000-00007E000000}"/>
    <cellStyle name="20% - Акцент3 35" xfId="398" xr:uid="{00000000-0005-0000-0000-00007F000000}"/>
    <cellStyle name="20% - Акцент3 36" xfId="399" xr:uid="{00000000-0005-0000-0000-000080000000}"/>
    <cellStyle name="20% - Акцент3 4" xfId="400" xr:uid="{00000000-0005-0000-0000-000081000000}"/>
    <cellStyle name="20% - Акцент3 5" xfId="401" xr:uid="{00000000-0005-0000-0000-000082000000}"/>
    <cellStyle name="20% - Акцент3 6" xfId="402" xr:uid="{00000000-0005-0000-0000-000083000000}"/>
    <cellStyle name="20% - Акцент3 7" xfId="403" xr:uid="{00000000-0005-0000-0000-000084000000}"/>
    <cellStyle name="20% - Акцент3 8" xfId="404" xr:uid="{00000000-0005-0000-0000-000085000000}"/>
    <cellStyle name="20% - Акцент3 9" xfId="405" xr:uid="{00000000-0005-0000-0000-000086000000}"/>
    <cellStyle name="20% - Акцент4 10" xfId="406" xr:uid="{00000000-0005-0000-0000-000087000000}"/>
    <cellStyle name="20% - Акцент4 11" xfId="407" xr:uid="{00000000-0005-0000-0000-000088000000}"/>
    <cellStyle name="20% - Акцент4 12" xfId="408" xr:uid="{00000000-0005-0000-0000-000089000000}"/>
    <cellStyle name="20% - Акцент4 13" xfId="409" xr:uid="{00000000-0005-0000-0000-00008A000000}"/>
    <cellStyle name="20% - Акцент4 14" xfId="410" xr:uid="{00000000-0005-0000-0000-00008B000000}"/>
    <cellStyle name="20% - Акцент4 15" xfId="411" xr:uid="{00000000-0005-0000-0000-00008C000000}"/>
    <cellStyle name="20% - Акцент4 16" xfId="412" xr:uid="{00000000-0005-0000-0000-00008D000000}"/>
    <cellStyle name="20% - Акцент4 17" xfId="413" xr:uid="{00000000-0005-0000-0000-00008E000000}"/>
    <cellStyle name="20% - Акцент4 18" xfId="414" xr:uid="{00000000-0005-0000-0000-00008F000000}"/>
    <cellStyle name="20% - Акцент4 19" xfId="415" xr:uid="{00000000-0005-0000-0000-000090000000}"/>
    <cellStyle name="20% - Акцент4 2" xfId="416" xr:uid="{00000000-0005-0000-0000-000091000000}"/>
    <cellStyle name="20% - Акцент4 20" xfId="417" xr:uid="{00000000-0005-0000-0000-000092000000}"/>
    <cellStyle name="20% - Акцент4 21" xfId="418" xr:uid="{00000000-0005-0000-0000-000093000000}"/>
    <cellStyle name="20% - Акцент4 22" xfId="419" xr:uid="{00000000-0005-0000-0000-000094000000}"/>
    <cellStyle name="20% - Акцент4 23" xfId="420" xr:uid="{00000000-0005-0000-0000-000095000000}"/>
    <cellStyle name="20% - Акцент4 24" xfId="421" xr:uid="{00000000-0005-0000-0000-000096000000}"/>
    <cellStyle name="20% - Акцент4 25" xfId="422" xr:uid="{00000000-0005-0000-0000-000097000000}"/>
    <cellStyle name="20% - Акцент4 26" xfId="423" xr:uid="{00000000-0005-0000-0000-000098000000}"/>
    <cellStyle name="20% - Акцент4 27" xfId="424" xr:uid="{00000000-0005-0000-0000-000099000000}"/>
    <cellStyle name="20% - Акцент4 28" xfId="425" xr:uid="{00000000-0005-0000-0000-00009A000000}"/>
    <cellStyle name="20% - Акцент4 29" xfId="426" xr:uid="{00000000-0005-0000-0000-00009B000000}"/>
    <cellStyle name="20% - Акцент4 3" xfId="427" xr:uid="{00000000-0005-0000-0000-00009C000000}"/>
    <cellStyle name="20% - Акцент4 30" xfId="428" xr:uid="{00000000-0005-0000-0000-00009D000000}"/>
    <cellStyle name="20% - Акцент4 31" xfId="429" xr:uid="{00000000-0005-0000-0000-00009E000000}"/>
    <cellStyle name="20% - Акцент4 32" xfId="430" xr:uid="{00000000-0005-0000-0000-00009F000000}"/>
    <cellStyle name="20% - Акцент4 33" xfId="431" xr:uid="{00000000-0005-0000-0000-0000A0000000}"/>
    <cellStyle name="20% - Акцент4 34" xfId="432" xr:uid="{00000000-0005-0000-0000-0000A1000000}"/>
    <cellStyle name="20% - Акцент4 35" xfId="433" xr:uid="{00000000-0005-0000-0000-0000A2000000}"/>
    <cellStyle name="20% - Акцент4 36" xfId="434" xr:uid="{00000000-0005-0000-0000-0000A3000000}"/>
    <cellStyle name="20% - Акцент4 4" xfId="435" xr:uid="{00000000-0005-0000-0000-0000A4000000}"/>
    <cellStyle name="20% - Акцент4 5" xfId="436" xr:uid="{00000000-0005-0000-0000-0000A5000000}"/>
    <cellStyle name="20% - Акцент4 6" xfId="437" xr:uid="{00000000-0005-0000-0000-0000A6000000}"/>
    <cellStyle name="20% - Акцент4 7" xfId="438" xr:uid="{00000000-0005-0000-0000-0000A7000000}"/>
    <cellStyle name="20% - Акцент4 8" xfId="439" xr:uid="{00000000-0005-0000-0000-0000A8000000}"/>
    <cellStyle name="20% - Акцент4 9" xfId="440" xr:uid="{00000000-0005-0000-0000-0000A9000000}"/>
    <cellStyle name="20% - Акцент5 10" xfId="441" xr:uid="{00000000-0005-0000-0000-0000AA000000}"/>
    <cellStyle name="20% - Акцент5 11" xfId="442" xr:uid="{00000000-0005-0000-0000-0000AB000000}"/>
    <cellStyle name="20% - Акцент5 12" xfId="443" xr:uid="{00000000-0005-0000-0000-0000AC000000}"/>
    <cellStyle name="20% - Акцент5 13" xfId="444" xr:uid="{00000000-0005-0000-0000-0000AD000000}"/>
    <cellStyle name="20% - Акцент5 14" xfId="445" xr:uid="{00000000-0005-0000-0000-0000AE000000}"/>
    <cellStyle name="20% - Акцент5 15" xfId="446" xr:uid="{00000000-0005-0000-0000-0000AF000000}"/>
    <cellStyle name="20% - Акцент5 16" xfId="447" xr:uid="{00000000-0005-0000-0000-0000B0000000}"/>
    <cellStyle name="20% - Акцент5 17" xfId="448" xr:uid="{00000000-0005-0000-0000-0000B1000000}"/>
    <cellStyle name="20% - Акцент5 18" xfId="449" xr:uid="{00000000-0005-0000-0000-0000B2000000}"/>
    <cellStyle name="20% - Акцент5 19" xfId="450" xr:uid="{00000000-0005-0000-0000-0000B3000000}"/>
    <cellStyle name="20% - Акцент5 2" xfId="451" xr:uid="{00000000-0005-0000-0000-0000B4000000}"/>
    <cellStyle name="20% - Акцент5 20" xfId="452" xr:uid="{00000000-0005-0000-0000-0000B5000000}"/>
    <cellStyle name="20% - Акцент5 21" xfId="453" xr:uid="{00000000-0005-0000-0000-0000B6000000}"/>
    <cellStyle name="20% - Акцент5 22" xfId="454" xr:uid="{00000000-0005-0000-0000-0000B7000000}"/>
    <cellStyle name="20% - Акцент5 23" xfId="455" xr:uid="{00000000-0005-0000-0000-0000B8000000}"/>
    <cellStyle name="20% - Акцент5 24" xfId="456" xr:uid="{00000000-0005-0000-0000-0000B9000000}"/>
    <cellStyle name="20% - Акцент5 25" xfId="457" xr:uid="{00000000-0005-0000-0000-0000BA000000}"/>
    <cellStyle name="20% - Акцент5 26" xfId="458" xr:uid="{00000000-0005-0000-0000-0000BB000000}"/>
    <cellStyle name="20% - Акцент5 27" xfId="459" xr:uid="{00000000-0005-0000-0000-0000BC000000}"/>
    <cellStyle name="20% - Акцент5 28" xfId="460" xr:uid="{00000000-0005-0000-0000-0000BD000000}"/>
    <cellStyle name="20% - Акцент5 29" xfId="461" xr:uid="{00000000-0005-0000-0000-0000BE000000}"/>
    <cellStyle name="20% - Акцент5 3" xfId="462" xr:uid="{00000000-0005-0000-0000-0000BF000000}"/>
    <cellStyle name="20% - Акцент5 30" xfId="463" xr:uid="{00000000-0005-0000-0000-0000C0000000}"/>
    <cellStyle name="20% - Акцент5 31" xfId="464" xr:uid="{00000000-0005-0000-0000-0000C1000000}"/>
    <cellStyle name="20% - Акцент5 32" xfId="465" xr:uid="{00000000-0005-0000-0000-0000C2000000}"/>
    <cellStyle name="20% - Акцент5 33" xfId="466" xr:uid="{00000000-0005-0000-0000-0000C3000000}"/>
    <cellStyle name="20% - Акцент5 34" xfId="467" xr:uid="{00000000-0005-0000-0000-0000C4000000}"/>
    <cellStyle name="20% - Акцент5 35" xfId="468" xr:uid="{00000000-0005-0000-0000-0000C5000000}"/>
    <cellStyle name="20% - Акцент5 36" xfId="469" xr:uid="{00000000-0005-0000-0000-0000C6000000}"/>
    <cellStyle name="20% - Акцент5 4" xfId="470" xr:uid="{00000000-0005-0000-0000-0000C7000000}"/>
    <cellStyle name="20% - Акцент5 5" xfId="471" xr:uid="{00000000-0005-0000-0000-0000C8000000}"/>
    <cellStyle name="20% - Акцент5 6" xfId="472" xr:uid="{00000000-0005-0000-0000-0000C9000000}"/>
    <cellStyle name="20% - Акцент5 7" xfId="473" xr:uid="{00000000-0005-0000-0000-0000CA000000}"/>
    <cellStyle name="20% - Акцент5 8" xfId="474" xr:uid="{00000000-0005-0000-0000-0000CB000000}"/>
    <cellStyle name="20% - Акцент5 9" xfId="475" xr:uid="{00000000-0005-0000-0000-0000CC000000}"/>
    <cellStyle name="20% - Акцент6 10" xfId="476" xr:uid="{00000000-0005-0000-0000-0000CD000000}"/>
    <cellStyle name="20% - Акцент6 11" xfId="477" xr:uid="{00000000-0005-0000-0000-0000CE000000}"/>
    <cellStyle name="20% - Акцент6 12" xfId="478" xr:uid="{00000000-0005-0000-0000-0000CF000000}"/>
    <cellStyle name="20% - Акцент6 13" xfId="479" xr:uid="{00000000-0005-0000-0000-0000D0000000}"/>
    <cellStyle name="20% - Акцент6 14" xfId="480" xr:uid="{00000000-0005-0000-0000-0000D1000000}"/>
    <cellStyle name="20% - Акцент6 15" xfId="481" xr:uid="{00000000-0005-0000-0000-0000D2000000}"/>
    <cellStyle name="20% - Акцент6 16" xfId="482" xr:uid="{00000000-0005-0000-0000-0000D3000000}"/>
    <cellStyle name="20% - Акцент6 17" xfId="483" xr:uid="{00000000-0005-0000-0000-0000D4000000}"/>
    <cellStyle name="20% - Акцент6 18" xfId="484" xr:uid="{00000000-0005-0000-0000-0000D5000000}"/>
    <cellStyle name="20% - Акцент6 19" xfId="485" xr:uid="{00000000-0005-0000-0000-0000D6000000}"/>
    <cellStyle name="20% - Акцент6 2" xfId="486" xr:uid="{00000000-0005-0000-0000-0000D7000000}"/>
    <cellStyle name="20% - Акцент6 20" xfId="487" xr:uid="{00000000-0005-0000-0000-0000D8000000}"/>
    <cellStyle name="20% - Акцент6 21" xfId="488" xr:uid="{00000000-0005-0000-0000-0000D9000000}"/>
    <cellStyle name="20% - Акцент6 22" xfId="489" xr:uid="{00000000-0005-0000-0000-0000DA000000}"/>
    <cellStyle name="20% - Акцент6 23" xfId="490" xr:uid="{00000000-0005-0000-0000-0000DB000000}"/>
    <cellStyle name="20% - Акцент6 24" xfId="491" xr:uid="{00000000-0005-0000-0000-0000DC000000}"/>
    <cellStyle name="20% - Акцент6 25" xfId="492" xr:uid="{00000000-0005-0000-0000-0000DD000000}"/>
    <cellStyle name="20% - Акцент6 26" xfId="493" xr:uid="{00000000-0005-0000-0000-0000DE000000}"/>
    <cellStyle name="20% - Акцент6 27" xfId="494" xr:uid="{00000000-0005-0000-0000-0000DF000000}"/>
    <cellStyle name="20% - Акцент6 28" xfId="495" xr:uid="{00000000-0005-0000-0000-0000E0000000}"/>
    <cellStyle name="20% - Акцент6 29" xfId="496" xr:uid="{00000000-0005-0000-0000-0000E1000000}"/>
    <cellStyle name="20% - Акцент6 3" xfId="497" xr:uid="{00000000-0005-0000-0000-0000E2000000}"/>
    <cellStyle name="20% - Акцент6 30" xfId="498" xr:uid="{00000000-0005-0000-0000-0000E3000000}"/>
    <cellStyle name="20% - Акцент6 31" xfId="499" xr:uid="{00000000-0005-0000-0000-0000E4000000}"/>
    <cellStyle name="20% - Акцент6 32" xfId="500" xr:uid="{00000000-0005-0000-0000-0000E5000000}"/>
    <cellStyle name="20% - Акцент6 33" xfId="501" xr:uid="{00000000-0005-0000-0000-0000E6000000}"/>
    <cellStyle name="20% - Акцент6 34" xfId="502" xr:uid="{00000000-0005-0000-0000-0000E7000000}"/>
    <cellStyle name="20% - Акцент6 35" xfId="503" xr:uid="{00000000-0005-0000-0000-0000E8000000}"/>
    <cellStyle name="20% - Акцент6 36" xfId="504" xr:uid="{00000000-0005-0000-0000-0000E9000000}"/>
    <cellStyle name="20% - Акцент6 4" xfId="505" xr:uid="{00000000-0005-0000-0000-0000EA000000}"/>
    <cellStyle name="20% - Акцент6 5" xfId="506" xr:uid="{00000000-0005-0000-0000-0000EB000000}"/>
    <cellStyle name="20% - Акцент6 6" xfId="507" xr:uid="{00000000-0005-0000-0000-0000EC000000}"/>
    <cellStyle name="20% - Акцент6 7" xfId="508" xr:uid="{00000000-0005-0000-0000-0000ED000000}"/>
    <cellStyle name="20% - Акцент6 8" xfId="509" xr:uid="{00000000-0005-0000-0000-0000EE000000}"/>
    <cellStyle name="20% - Акцент6 9" xfId="510" xr:uid="{00000000-0005-0000-0000-0000EF000000}"/>
    <cellStyle name="40% - Accent1" xfId="30" builtinId="31" customBuiltin="1"/>
    <cellStyle name="40% - Accent1 2" xfId="93" xr:uid="{00000000-0005-0000-0000-0000F1000000}"/>
    <cellStyle name="40% - Accent1 2 2" xfId="114" xr:uid="{00000000-0005-0000-0000-0000F2000000}"/>
    <cellStyle name="40% - Accent1 3" xfId="168" xr:uid="{00000000-0005-0000-0000-0000F3000000}"/>
    <cellStyle name="40% - Accent1 4" xfId="192" xr:uid="{00000000-0005-0000-0000-0000F4000000}"/>
    <cellStyle name="40% - Accent2" xfId="34" builtinId="35" customBuiltin="1"/>
    <cellStyle name="40% - Accent2 2" xfId="61" xr:uid="{00000000-0005-0000-0000-0000F6000000}"/>
    <cellStyle name="40% - Accent2 2 2" xfId="115" xr:uid="{00000000-0005-0000-0000-0000F7000000}"/>
    <cellStyle name="40% - Accent2 3" xfId="170" xr:uid="{00000000-0005-0000-0000-0000F8000000}"/>
    <cellStyle name="40% - Accent2 4" xfId="194" xr:uid="{00000000-0005-0000-0000-0000F9000000}"/>
    <cellStyle name="40% - Accent3" xfId="38" builtinId="39" customBuiltin="1"/>
    <cellStyle name="40% - Accent3 2" xfId="87" xr:uid="{00000000-0005-0000-0000-0000FB000000}"/>
    <cellStyle name="40% - Accent3 2 2" xfId="116" xr:uid="{00000000-0005-0000-0000-0000FC000000}"/>
    <cellStyle name="40% - Accent3 3" xfId="172" xr:uid="{00000000-0005-0000-0000-0000FD000000}"/>
    <cellStyle name="40% - Accent3 4" xfId="196" xr:uid="{00000000-0005-0000-0000-0000FE000000}"/>
    <cellStyle name="40% - Accent4" xfId="42" builtinId="43" customBuiltin="1"/>
    <cellStyle name="40% - Accent4 2" xfId="78" xr:uid="{00000000-0005-0000-0000-000000010000}"/>
    <cellStyle name="40% - Accent4 2 2" xfId="117" xr:uid="{00000000-0005-0000-0000-000001010000}"/>
    <cellStyle name="40% - Accent4 3" xfId="174" xr:uid="{00000000-0005-0000-0000-000002010000}"/>
    <cellStyle name="40% - Accent4 4" xfId="198" xr:uid="{00000000-0005-0000-0000-000003010000}"/>
    <cellStyle name="40% - Accent5" xfId="46" builtinId="47" customBuiltin="1"/>
    <cellStyle name="40% - Accent5 2" xfId="77" xr:uid="{00000000-0005-0000-0000-000005010000}"/>
    <cellStyle name="40% - Accent5 2 2" xfId="118" xr:uid="{00000000-0005-0000-0000-000006010000}"/>
    <cellStyle name="40% - Accent5 3" xfId="176" xr:uid="{00000000-0005-0000-0000-000007010000}"/>
    <cellStyle name="40% - Accent5 4" xfId="200" xr:uid="{00000000-0005-0000-0000-000008010000}"/>
    <cellStyle name="40% - Accent6" xfId="50" builtinId="51" customBuiltin="1"/>
    <cellStyle name="40% - Accent6 2" xfId="60" xr:uid="{00000000-0005-0000-0000-00000A010000}"/>
    <cellStyle name="40% - Accent6 2 2" xfId="119" xr:uid="{00000000-0005-0000-0000-00000B010000}"/>
    <cellStyle name="40% - Accent6 3" xfId="178" xr:uid="{00000000-0005-0000-0000-00000C010000}"/>
    <cellStyle name="40% - Accent6 4" xfId="202" xr:uid="{00000000-0005-0000-0000-00000D010000}"/>
    <cellStyle name="40% - Акцент1 10" xfId="511" xr:uid="{00000000-0005-0000-0000-00000E010000}"/>
    <cellStyle name="40% - Акцент1 11" xfId="512" xr:uid="{00000000-0005-0000-0000-00000F010000}"/>
    <cellStyle name="40% - Акцент1 12" xfId="513" xr:uid="{00000000-0005-0000-0000-000010010000}"/>
    <cellStyle name="40% - Акцент1 13" xfId="514" xr:uid="{00000000-0005-0000-0000-000011010000}"/>
    <cellStyle name="40% - Акцент1 14" xfId="515" xr:uid="{00000000-0005-0000-0000-000012010000}"/>
    <cellStyle name="40% - Акцент1 15" xfId="516" xr:uid="{00000000-0005-0000-0000-000013010000}"/>
    <cellStyle name="40% - Акцент1 16" xfId="517" xr:uid="{00000000-0005-0000-0000-000014010000}"/>
    <cellStyle name="40% - Акцент1 17" xfId="518" xr:uid="{00000000-0005-0000-0000-000015010000}"/>
    <cellStyle name="40% - Акцент1 18" xfId="519" xr:uid="{00000000-0005-0000-0000-000016010000}"/>
    <cellStyle name="40% - Акцент1 19" xfId="520" xr:uid="{00000000-0005-0000-0000-000017010000}"/>
    <cellStyle name="40% - Акцент1 2" xfId="521" xr:uid="{00000000-0005-0000-0000-000018010000}"/>
    <cellStyle name="40% - Акцент1 20" xfId="522" xr:uid="{00000000-0005-0000-0000-000019010000}"/>
    <cellStyle name="40% - Акцент1 21" xfId="523" xr:uid="{00000000-0005-0000-0000-00001A010000}"/>
    <cellStyle name="40% - Акцент1 22" xfId="524" xr:uid="{00000000-0005-0000-0000-00001B010000}"/>
    <cellStyle name="40% - Акцент1 23" xfId="525" xr:uid="{00000000-0005-0000-0000-00001C010000}"/>
    <cellStyle name="40% - Акцент1 24" xfId="526" xr:uid="{00000000-0005-0000-0000-00001D010000}"/>
    <cellStyle name="40% - Акцент1 25" xfId="527" xr:uid="{00000000-0005-0000-0000-00001E010000}"/>
    <cellStyle name="40% - Акцент1 26" xfId="528" xr:uid="{00000000-0005-0000-0000-00001F010000}"/>
    <cellStyle name="40% - Акцент1 27" xfId="529" xr:uid="{00000000-0005-0000-0000-000020010000}"/>
    <cellStyle name="40% - Акцент1 28" xfId="530" xr:uid="{00000000-0005-0000-0000-000021010000}"/>
    <cellStyle name="40% - Акцент1 29" xfId="531" xr:uid="{00000000-0005-0000-0000-000022010000}"/>
    <cellStyle name="40% - Акцент1 3" xfId="532" xr:uid="{00000000-0005-0000-0000-000023010000}"/>
    <cellStyle name="40% - Акцент1 30" xfId="533" xr:uid="{00000000-0005-0000-0000-000024010000}"/>
    <cellStyle name="40% - Акцент1 31" xfId="534" xr:uid="{00000000-0005-0000-0000-000025010000}"/>
    <cellStyle name="40% - Акцент1 32" xfId="535" xr:uid="{00000000-0005-0000-0000-000026010000}"/>
    <cellStyle name="40% - Акцент1 33" xfId="536" xr:uid="{00000000-0005-0000-0000-000027010000}"/>
    <cellStyle name="40% - Акцент1 34" xfId="537" xr:uid="{00000000-0005-0000-0000-000028010000}"/>
    <cellStyle name="40% - Акцент1 35" xfId="538" xr:uid="{00000000-0005-0000-0000-000029010000}"/>
    <cellStyle name="40% - Акцент1 36" xfId="539" xr:uid="{00000000-0005-0000-0000-00002A010000}"/>
    <cellStyle name="40% - Акцент1 4" xfId="540" xr:uid="{00000000-0005-0000-0000-00002B010000}"/>
    <cellStyle name="40% - Акцент1 5" xfId="541" xr:uid="{00000000-0005-0000-0000-00002C010000}"/>
    <cellStyle name="40% - Акцент1 6" xfId="542" xr:uid="{00000000-0005-0000-0000-00002D010000}"/>
    <cellStyle name="40% - Акцент1 7" xfId="543" xr:uid="{00000000-0005-0000-0000-00002E010000}"/>
    <cellStyle name="40% - Акцент1 8" xfId="544" xr:uid="{00000000-0005-0000-0000-00002F010000}"/>
    <cellStyle name="40% - Акцент1 9" xfId="545" xr:uid="{00000000-0005-0000-0000-000030010000}"/>
    <cellStyle name="40% - Акцент2 10" xfId="546" xr:uid="{00000000-0005-0000-0000-000031010000}"/>
    <cellStyle name="40% - Акцент2 11" xfId="547" xr:uid="{00000000-0005-0000-0000-000032010000}"/>
    <cellStyle name="40% - Акцент2 12" xfId="548" xr:uid="{00000000-0005-0000-0000-000033010000}"/>
    <cellStyle name="40% - Акцент2 13" xfId="549" xr:uid="{00000000-0005-0000-0000-000034010000}"/>
    <cellStyle name="40% - Акцент2 14" xfId="550" xr:uid="{00000000-0005-0000-0000-000035010000}"/>
    <cellStyle name="40% - Акцент2 15" xfId="551" xr:uid="{00000000-0005-0000-0000-000036010000}"/>
    <cellStyle name="40% - Акцент2 16" xfId="552" xr:uid="{00000000-0005-0000-0000-000037010000}"/>
    <cellStyle name="40% - Акцент2 17" xfId="553" xr:uid="{00000000-0005-0000-0000-000038010000}"/>
    <cellStyle name="40% - Акцент2 18" xfId="554" xr:uid="{00000000-0005-0000-0000-000039010000}"/>
    <cellStyle name="40% - Акцент2 19" xfId="555" xr:uid="{00000000-0005-0000-0000-00003A010000}"/>
    <cellStyle name="40% - Акцент2 2" xfId="556" xr:uid="{00000000-0005-0000-0000-00003B010000}"/>
    <cellStyle name="40% - Акцент2 20" xfId="557" xr:uid="{00000000-0005-0000-0000-00003C010000}"/>
    <cellStyle name="40% - Акцент2 21" xfId="558" xr:uid="{00000000-0005-0000-0000-00003D010000}"/>
    <cellStyle name="40% - Акцент2 22" xfId="559" xr:uid="{00000000-0005-0000-0000-00003E010000}"/>
    <cellStyle name="40% - Акцент2 23" xfId="560" xr:uid="{00000000-0005-0000-0000-00003F010000}"/>
    <cellStyle name="40% - Акцент2 24" xfId="561" xr:uid="{00000000-0005-0000-0000-000040010000}"/>
    <cellStyle name="40% - Акцент2 25" xfId="562" xr:uid="{00000000-0005-0000-0000-000041010000}"/>
    <cellStyle name="40% - Акцент2 26" xfId="563" xr:uid="{00000000-0005-0000-0000-000042010000}"/>
    <cellStyle name="40% - Акцент2 27" xfId="564" xr:uid="{00000000-0005-0000-0000-000043010000}"/>
    <cellStyle name="40% - Акцент2 28" xfId="565" xr:uid="{00000000-0005-0000-0000-000044010000}"/>
    <cellStyle name="40% - Акцент2 29" xfId="566" xr:uid="{00000000-0005-0000-0000-000045010000}"/>
    <cellStyle name="40% - Акцент2 3" xfId="567" xr:uid="{00000000-0005-0000-0000-000046010000}"/>
    <cellStyle name="40% - Акцент2 30" xfId="568" xr:uid="{00000000-0005-0000-0000-000047010000}"/>
    <cellStyle name="40% - Акцент2 31" xfId="569" xr:uid="{00000000-0005-0000-0000-000048010000}"/>
    <cellStyle name="40% - Акцент2 32" xfId="570" xr:uid="{00000000-0005-0000-0000-000049010000}"/>
    <cellStyle name="40% - Акцент2 33" xfId="571" xr:uid="{00000000-0005-0000-0000-00004A010000}"/>
    <cellStyle name="40% - Акцент2 34" xfId="572" xr:uid="{00000000-0005-0000-0000-00004B010000}"/>
    <cellStyle name="40% - Акцент2 35" xfId="573" xr:uid="{00000000-0005-0000-0000-00004C010000}"/>
    <cellStyle name="40% - Акцент2 36" xfId="574" xr:uid="{00000000-0005-0000-0000-00004D010000}"/>
    <cellStyle name="40% - Акцент2 4" xfId="575" xr:uid="{00000000-0005-0000-0000-00004E010000}"/>
    <cellStyle name="40% - Акцент2 5" xfId="576" xr:uid="{00000000-0005-0000-0000-00004F010000}"/>
    <cellStyle name="40% - Акцент2 6" xfId="577" xr:uid="{00000000-0005-0000-0000-000050010000}"/>
    <cellStyle name="40% - Акцент2 7" xfId="578" xr:uid="{00000000-0005-0000-0000-000051010000}"/>
    <cellStyle name="40% - Акцент2 8" xfId="579" xr:uid="{00000000-0005-0000-0000-000052010000}"/>
    <cellStyle name="40% - Акцент2 9" xfId="580" xr:uid="{00000000-0005-0000-0000-000053010000}"/>
    <cellStyle name="40% - Акцент3 10" xfId="581" xr:uid="{00000000-0005-0000-0000-000054010000}"/>
    <cellStyle name="40% - Акцент3 11" xfId="582" xr:uid="{00000000-0005-0000-0000-000055010000}"/>
    <cellStyle name="40% - Акцент3 12" xfId="583" xr:uid="{00000000-0005-0000-0000-000056010000}"/>
    <cellStyle name="40% - Акцент3 13" xfId="584" xr:uid="{00000000-0005-0000-0000-000057010000}"/>
    <cellStyle name="40% - Акцент3 14" xfId="585" xr:uid="{00000000-0005-0000-0000-000058010000}"/>
    <cellStyle name="40% - Акцент3 15" xfId="586" xr:uid="{00000000-0005-0000-0000-000059010000}"/>
    <cellStyle name="40% - Акцент3 16" xfId="587" xr:uid="{00000000-0005-0000-0000-00005A010000}"/>
    <cellStyle name="40% - Акцент3 17" xfId="588" xr:uid="{00000000-0005-0000-0000-00005B010000}"/>
    <cellStyle name="40% - Акцент3 18" xfId="589" xr:uid="{00000000-0005-0000-0000-00005C010000}"/>
    <cellStyle name="40% - Акцент3 19" xfId="590" xr:uid="{00000000-0005-0000-0000-00005D010000}"/>
    <cellStyle name="40% - Акцент3 2" xfId="591" xr:uid="{00000000-0005-0000-0000-00005E010000}"/>
    <cellStyle name="40% - Акцент3 20" xfId="592" xr:uid="{00000000-0005-0000-0000-00005F010000}"/>
    <cellStyle name="40% - Акцент3 21" xfId="593" xr:uid="{00000000-0005-0000-0000-000060010000}"/>
    <cellStyle name="40% - Акцент3 22" xfId="594" xr:uid="{00000000-0005-0000-0000-000061010000}"/>
    <cellStyle name="40% - Акцент3 23" xfId="595" xr:uid="{00000000-0005-0000-0000-000062010000}"/>
    <cellStyle name="40% - Акцент3 24" xfId="596" xr:uid="{00000000-0005-0000-0000-000063010000}"/>
    <cellStyle name="40% - Акцент3 25" xfId="597" xr:uid="{00000000-0005-0000-0000-000064010000}"/>
    <cellStyle name="40% - Акцент3 26" xfId="598" xr:uid="{00000000-0005-0000-0000-000065010000}"/>
    <cellStyle name="40% - Акцент3 27" xfId="599" xr:uid="{00000000-0005-0000-0000-000066010000}"/>
    <cellStyle name="40% - Акцент3 28" xfId="600" xr:uid="{00000000-0005-0000-0000-000067010000}"/>
    <cellStyle name="40% - Акцент3 29" xfId="601" xr:uid="{00000000-0005-0000-0000-000068010000}"/>
    <cellStyle name="40% - Акцент3 3" xfId="602" xr:uid="{00000000-0005-0000-0000-000069010000}"/>
    <cellStyle name="40% - Акцент3 30" xfId="603" xr:uid="{00000000-0005-0000-0000-00006A010000}"/>
    <cellStyle name="40% - Акцент3 31" xfId="604" xr:uid="{00000000-0005-0000-0000-00006B010000}"/>
    <cellStyle name="40% - Акцент3 32" xfId="605" xr:uid="{00000000-0005-0000-0000-00006C010000}"/>
    <cellStyle name="40% - Акцент3 33" xfId="606" xr:uid="{00000000-0005-0000-0000-00006D010000}"/>
    <cellStyle name="40% - Акцент3 34" xfId="607" xr:uid="{00000000-0005-0000-0000-00006E010000}"/>
    <cellStyle name="40% - Акцент3 35" xfId="608" xr:uid="{00000000-0005-0000-0000-00006F010000}"/>
    <cellStyle name="40% - Акцент3 36" xfId="609" xr:uid="{00000000-0005-0000-0000-000070010000}"/>
    <cellStyle name="40% - Акцент3 4" xfId="610" xr:uid="{00000000-0005-0000-0000-000071010000}"/>
    <cellStyle name="40% - Акцент3 5" xfId="611" xr:uid="{00000000-0005-0000-0000-000072010000}"/>
    <cellStyle name="40% - Акцент3 6" xfId="612" xr:uid="{00000000-0005-0000-0000-000073010000}"/>
    <cellStyle name="40% - Акцент3 7" xfId="613" xr:uid="{00000000-0005-0000-0000-000074010000}"/>
    <cellStyle name="40% - Акцент3 8" xfId="614" xr:uid="{00000000-0005-0000-0000-000075010000}"/>
    <cellStyle name="40% - Акцент3 9" xfId="615" xr:uid="{00000000-0005-0000-0000-000076010000}"/>
    <cellStyle name="40% - Акцент4 10" xfId="616" xr:uid="{00000000-0005-0000-0000-000077010000}"/>
    <cellStyle name="40% - Акцент4 11" xfId="617" xr:uid="{00000000-0005-0000-0000-000078010000}"/>
    <cellStyle name="40% - Акцент4 12" xfId="618" xr:uid="{00000000-0005-0000-0000-000079010000}"/>
    <cellStyle name="40% - Акцент4 13" xfId="619" xr:uid="{00000000-0005-0000-0000-00007A010000}"/>
    <cellStyle name="40% - Акцент4 14" xfId="620" xr:uid="{00000000-0005-0000-0000-00007B010000}"/>
    <cellStyle name="40% - Акцент4 15" xfId="621" xr:uid="{00000000-0005-0000-0000-00007C010000}"/>
    <cellStyle name="40% - Акцент4 16" xfId="622" xr:uid="{00000000-0005-0000-0000-00007D010000}"/>
    <cellStyle name="40% - Акцент4 17" xfId="623" xr:uid="{00000000-0005-0000-0000-00007E010000}"/>
    <cellStyle name="40% - Акцент4 18" xfId="624" xr:uid="{00000000-0005-0000-0000-00007F010000}"/>
    <cellStyle name="40% - Акцент4 19" xfId="625" xr:uid="{00000000-0005-0000-0000-000080010000}"/>
    <cellStyle name="40% - Акцент4 2" xfId="626" xr:uid="{00000000-0005-0000-0000-000081010000}"/>
    <cellStyle name="40% - Акцент4 20" xfId="627" xr:uid="{00000000-0005-0000-0000-000082010000}"/>
    <cellStyle name="40% - Акцент4 21" xfId="628" xr:uid="{00000000-0005-0000-0000-000083010000}"/>
    <cellStyle name="40% - Акцент4 22" xfId="629" xr:uid="{00000000-0005-0000-0000-000084010000}"/>
    <cellStyle name="40% - Акцент4 23" xfId="630" xr:uid="{00000000-0005-0000-0000-000085010000}"/>
    <cellStyle name="40% - Акцент4 24" xfId="631" xr:uid="{00000000-0005-0000-0000-000086010000}"/>
    <cellStyle name="40% - Акцент4 25" xfId="632" xr:uid="{00000000-0005-0000-0000-000087010000}"/>
    <cellStyle name="40% - Акцент4 26" xfId="633" xr:uid="{00000000-0005-0000-0000-000088010000}"/>
    <cellStyle name="40% - Акцент4 27" xfId="634" xr:uid="{00000000-0005-0000-0000-000089010000}"/>
    <cellStyle name="40% - Акцент4 28" xfId="635" xr:uid="{00000000-0005-0000-0000-00008A010000}"/>
    <cellStyle name="40% - Акцент4 29" xfId="636" xr:uid="{00000000-0005-0000-0000-00008B010000}"/>
    <cellStyle name="40% - Акцент4 3" xfId="637" xr:uid="{00000000-0005-0000-0000-00008C010000}"/>
    <cellStyle name="40% - Акцент4 30" xfId="638" xr:uid="{00000000-0005-0000-0000-00008D010000}"/>
    <cellStyle name="40% - Акцент4 31" xfId="639" xr:uid="{00000000-0005-0000-0000-00008E010000}"/>
    <cellStyle name="40% - Акцент4 32" xfId="640" xr:uid="{00000000-0005-0000-0000-00008F010000}"/>
    <cellStyle name="40% - Акцент4 33" xfId="641" xr:uid="{00000000-0005-0000-0000-000090010000}"/>
    <cellStyle name="40% - Акцент4 34" xfId="642" xr:uid="{00000000-0005-0000-0000-000091010000}"/>
    <cellStyle name="40% - Акцент4 35" xfId="643" xr:uid="{00000000-0005-0000-0000-000092010000}"/>
    <cellStyle name="40% - Акцент4 36" xfId="644" xr:uid="{00000000-0005-0000-0000-000093010000}"/>
    <cellStyle name="40% - Акцент4 4" xfId="645" xr:uid="{00000000-0005-0000-0000-000094010000}"/>
    <cellStyle name="40% - Акцент4 5" xfId="646" xr:uid="{00000000-0005-0000-0000-000095010000}"/>
    <cellStyle name="40% - Акцент4 6" xfId="647" xr:uid="{00000000-0005-0000-0000-000096010000}"/>
    <cellStyle name="40% - Акцент4 7" xfId="648" xr:uid="{00000000-0005-0000-0000-000097010000}"/>
    <cellStyle name="40% - Акцент4 8" xfId="649" xr:uid="{00000000-0005-0000-0000-000098010000}"/>
    <cellStyle name="40% - Акцент4 9" xfId="650" xr:uid="{00000000-0005-0000-0000-000099010000}"/>
    <cellStyle name="40% - Акцент5 10" xfId="651" xr:uid="{00000000-0005-0000-0000-00009A010000}"/>
    <cellStyle name="40% - Акцент5 11" xfId="652" xr:uid="{00000000-0005-0000-0000-00009B010000}"/>
    <cellStyle name="40% - Акцент5 12" xfId="653" xr:uid="{00000000-0005-0000-0000-00009C010000}"/>
    <cellStyle name="40% - Акцент5 13" xfId="654" xr:uid="{00000000-0005-0000-0000-00009D010000}"/>
    <cellStyle name="40% - Акцент5 14" xfId="655" xr:uid="{00000000-0005-0000-0000-00009E010000}"/>
    <cellStyle name="40% - Акцент5 15" xfId="656" xr:uid="{00000000-0005-0000-0000-00009F010000}"/>
    <cellStyle name="40% - Акцент5 16" xfId="657" xr:uid="{00000000-0005-0000-0000-0000A0010000}"/>
    <cellStyle name="40% - Акцент5 17" xfId="658" xr:uid="{00000000-0005-0000-0000-0000A1010000}"/>
    <cellStyle name="40% - Акцент5 18" xfId="659" xr:uid="{00000000-0005-0000-0000-0000A2010000}"/>
    <cellStyle name="40% - Акцент5 19" xfId="660" xr:uid="{00000000-0005-0000-0000-0000A3010000}"/>
    <cellStyle name="40% - Акцент5 2" xfId="661" xr:uid="{00000000-0005-0000-0000-0000A4010000}"/>
    <cellStyle name="40% - Акцент5 20" xfId="662" xr:uid="{00000000-0005-0000-0000-0000A5010000}"/>
    <cellStyle name="40% - Акцент5 21" xfId="663" xr:uid="{00000000-0005-0000-0000-0000A6010000}"/>
    <cellStyle name="40% - Акцент5 22" xfId="664" xr:uid="{00000000-0005-0000-0000-0000A7010000}"/>
    <cellStyle name="40% - Акцент5 23" xfId="665" xr:uid="{00000000-0005-0000-0000-0000A8010000}"/>
    <cellStyle name="40% - Акцент5 24" xfId="666" xr:uid="{00000000-0005-0000-0000-0000A9010000}"/>
    <cellStyle name="40% - Акцент5 25" xfId="667" xr:uid="{00000000-0005-0000-0000-0000AA010000}"/>
    <cellStyle name="40% - Акцент5 26" xfId="668" xr:uid="{00000000-0005-0000-0000-0000AB010000}"/>
    <cellStyle name="40% - Акцент5 27" xfId="669" xr:uid="{00000000-0005-0000-0000-0000AC010000}"/>
    <cellStyle name="40% - Акцент5 28" xfId="670" xr:uid="{00000000-0005-0000-0000-0000AD010000}"/>
    <cellStyle name="40% - Акцент5 29" xfId="671" xr:uid="{00000000-0005-0000-0000-0000AE010000}"/>
    <cellStyle name="40% - Акцент5 3" xfId="672" xr:uid="{00000000-0005-0000-0000-0000AF010000}"/>
    <cellStyle name="40% - Акцент5 30" xfId="673" xr:uid="{00000000-0005-0000-0000-0000B0010000}"/>
    <cellStyle name="40% - Акцент5 31" xfId="674" xr:uid="{00000000-0005-0000-0000-0000B1010000}"/>
    <cellStyle name="40% - Акцент5 32" xfId="675" xr:uid="{00000000-0005-0000-0000-0000B2010000}"/>
    <cellStyle name="40% - Акцент5 33" xfId="676" xr:uid="{00000000-0005-0000-0000-0000B3010000}"/>
    <cellStyle name="40% - Акцент5 34" xfId="677" xr:uid="{00000000-0005-0000-0000-0000B4010000}"/>
    <cellStyle name="40% - Акцент5 35" xfId="678" xr:uid="{00000000-0005-0000-0000-0000B5010000}"/>
    <cellStyle name="40% - Акцент5 36" xfId="679" xr:uid="{00000000-0005-0000-0000-0000B6010000}"/>
    <cellStyle name="40% - Акцент5 4" xfId="680" xr:uid="{00000000-0005-0000-0000-0000B7010000}"/>
    <cellStyle name="40% - Акцент5 5" xfId="681" xr:uid="{00000000-0005-0000-0000-0000B8010000}"/>
    <cellStyle name="40% - Акцент5 6" xfId="682" xr:uid="{00000000-0005-0000-0000-0000B9010000}"/>
    <cellStyle name="40% - Акцент5 7" xfId="683" xr:uid="{00000000-0005-0000-0000-0000BA010000}"/>
    <cellStyle name="40% - Акцент5 8" xfId="684" xr:uid="{00000000-0005-0000-0000-0000BB010000}"/>
    <cellStyle name="40% - Акцент5 9" xfId="685" xr:uid="{00000000-0005-0000-0000-0000BC010000}"/>
    <cellStyle name="40% - Акцент6 10" xfId="686" xr:uid="{00000000-0005-0000-0000-0000BD010000}"/>
    <cellStyle name="40% - Акцент6 11" xfId="687" xr:uid="{00000000-0005-0000-0000-0000BE010000}"/>
    <cellStyle name="40% - Акцент6 12" xfId="688" xr:uid="{00000000-0005-0000-0000-0000BF010000}"/>
    <cellStyle name="40% - Акцент6 13" xfId="689" xr:uid="{00000000-0005-0000-0000-0000C0010000}"/>
    <cellStyle name="40% - Акцент6 14" xfId="690" xr:uid="{00000000-0005-0000-0000-0000C1010000}"/>
    <cellStyle name="40% - Акцент6 15" xfId="691" xr:uid="{00000000-0005-0000-0000-0000C2010000}"/>
    <cellStyle name="40% - Акцент6 16" xfId="692" xr:uid="{00000000-0005-0000-0000-0000C3010000}"/>
    <cellStyle name="40% - Акцент6 17" xfId="693" xr:uid="{00000000-0005-0000-0000-0000C4010000}"/>
    <cellStyle name="40% - Акцент6 18" xfId="694" xr:uid="{00000000-0005-0000-0000-0000C5010000}"/>
    <cellStyle name="40% - Акцент6 19" xfId="695" xr:uid="{00000000-0005-0000-0000-0000C6010000}"/>
    <cellStyle name="40% - Акцент6 2" xfId="696" xr:uid="{00000000-0005-0000-0000-0000C7010000}"/>
    <cellStyle name="40% - Акцент6 20" xfId="697" xr:uid="{00000000-0005-0000-0000-0000C8010000}"/>
    <cellStyle name="40% - Акцент6 21" xfId="698" xr:uid="{00000000-0005-0000-0000-0000C9010000}"/>
    <cellStyle name="40% - Акцент6 22" xfId="699" xr:uid="{00000000-0005-0000-0000-0000CA010000}"/>
    <cellStyle name="40% - Акцент6 23" xfId="700" xr:uid="{00000000-0005-0000-0000-0000CB010000}"/>
    <cellStyle name="40% - Акцент6 24" xfId="701" xr:uid="{00000000-0005-0000-0000-0000CC010000}"/>
    <cellStyle name="40% - Акцент6 25" xfId="702" xr:uid="{00000000-0005-0000-0000-0000CD010000}"/>
    <cellStyle name="40% - Акцент6 26" xfId="703" xr:uid="{00000000-0005-0000-0000-0000CE010000}"/>
    <cellStyle name="40% - Акцент6 27" xfId="704" xr:uid="{00000000-0005-0000-0000-0000CF010000}"/>
    <cellStyle name="40% - Акцент6 28" xfId="705" xr:uid="{00000000-0005-0000-0000-0000D0010000}"/>
    <cellStyle name="40% - Акцент6 29" xfId="706" xr:uid="{00000000-0005-0000-0000-0000D1010000}"/>
    <cellStyle name="40% - Акцент6 3" xfId="707" xr:uid="{00000000-0005-0000-0000-0000D2010000}"/>
    <cellStyle name="40% - Акцент6 30" xfId="708" xr:uid="{00000000-0005-0000-0000-0000D3010000}"/>
    <cellStyle name="40% - Акцент6 31" xfId="709" xr:uid="{00000000-0005-0000-0000-0000D4010000}"/>
    <cellStyle name="40% - Акцент6 32" xfId="710" xr:uid="{00000000-0005-0000-0000-0000D5010000}"/>
    <cellStyle name="40% - Акцент6 33" xfId="711" xr:uid="{00000000-0005-0000-0000-0000D6010000}"/>
    <cellStyle name="40% - Акцент6 34" xfId="712" xr:uid="{00000000-0005-0000-0000-0000D7010000}"/>
    <cellStyle name="40% - Акцент6 35" xfId="713" xr:uid="{00000000-0005-0000-0000-0000D8010000}"/>
    <cellStyle name="40% - Акцент6 36" xfId="714" xr:uid="{00000000-0005-0000-0000-0000D9010000}"/>
    <cellStyle name="40% - Акцент6 4" xfId="715" xr:uid="{00000000-0005-0000-0000-0000DA010000}"/>
    <cellStyle name="40% - Акцент6 5" xfId="716" xr:uid="{00000000-0005-0000-0000-0000DB010000}"/>
    <cellStyle name="40% - Акцент6 6" xfId="717" xr:uid="{00000000-0005-0000-0000-0000DC010000}"/>
    <cellStyle name="40% - Акцент6 7" xfId="718" xr:uid="{00000000-0005-0000-0000-0000DD010000}"/>
    <cellStyle name="40% - Акцент6 8" xfId="719" xr:uid="{00000000-0005-0000-0000-0000DE010000}"/>
    <cellStyle name="40% - Акцент6 9" xfId="720" xr:uid="{00000000-0005-0000-0000-0000DF010000}"/>
    <cellStyle name="60% - Accent1" xfId="31" builtinId="32" customBuiltin="1"/>
    <cellStyle name="60% - Accent1 2" xfId="64" xr:uid="{00000000-0005-0000-0000-0000E1010000}"/>
    <cellStyle name="60% - Accent1 2 2" xfId="120" xr:uid="{00000000-0005-0000-0000-0000E2010000}"/>
    <cellStyle name="60% - Accent2" xfId="35" builtinId="36" customBuiltin="1"/>
    <cellStyle name="60% - Accent2 2" xfId="62" xr:uid="{00000000-0005-0000-0000-0000E4010000}"/>
    <cellStyle name="60% - Accent2 2 2" xfId="121" xr:uid="{00000000-0005-0000-0000-0000E5010000}"/>
    <cellStyle name="60% - Accent3" xfId="39" builtinId="40" customBuiltin="1"/>
    <cellStyle name="60% - Accent3 2" xfId="56" xr:uid="{00000000-0005-0000-0000-0000E7010000}"/>
    <cellStyle name="60% - Accent3 2 2" xfId="122" xr:uid="{00000000-0005-0000-0000-0000E8010000}"/>
    <cellStyle name="60% - Accent4" xfId="43" builtinId="44" customBuiltin="1"/>
    <cellStyle name="60% - Accent4 2" xfId="66" xr:uid="{00000000-0005-0000-0000-0000EA010000}"/>
    <cellStyle name="60% - Accent4 2 2" xfId="123" xr:uid="{00000000-0005-0000-0000-0000EB010000}"/>
    <cellStyle name="60% - Accent5" xfId="47" builtinId="48" customBuiltin="1"/>
    <cellStyle name="60% - Accent5 2" xfId="73" xr:uid="{00000000-0005-0000-0000-0000ED010000}"/>
    <cellStyle name="60% - Accent5 2 2" xfId="124" xr:uid="{00000000-0005-0000-0000-0000EE010000}"/>
    <cellStyle name="60% - Accent6" xfId="51" builtinId="52" customBuiltin="1"/>
    <cellStyle name="60% - Accent6 2" xfId="55" xr:uid="{00000000-0005-0000-0000-0000F0010000}"/>
    <cellStyle name="60% - Accent6 2 2" xfId="125" xr:uid="{00000000-0005-0000-0000-0000F1010000}"/>
    <cellStyle name="60% - Акцент1 10" xfId="721" xr:uid="{00000000-0005-0000-0000-0000F2010000}"/>
    <cellStyle name="60% - Акцент1 11" xfId="722" xr:uid="{00000000-0005-0000-0000-0000F3010000}"/>
    <cellStyle name="60% - Акцент1 12" xfId="723" xr:uid="{00000000-0005-0000-0000-0000F4010000}"/>
    <cellStyle name="60% - Акцент1 13" xfId="724" xr:uid="{00000000-0005-0000-0000-0000F5010000}"/>
    <cellStyle name="60% - Акцент1 14" xfId="725" xr:uid="{00000000-0005-0000-0000-0000F6010000}"/>
    <cellStyle name="60% - Акцент1 15" xfId="726" xr:uid="{00000000-0005-0000-0000-0000F7010000}"/>
    <cellStyle name="60% - Акцент1 16" xfId="727" xr:uid="{00000000-0005-0000-0000-0000F8010000}"/>
    <cellStyle name="60% - Акцент1 17" xfId="728" xr:uid="{00000000-0005-0000-0000-0000F9010000}"/>
    <cellStyle name="60% - Акцент1 18" xfId="729" xr:uid="{00000000-0005-0000-0000-0000FA010000}"/>
    <cellStyle name="60% - Акцент1 19" xfId="730" xr:uid="{00000000-0005-0000-0000-0000FB010000}"/>
    <cellStyle name="60% - Акцент1 2" xfId="731" xr:uid="{00000000-0005-0000-0000-0000FC010000}"/>
    <cellStyle name="60% - Акцент1 20" xfId="732" xr:uid="{00000000-0005-0000-0000-0000FD010000}"/>
    <cellStyle name="60% - Акцент1 21" xfId="733" xr:uid="{00000000-0005-0000-0000-0000FE010000}"/>
    <cellStyle name="60% - Акцент1 22" xfId="734" xr:uid="{00000000-0005-0000-0000-0000FF010000}"/>
    <cellStyle name="60% - Акцент1 23" xfId="735" xr:uid="{00000000-0005-0000-0000-000000020000}"/>
    <cellStyle name="60% - Акцент1 24" xfId="736" xr:uid="{00000000-0005-0000-0000-000001020000}"/>
    <cellStyle name="60% - Акцент1 25" xfId="737" xr:uid="{00000000-0005-0000-0000-000002020000}"/>
    <cellStyle name="60% - Акцент1 26" xfId="738" xr:uid="{00000000-0005-0000-0000-000003020000}"/>
    <cellStyle name="60% - Акцент1 27" xfId="739" xr:uid="{00000000-0005-0000-0000-000004020000}"/>
    <cellStyle name="60% - Акцент1 28" xfId="740" xr:uid="{00000000-0005-0000-0000-000005020000}"/>
    <cellStyle name="60% - Акцент1 29" xfId="741" xr:uid="{00000000-0005-0000-0000-000006020000}"/>
    <cellStyle name="60% - Акцент1 3" xfId="742" xr:uid="{00000000-0005-0000-0000-000007020000}"/>
    <cellStyle name="60% - Акцент1 30" xfId="743" xr:uid="{00000000-0005-0000-0000-000008020000}"/>
    <cellStyle name="60% - Акцент1 31" xfId="744" xr:uid="{00000000-0005-0000-0000-000009020000}"/>
    <cellStyle name="60% - Акцент1 32" xfId="745" xr:uid="{00000000-0005-0000-0000-00000A020000}"/>
    <cellStyle name="60% - Акцент1 33" xfId="746" xr:uid="{00000000-0005-0000-0000-00000B020000}"/>
    <cellStyle name="60% - Акцент1 34" xfId="747" xr:uid="{00000000-0005-0000-0000-00000C020000}"/>
    <cellStyle name="60% - Акцент1 35" xfId="748" xr:uid="{00000000-0005-0000-0000-00000D020000}"/>
    <cellStyle name="60% - Акцент1 36" xfId="749" xr:uid="{00000000-0005-0000-0000-00000E020000}"/>
    <cellStyle name="60% - Акцент1 4" xfId="750" xr:uid="{00000000-0005-0000-0000-00000F020000}"/>
    <cellStyle name="60% - Акцент1 5" xfId="751" xr:uid="{00000000-0005-0000-0000-000010020000}"/>
    <cellStyle name="60% - Акцент1 6" xfId="752" xr:uid="{00000000-0005-0000-0000-000011020000}"/>
    <cellStyle name="60% - Акцент1 7" xfId="753" xr:uid="{00000000-0005-0000-0000-000012020000}"/>
    <cellStyle name="60% - Акцент1 8" xfId="754" xr:uid="{00000000-0005-0000-0000-000013020000}"/>
    <cellStyle name="60% - Акцент1 9" xfId="755" xr:uid="{00000000-0005-0000-0000-000014020000}"/>
    <cellStyle name="60% - Акцент2 10" xfId="756" xr:uid="{00000000-0005-0000-0000-000015020000}"/>
    <cellStyle name="60% - Акцент2 11" xfId="757" xr:uid="{00000000-0005-0000-0000-000016020000}"/>
    <cellStyle name="60% - Акцент2 12" xfId="758" xr:uid="{00000000-0005-0000-0000-000017020000}"/>
    <cellStyle name="60% - Акцент2 13" xfId="759" xr:uid="{00000000-0005-0000-0000-000018020000}"/>
    <cellStyle name="60% - Акцент2 14" xfId="760" xr:uid="{00000000-0005-0000-0000-000019020000}"/>
    <cellStyle name="60% - Акцент2 15" xfId="761" xr:uid="{00000000-0005-0000-0000-00001A020000}"/>
    <cellStyle name="60% - Акцент2 16" xfId="762" xr:uid="{00000000-0005-0000-0000-00001B020000}"/>
    <cellStyle name="60% - Акцент2 17" xfId="763" xr:uid="{00000000-0005-0000-0000-00001C020000}"/>
    <cellStyle name="60% - Акцент2 18" xfId="764" xr:uid="{00000000-0005-0000-0000-00001D020000}"/>
    <cellStyle name="60% - Акцент2 19" xfId="765" xr:uid="{00000000-0005-0000-0000-00001E020000}"/>
    <cellStyle name="60% - Акцент2 2" xfId="766" xr:uid="{00000000-0005-0000-0000-00001F020000}"/>
    <cellStyle name="60% - Акцент2 20" xfId="767" xr:uid="{00000000-0005-0000-0000-000020020000}"/>
    <cellStyle name="60% - Акцент2 21" xfId="768" xr:uid="{00000000-0005-0000-0000-000021020000}"/>
    <cellStyle name="60% - Акцент2 22" xfId="769" xr:uid="{00000000-0005-0000-0000-000022020000}"/>
    <cellStyle name="60% - Акцент2 23" xfId="770" xr:uid="{00000000-0005-0000-0000-000023020000}"/>
    <cellStyle name="60% - Акцент2 24" xfId="771" xr:uid="{00000000-0005-0000-0000-000024020000}"/>
    <cellStyle name="60% - Акцент2 25" xfId="772" xr:uid="{00000000-0005-0000-0000-000025020000}"/>
    <cellStyle name="60% - Акцент2 26" xfId="773" xr:uid="{00000000-0005-0000-0000-000026020000}"/>
    <cellStyle name="60% - Акцент2 27" xfId="774" xr:uid="{00000000-0005-0000-0000-000027020000}"/>
    <cellStyle name="60% - Акцент2 28" xfId="775" xr:uid="{00000000-0005-0000-0000-000028020000}"/>
    <cellStyle name="60% - Акцент2 29" xfId="776" xr:uid="{00000000-0005-0000-0000-000029020000}"/>
    <cellStyle name="60% - Акцент2 3" xfId="777" xr:uid="{00000000-0005-0000-0000-00002A020000}"/>
    <cellStyle name="60% - Акцент2 30" xfId="778" xr:uid="{00000000-0005-0000-0000-00002B020000}"/>
    <cellStyle name="60% - Акцент2 31" xfId="779" xr:uid="{00000000-0005-0000-0000-00002C020000}"/>
    <cellStyle name="60% - Акцент2 32" xfId="780" xr:uid="{00000000-0005-0000-0000-00002D020000}"/>
    <cellStyle name="60% - Акцент2 33" xfId="781" xr:uid="{00000000-0005-0000-0000-00002E020000}"/>
    <cellStyle name="60% - Акцент2 34" xfId="782" xr:uid="{00000000-0005-0000-0000-00002F020000}"/>
    <cellStyle name="60% - Акцент2 35" xfId="783" xr:uid="{00000000-0005-0000-0000-000030020000}"/>
    <cellStyle name="60% - Акцент2 36" xfId="784" xr:uid="{00000000-0005-0000-0000-000031020000}"/>
    <cellStyle name="60% - Акцент2 4" xfId="785" xr:uid="{00000000-0005-0000-0000-000032020000}"/>
    <cellStyle name="60% - Акцент2 5" xfId="786" xr:uid="{00000000-0005-0000-0000-000033020000}"/>
    <cellStyle name="60% - Акцент2 6" xfId="787" xr:uid="{00000000-0005-0000-0000-000034020000}"/>
    <cellStyle name="60% - Акцент2 7" xfId="788" xr:uid="{00000000-0005-0000-0000-000035020000}"/>
    <cellStyle name="60% - Акцент2 8" xfId="789" xr:uid="{00000000-0005-0000-0000-000036020000}"/>
    <cellStyle name="60% - Акцент2 9" xfId="790" xr:uid="{00000000-0005-0000-0000-000037020000}"/>
    <cellStyle name="60% - Акцент3 10" xfId="791" xr:uid="{00000000-0005-0000-0000-000038020000}"/>
    <cellStyle name="60% - Акцент3 11" xfId="792" xr:uid="{00000000-0005-0000-0000-000039020000}"/>
    <cellStyle name="60% - Акцент3 12" xfId="793" xr:uid="{00000000-0005-0000-0000-00003A020000}"/>
    <cellStyle name="60% - Акцент3 13" xfId="794" xr:uid="{00000000-0005-0000-0000-00003B020000}"/>
    <cellStyle name="60% - Акцент3 14" xfId="795" xr:uid="{00000000-0005-0000-0000-00003C020000}"/>
    <cellStyle name="60% - Акцент3 15" xfId="796" xr:uid="{00000000-0005-0000-0000-00003D020000}"/>
    <cellStyle name="60% - Акцент3 16" xfId="797" xr:uid="{00000000-0005-0000-0000-00003E020000}"/>
    <cellStyle name="60% - Акцент3 17" xfId="798" xr:uid="{00000000-0005-0000-0000-00003F020000}"/>
    <cellStyle name="60% - Акцент3 18" xfId="799" xr:uid="{00000000-0005-0000-0000-000040020000}"/>
    <cellStyle name="60% - Акцент3 19" xfId="800" xr:uid="{00000000-0005-0000-0000-000041020000}"/>
    <cellStyle name="60% - Акцент3 2" xfId="801" xr:uid="{00000000-0005-0000-0000-000042020000}"/>
    <cellStyle name="60% - Акцент3 20" xfId="802" xr:uid="{00000000-0005-0000-0000-000043020000}"/>
    <cellStyle name="60% - Акцент3 21" xfId="803" xr:uid="{00000000-0005-0000-0000-000044020000}"/>
    <cellStyle name="60% - Акцент3 22" xfId="804" xr:uid="{00000000-0005-0000-0000-000045020000}"/>
    <cellStyle name="60% - Акцент3 23" xfId="805" xr:uid="{00000000-0005-0000-0000-000046020000}"/>
    <cellStyle name="60% - Акцент3 24" xfId="806" xr:uid="{00000000-0005-0000-0000-000047020000}"/>
    <cellStyle name="60% - Акцент3 25" xfId="807" xr:uid="{00000000-0005-0000-0000-000048020000}"/>
    <cellStyle name="60% - Акцент3 26" xfId="808" xr:uid="{00000000-0005-0000-0000-000049020000}"/>
    <cellStyle name="60% - Акцент3 27" xfId="809" xr:uid="{00000000-0005-0000-0000-00004A020000}"/>
    <cellStyle name="60% - Акцент3 28" xfId="810" xr:uid="{00000000-0005-0000-0000-00004B020000}"/>
    <cellStyle name="60% - Акцент3 29" xfId="811" xr:uid="{00000000-0005-0000-0000-00004C020000}"/>
    <cellStyle name="60% - Акцент3 3" xfId="812" xr:uid="{00000000-0005-0000-0000-00004D020000}"/>
    <cellStyle name="60% - Акцент3 30" xfId="813" xr:uid="{00000000-0005-0000-0000-00004E020000}"/>
    <cellStyle name="60% - Акцент3 31" xfId="814" xr:uid="{00000000-0005-0000-0000-00004F020000}"/>
    <cellStyle name="60% - Акцент3 32" xfId="815" xr:uid="{00000000-0005-0000-0000-000050020000}"/>
    <cellStyle name="60% - Акцент3 33" xfId="816" xr:uid="{00000000-0005-0000-0000-000051020000}"/>
    <cellStyle name="60% - Акцент3 34" xfId="817" xr:uid="{00000000-0005-0000-0000-000052020000}"/>
    <cellStyle name="60% - Акцент3 35" xfId="818" xr:uid="{00000000-0005-0000-0000-000053020000}"/>
    <cellStyle name="60% - Акцент3 36" xfId="819" xr:uid="{00000000-0005-0000-0000-000054020000}"/>
    <cellStyle name="60% - Акцент3 4" xfId="820" xr:uid="{00000000-0005-0000-0000-000055020000}"/>
    <cellStyle name="60% - Акцент3 5" xfId="821" xr:uid="{00000000-0005-0000-0000-000056020000}"/>
    <cellStyle name="60% - Акцент3 6" xfId="822" xr:uid="{00000000-0005-0000-0000-000057020000}"/>
    <cellStyle name="60% - Акцент3 7" xfId="823" xr:uid="{00000000-0005-0000-0000-000058020000}"/>
    <cellStyle name="60% - Акцент3 8" xfId="824" xr:uid="{00000000-0005-0000-0000-000059020000}"/>
    <cellStyle name="60% - Акцент3 9" xfId="825" xr:uid="{00000000-0005-0000-0000-00005A020000}"/>
    <cellStyle name="60% - Акцент4 10" xfId="826" xr:uid="{00000000-0005-0000-0000-00005B020000}"/>
    <cellStyle name="60% - Акцент4 11" xfId="827" xr:uid="{00000000-0005-0000-0000-00005C020000}"/>
    <cellStyle name="60% - Акцент4 12" xfId="828" xr:uid="{00000000-0005-0000-0000-00005D020000}"/>
    <cellStyle name="60% - Акцент4 13" xfId="829" xr:uid="{00000000-0005-0000-0000-00005E020000}"/>
    <cellStyle name="60% - Акцент4 14" xfId="830" xr:uid="{00000000-0005-0000-0000-00005F020000}"/>
    <cellStyle name="60% - Акцент4 15" xfId="831" xr:uid="{00000000-0005-0000-0000-000060020000}"/>
    <cellStyle name="60% - Акцент4 16" xfId="832" xr:uid="{00000000-0005-0000-0000-000061020000}"/>
    <cellStyle name="60% - Акцент4 17" xfId="833" xr:uid="{00000000-0005-0000-0000-000062020000}"/>
    <cellStyle name="60% - Акцент4 18" xfId="834" xr:uid="{00000000-0005-0000-0000-000063020000}"/>
    <cellStyle name="60% - Акцент4 19" xfId="835" xr:uid="{00000000-0005-0000-0000-000064020000}"/>
    <cellStyle name="60% - Акцент4 2" xfId="836" xr:uid="{00000000-0005-0000-0000-000065020000}"/>
    <cellStyle name="60% - Акцент4 20" xfId="837" xr:uid="{00000000-0005-0000-0000-000066020000}"/>
    <cellStyle name="60% - Акцент4 21" xfId="838" xr:uid="{00000000-0005-0000-0000-000067020000}"/>
    <cellStyle name="60% - Акцент4 22" xfId="839" xr:uid="{00000000-0005-0000-0000-000068020000}"/>
    <cellStyle name="60% - Акцент4 23" xfId="840" xr:uid="{00000000-0005-0000-0000-000069020000}"/>
    <cellStyle name="60% - Акцент4 24" xfId="841" xr:uid="{00000000-0005-0000-0000-00006A020000}"/>
    <cellStyle name="60% - Акцент4 25" xfId="842" xr:uid="{00000000-0005-0000-0000-00006B020000}"/>
    <cellStyle name="60% - Акцент4 26" xfId="843" xr:uid="{00000000-0005-0000-0000-00006C020000}"/>
    <cellStyle name="60% - Акцент4 27" xfId="844" xr:uid="{00000000-0005-0000-0000-00006D020000}"/>
    <cellStyle name="60% - Акцент4 28" xfId="845" xr:uid="{00000000-0005-0000-0000-00006E020000}"/>
    <cellStyle name="60% - Акцент4 29" xfId="846" xr:uid="{00000000-0005-0000-0000-00006F020000}"/>
    <cellStyle name="60% - Акцент4 3" xfId="847" xr:uid="{00000000-0005-0000-0000-000070020000}"/>
    <cellStyle name="60% - Акцент4 30" xfId="848" xr:uid="{00000000-0005-0000-0000-000071020000}"/>
    <cellStyle name="60% - Акцент4 31" xfId="849" xr:uid="{00000000-0005-0000-0000-000072020000}"/>
    <cellStyle name="60% - Акцент4 32" xfId="850" xr:uid="{00000000-0005-0000-0000-000073020000}"/>
    <cellStyle name="60% - Акцент4 33" xfId="851" xr:uid="{00000000-0005-0000-0000-000074020000}"/>
    <cellStyle name="60% - Акцент4 34" xfId="852" xr:uid="{00000000-0005-0000-0000-000075020000}"/>
    <cellStyle name="60% - Акцент4 35" xfId="853" xr:uid="{00000000-0005-0000-0000-000076020000}"/>
    <cellStyle name="60% - Акцент4 36" xfId="854" xr:uid="{00000000-0005-0000-0000-000077020000}"/>
    <cellStyle name="60% - Акцент4 4" xfId="855" xr:uid="{00000000-0005-0000-0000-000078020000}"/>
    <cellStyle name="60% - Акцент4 5" xfId="856" xr:uid="{00000000-0005-0000-0000-000079020000}"/>
    <cellStyle name="60% - Акцент4 6" xfId="857" xr:uid="{00000000-0005-0000-0000-00007A020000}"/>
    <cellStyle name="60% - Акцент4 7" xfId="858" xr:uid="{00000000-0005-0000-0000-00007B020000}"/>
    <cellStyle name="60% - Акцент4 8" xfId="859" xr:uid="{00000000-0005-0000-0000-00007C020000}"/>
    <cellStyle name="60% - Акцент4 9" xfId="860" xr:uid="{00000000-0005-0000-0000-00007D020000}"/>
    <cellStyle name="60% - Акцент5 10" xfId="861" xr:uid="{00000000-0005-0000-0000-00007E020000}"/>
    <cellStyle name="60% - Акцент5 11" xfId="862" xr:uid="{00000000-0005-0000-0000-00007F020000}"/>
    <cellStyle name="60% - Акцент5 12" xfId="863" xr:uid="{00000000-0005-0000-0000-000080020000}"/>
    <cellStyle name="60% - Акцент5 13" xfId="864" xr:uid="{00000000-0005-0000-0000-000081020000}"/>
    <cellStyle name="60% - Акцент5 14" xfId="865" xr:uid="{00000000-0005-0000-0000-000082020000}"/>
    <cellStyle name="60% - Акцент5 15" xfId="866" xr:uid="{00000000-0005-0000-0000-000083020000}"/>
    <cellStyle name="60% - Акцент5 16" xfId="867" xr:uid="{00000000-0005-0000-0000-000084020000}"/>
    <cellStyle name="60% - Акцент5 17" xfId="868" xr:uid="{00000000-0005-0000-0000-000085020000}"/>
    <cellStyle name="60% - Акцент5 18" xfId="869" xr:uid="{00000000-0005-0000-0000-000086020000}"/>
    <cellStyle name="60% - Акцент5 19" xfId="870" xr:uid="{00000000-0005-0000-0000-000087020000}"/>
    <cellStyle name="60% - Акцент5 2" xfId="871" xr:uid="{00000000-0005-0000-0000-000088020000}"/>
    <cellStyle name="60% - Акцент5 20" xfId="872" xr:uid="{00000000-0005-0000-0000-000089020000}"/>
    <cellStyle name="60% - Акцент5 21" xfId="873" xr:uid="{00000000-0005-0000-0000-00008A020000}"/>
    <cellStyle name="60% - Акцент5 22" xfId="874" xr:uid="{00000000-0005-0000-0000-00008B020000}"/>
    <cellStyle name="60% - Акцент5 23" xfId="875" xr:uid="{00000000-0005-0000-0000-00008C020000}"/>
    <cellStyle name="60% - Акцент5 24" xfId="876" xr:uid="{00000000-0005-0000-0000-00008D020000}"/>
    <cellStyle name="60% - Акцент5 25" xfId="877" xr:uid="{00000000-0005-0000-0000-00008E020000}"/>
    <cellStyle name="60% - Акцент5 26" xfId="878" xr:uid="{00000000-0005-0000-0000-00008F020000}"/>
    <cellStyle name="60% - Акцент5 27" xfId="879" xr:uid="{00000000-0005-0000-0000-000090020000}"/>
    <cellStyle name="60% - Акцент5 28" xfId="880" xr:uid="{00000000-0005-0000-0000-000091020000}"/>
    <cellStyle name="60% - Акцент5 29" xfId="881" xr:uid="{00000000-0005-0000-0000-000092020000}"/>
    <cellStyle name="60% - Акцент5 3" xfId="882" xr:uid="{00000000-0005-0000-0000-000093020000}"/>
    <cellStyle name="60% - Акцент5 30" xfId="883" xr:uid="{00000000-0005-0000-0000-000094020000}"/>
    <cellStyle name="60% - Акцент5 31" xfId="884" xr:uid="{00000000-0005-0000-0000-000095020000}"/>
    <cellStyle name="60% - Акцент5 32" xfId="885" xr:uid="{00000000-0005-0000-0000-000096020000}"/>
    <cellStyle name="60% - Акцент5 33" xfId="886" xr:uid="{00000000-0005-0000-0000-000097020000}"/>
    <cellStyle name="60% - Акцент5 34" xfId="887" xr:uid="{00000000-0005-0000-0000-000098020000}"/>
    <cellStyle name="60% - Акцент5 35" xfId="888" xr:uid="{00000000-0005-0000-0000-000099020000}"/>
    <cellStyle name="60% - Акцент5 36" xfId="889" xr:uid="{00000000-0005-0000-0000-00009A020000}"/>
    <cellStyle name="60% - Акцент5 4" xfId="890" xr:uid="{00000000-0005-0000-0000-00009B020000}"/>
    <cellStyle name="60% - Акцент5 5" xfId="891" xr:uid="{00000000-0005-0000-0000-00009C020000}"/>
    <cellStyle name="60% - Акцент5 6" xfId="892" xr:uid="{00000000-0005-0000-0000-00009D020000}"/>
    <cellStyle name="60% - Акцент5 7" xfId="893" xr:uid="{00000000-0005-0000-0000-00009E020000}"/>
    <cellStyle name="60% - Акцент5 8" xfId="894" xr:uid="{00000000-0005-0000-0000-00009F020000}"/>
    <cellStyle name="60% - Акцент5 9" xfId="895" xr:uid="{00000000-0005-0000-0000-0000A0020000}"/>
    <cellStyle name="60% - Акцент6 10" xfId="896" xr:uid="{00000000-0005-0000-0000-0000A1020000}"/>
    <cellStyle name="60% - Акцент6 11" xfId="897" xr:uid="{00000000-0005-0000-0000-0000A2020000}"/>
    <cellStyle name="60% - Акцент6 12" xfId="898" xr:uid="{00000000-0005-0000-0000-0000A3020000}"/>
    <cellStyle name="60% - Акцент6 13" xfId="899" xr:uid="{00000000-0005-0000-0000-0000A4020000}"/>
    <cellStyle name="60% - Акцент6 14" xfId="900" xr:uid="{00000000-0005-0000-0000-0000A5020000}"/>
    <cellStyle name="60% - Акцент6 15" xfId="901" xr:uid="{00000000-0005-0000-0000-0000A6020000}"/>
    <cellStyle name="60% - Акцент6 16" xfId="902" xr:uid="{00000000-0005-0000-0000-0000A7020000}"/>
    <cellStyle name="60% - Акцент6 17" xfId="903" xr:uid="{00000000-0005-0000-0000-0000A8020000}"/>
    <cellStyle name="60% - Акцент6 18" xfId="904" xr:uid="{00000000-0005-0000-0000-0000A9020000}"/>
    <cellStyle name="60% - Акцент6 19" xfId="905" xr:uid="{00000000-0005-0000-0000-0000AA020000}"/>
    <cellStyle name="60% - Акцент6 2" xfId="906" xr:uid="{00000000-0005-0000-0000-0000AB020000}"/>
    <cellStyle name="60% - Акцент6 20" xfId="907" xr:uid="{00000000-0005-0000-0000-0000AC020000}"/>
    <cellStyle name="60% - Акцент6 21" xfId="908" xr:uid="{00000000-0005-0000-0000-0000AD020000}"/>
    <cellStyle name="60% - Акцент6 22" xfId="909" xr:uid="{00000000-0005-0000-0000-0000AE020000}"/>
    <cellStyle name="60% - Акцент6 23" xfId="910" xr:uid="{00000000-0005-0000-0000-0000AF020000}"/>
    <cellStyle name="60% - Акцент6 24" xfId="911" xr:uid="{00000000-0005-0000-0000-0000B0020000}"/>
    <cellStyle name="60% - Акцент6 25" xfId="912" xr:uid="{00000000-0005-0000-0000-0000B1020000}"/>
    <cellStyle name="60% - Акцент6 26" xfId="913" xr:uid="{00000000-0005-0000-0000-0000B2020000}"/>
    <cellStyle name="60% - Акцент6 27" xfId="914" xr:uid="{00000000-0005-0000-0000-0000B3020000}"/>
    <cellStyle name="60% - Акцент6 28" xfId="915" xr:uid="{00000000-0005-0000-0000-0000B4020000}"/>
    <cellStyle name="60% - Акцент6 29" xfId="916" xr:uid="{00000000-0005-0000-0000-0000B5020000}"/>
    <cellStyle name="60% - Акцент6 3" xfId="917" xr:uid="{00000000-0005-0000-0000-0000B6020000}"/>
    <cellStyle name="60% - Акцент6 30" xfId="918" xr:uid="{00000000-0005-0000-0000-0000B7020000}"/>
    <cellStyle name="60% - Акцент6 31" xfId="919" xr:uid="{00000000-0005-0000-0000-0000B8020000}"/>
    <cellStyle name="60% - Акцент6 32" xfId="920" xr:uid="{00000000-0005-0000-0000-0000B9020000}"/>
    <cellStyle name="60% - Акцент6 33" xfId="921" xr:uid="{00000000-0005-0000-0000-0000BA020000}"/>
    <cellStyle name="60% - Акцент6 34" xfId="922" xr:uid="{00000000-0005-0000-0000-0000BB020000}"/>
    <cellStyle name="60% - Акцент6 35" xfId="923" xr:uid="{00000000-0005-0000-0000-0000BC020000}"/>
    <cellStyle name="60% - Акцент6 36" xfId="924" xr:uid="{00000000-0005-0000-0000-0000BD020000}"/>
    <cellStyle name="60% - Акцент6 4" xfId="925" xr:uid="{00000000-0005-0000-0000-0000BE020000}"/>
    <cellStyle name="60% - Акцент6 5" xfId="926" xr:uid="{00000000-0005-0000-0000-0000BF020000}"/>
    <cellStyle name="60% - Акцент6 6" xfId="927" xr:uid="{00000000-0005-0000-0000-0000C0020000}"/>
    <cellStyle name="60% - Акцент6 7" xfId="928" xr:uid="{00000000-0005-0000-0000-0000C1020000}"/>
    <cellStyle name="60% - Акцент6 8" xfId="929" xr:uid="{00000000-0005-0000-0000-0000C2020000}"/>
    <cellStyle name="60% - Акцент6 9" xfId="930" xr:uid="{00000000-0005-0000-0000-0000C3020000}"/>
    <cellStyle name="Accent1" xfId="28" builtinId="29" customBuiltin="1"/>
    <cellStyle name="Accent1 2" xfId="57" xr:uid="{00000000-0005-0000-0000-0000C5020000}"/>
    <cellStyle name="Accent1 2 2" xfId="126" xr:uid="{00000000-0005-0000-0000-0000C6020000}"/>
    <cellStyle name="Accent2" xfId="32" builtinId="33" customBuiltin="1"/>
    <cellStyle name="Accent2 2" xfId="53" xr:uid="{00000000-0005-0000-0000-0000C8020000}"/>
    <cellStyle name="Accent2 2 2" xfId="127" xr:uid="{00000000-0005-0000-0000-0000C9020000}"/>
    <cellStyle name="Accent3" xfId="36" builtinId="37" customBuiltin="1"/>
    <cellStyle name="Accent3 2" xfId="90" xr:uid="{00000000-0005-0000-0000-0000CB020000}"/>
    <cellStyle name="Accent3 2 2" xfId="128" xr:uid="{00000000-0005-0000-0000-0000CC020000}"/>
    <cellStyle name="Accent4" xfId="40" builtinId="41" customBuiltin="1"/>
    <cellStyle name="Accent4 2" xfId="75" xr:uid="{00000000-0005-0000-0000-0000CE020000}"/>
    <cellStyle name="Accent4 2 2" xfId="129" xr:uid="{00000000-0005-0000-0000-0000CF020000}"/>
    <cellStyle name="Accent5" xfId="44" builtinId="45" customBuiltin="1"/>
    <cellStyle name="Accent5 2" xfId="85" xr:uid="{00000000-0005-0000-0000-0000D1020000}"/>
    <cellStyle name="Accent5 2 2" xfId="130" xr:uid="{00000000-0005-0000-0000-0000D2020000}"/>
    <cellStyle name="Accent6" xfId="48" builtinId="49" customBuiltin="1"/>
    <cellStyle name="Accent6 2" xfId="58" xr:uid="{00000000-0005-0000-0000-0000D4020000}"/>
    <cellStyle name="Accent6 2 2" xfId="131" xr:uid="{00000000-0005-0000-0000-0000D5020000}"/>
    <cellStyle name="Bad" xfId="17" builtinId="27" customBuiltin="1"/>
    <cellStyle name="Bad 2" xfId="92" xr:uid="{00000000-0005-0000-0000-0000D7020000}"/>
    <cellStyle name="Bad 2 2" xfId="132" xr:uid="{00000000-0005-0000-0000-0000D8020000}"/>
    <cellStyle name="Calculation" xfId="21" builtinId="22" customBuiltin="1"/>
    <cellStyle name="Calculation 2" xfId="79" xr:uid="{00000000-0005-0000-0000-0000DA020000}"/>
    <cellStyle name="Calculation 2 2" xfId="133" xr:uid="{00000000-0005-0000-0000-0000DB020000}"/>
    <cellStyle name="Calculation 2 2 10" xfId="931" xr:uid="{00000000-0005-0000-0000-0000DC020000}"/>
    <cellStyle name="Calculation 2 2 11" xfId="932" xr:uid="{00000000-0005-0000-0000-0000DD020000}"/>
    <cellStyle name="Calculation 2 2 12" xfId="933" xr:uid="{00000000-0005-0000-0000-0000DE020000}"/>
    <cellStyle name="Calculation 2 2 13" xfId="934" xr:uid="{00000000-0005-0000-0000-0000DF020000}"/>
    <cellStyle name="Calculation 2 2 14" xfId="935" xr:uid="{00000000-0005-0000-0000-0000E0020000}"/>
    <cellStyle name="Calculation 2 2 15" xfId="936" xr:uid="{00000000-0005-0000-0000-0000E1020000}"/>
    <cellStyle name="Calculation 2 2 16" xfId="937" xr:uid="{00000000-0005-0000-0000-0000E2020000}"/>
    <cellStyle name="Calculation 2 2 17" xfId="938" xr:uid="{00000000-0005-0000-0000-0000E3020000}"/>
    <cellStyle name="Calculation 2 2 18" xfId="939" xr:uid="{00000000-0005-0000-0000-0000E4020000}"/>
    <cellStyle name="Calculation 2 2 19" xfId="940" xr:uid="{00000000-0005-0000-0000-0000E5020000}"/>
    <cellStyle name="Calculation 2 2 2" xfId="941" xr:uid="{00000000-0005-0000-0000-0000E6020000}"/>
    <cellStyle name="Calculation 2 2 20" xfId="942" xr:uid="{00000000-0005-0000-0000-0000E7020000}"/>
    <cellStyle name="Calculation 2 2 21" xfId="943" xr:uid="{00000000-0005-0000-0000-0000E8020000}"/>
    <cellStyle name="Calculation 2 2 22" xfId="944" xr:uid="{00000000-0005-0000-0000-0000E9020000}"/>
    <cellStyle name="Calculation 2 2 23" xfId="945" xr:uid="{00000000-0005-0000-0000-0000EA020000}"/>
    <cellStyle name="Calculation 2 2 24" xfId="946" xr:uid="{00000000-0005-0000-0000-0000EB020000}"/>
    <cellStyle name="Calculation 2 2 25" xfId="947" xr:uid="{00000000-0005-0000-0000-0000EC020000}"/>
    <cellStyle name="Calculation 2 2 26" xfId="948" xr:uid="{00000000-0005-0000-0000-0000ED020000}"/>
    <cellStyle name="Calculation 2 2 27" xfId="949" xr:uid="{00000000-0005-0000-0000-0000EE020000}"/>
    <cellStyle name="Calculation 2 2 28" xfId="950" xr:uid="{00000000-0005-0000-0000-0000EF020000}"/>
    <cellStyle name="Calculation 2 2 29" xfId="951" xr:uid="{00000000-0005-0000-0000-0000F0020000}"/>
    <cellStyle name="Calculation 2 2 3" xfId="952" xr:uid="{00000000-0005-0000-0000-0000F1020000}"/>
    <cellStyle name="Calculation 2 2 30" xfId="953" xr:uid="{00000000-0005-0000-0000-0000F2020000}"/>
    <cellStyle name="Calculation 2 2 31" xfId="954" xr:uid="{00000000-0005-0000-0000-0000F3020000}"/>
    <cellStyle name="Calculation 2 2 32" xfId="955" xr:uid="{00000000-0005-0000-0000-0000F4020000}"/>
    <cellStyle name="Calculation 2 2 33" xfId="956" xr:uid="{00000000-0005-0000-0000-0000F5020000}"/>
    <cellStyle name="Calculation 2 2 4" xfId="957" xr:uid="{00000000-0005-0000-0000-0000F6020000}"/>
    <cellStyle name="Calculation 2 2 5" xfId="958" xr:uid="{00000000-0005-0000-0000-0000F7020000}"/>
    <cellStyle name="Calculation 2 2 6" xfId="959" xr:uid="{00000000-0005-0000-0000-0000F8020000}"/>
    <cellStyle name="Calculation 2 2 7" xfId="960" xr:uid="{00000000-0005-0000-0000-0000F9020000}"/>
    <cellStyle name="Calculation 2 2 8" xfId="961" xr:uid="{00000000-0005-0000-0000-0000FA020000}"/>
    <cellStyle name="Calculation 2 2 9" xfId="962" xr:uid="{00000000-0005-0000-0000-0000FB020000}"/>
    <cellStyle name="Check Cell" xfId="23" builtinId="23" customBuiltin="1"/>
    <cellStyle name="Check Cell 2" xfId="86" xr:uid="{00000000-0005-0000-0000-0000FD020000}"/>
    <cellStyle name="Check Cell 2 2" xfId="134" xr:uid="{00000000-0005-0000-0000-0000FE020000}"/>
    <cellStyle name="Comma" xfId="7" builtinId="3"/>
    <cellStyle name="Comma 10" xfId="217" xr:uid="{00000000-0005-0000-0000-000000030000}"/>
    <cellStyle name="Comma 11" xfId="2021" xr:uid="{00000000-0005-0000-0000-000001030000}"/>
    <cellStyle name="Comma 12" xfId="2027" xr:uid="{00000000-0005-0000-0000-000002030000}"/>
    <cellStyle name="Comma 15" xfId="2022" xr:uid="{00000000-0005-0000-0000-000003030000}"/>
    <cellStyle name="Comma 19" xfId="2030" xr:uid="{00000000-0005-0000-0000-000004030000}"/>
    <cellStyle name="Comma 2" xfId="10" xr:uid="{00000000-0005-0000-0000-000005030000}"/>
    <cellStyle name="Comma 2 2" xfId="100" xr:uid="{00000000-0005-0000-0000-000006030000}"/>
    <cellStyle name="Comma 2 2 2" xfId="135" xr:uid="{00000000-0005-0000-0000-000007030000}"/>
    <cellStyle name="Comma 2 2 2 2" xfId="218" xr:uid="{00000000-0005-0000-0000-000008030000}"/>
    <cellStyle name="Comma 2 2 3" xfId="219" xr:uid="{00000000-0005-0000-0000-000009030000}"/>
    <cellStyle name="Comma 2 3" xfId="103" xr:uid="{00000000-0005-0000-0000-00000A030000}"/>
    <cellStyle name="Comma 2 3 2" xfId="220" xr:uid="{00000000-0005-0000-0000-00000B030000}"/>
    <cellStyle name="Comma 2 3 3" xfId="221" xr:uid="{00000000-0005-0000-0000-00000C030000}"/>
    <cellStyle name="Comma 2 4" xfId="222" xr:uid="{00000000-0005-0000-0000-00000D030000}"/>
    <cellStyle name="Comma 2 5" xfId="223" xr:uid="{00000000-0005-0000-0000-00000E030000}"/>
    <cellStyle name="Comma 3" xfId="99" xr:uid="{00000000-0005-0000-0000-00000F030000}"/>
    <cellStyle name="Comma 3 2" xfId="136" xr:uid="{00000000-0005-0000-0000-000010030000}"/>
    <cellStyle name="Comma 3 2 2" xfId="188" xr:uid="{00000000-0005-0000-0000-000011030000}"/>
    <cellStyle name="Comma 3 2 2 2" xfId="211" xr:uid="{00000000-0005-0000-0000-000012030000}"/>
    <cellStyle name="Comma 3 2 3" xfId="181" xr:uid="{00000000-0005-0000-0000-000013030000}"/>
    <cellStyle name="Comma 3 2 4" xfId="205" xr:uid="{00000000-0005-0000-0000-000014030000}"/>
    <cellStyle name="Comma 3 3" xfId="224" xr:uid="{00000000-0005-0000-0000-000015030000}"/>
    <cellStyle name="Comma 4" xfId="102" xr:uid="{00000000-0005-0000-0000-000016030000}"/>
    <cellStyle name="Comma 4 2" xfId="225" xr:uid="{00000000-0005-0000-0000-000017030000}"/>
    <cellStyle name="Comma 4 2 2" xfId="2023" xr:uid="{00000000-0005-0000-0000-000018030000}"/>
    <cellStyle name="Comma 4 3" xfId="226" xr:uid="{00000000-0005-0000-0000-000019030000}"/>
    <cellStyle name="Comma 5" xfId="95" xr:uid="{00000000-0005-0000-0000-00001A030000}"/>
    <cellStyle name="Comma 5 2" xfId="180" xr:uid="{00000000-0005-0000-0000-00001B030000}"/>
    <cellStyle name="Comma 5 3" xfId="204" xr:uid="{00000000-0005-0000-0000-00001C030000}"/>
    <cellStyle name="Comma 6" xfId="187" xr:uid="{00000000-0005-0000-0000-00001D030000}"/>
    <cellStyle name="Comma 6 2" xfId="210" xr:uid="{00000000-0005-0000-0000-00001E030000}"/>
    <cellStyle name="Comma 6 3" xfId="227" xr:uid="{00000000-0005-0000-0000-00001F030000}"/>
    <cellStyle name="Comma 7" xfId="228" xr:uid="{00000000-0005-0000-0000-000020030000}"/>
    <cellStyle name="Comma 7 2" xfId="229" xr:uid="{00000000-0005-0000-0000-000021030000}"/>
    <cellStyle name="Comma 7 2 2" xfId="230" xr:uid="{00000000-0005-0000-0000-000022030000}"/>
    <cellStyle name="Comma 7 3" xfId="231" xr:uid="{00000000-0005-0000-0000-000023030000}"/>
    <cellStyle name="Comma 8" xfId="232" xr:uid="{00000000-0005-0000-0000-000024030000}"/>
    <cellStyle name="Comma 9" xfId="233" xr:uid="{00000000-0005-0000-0000-000025030000}"/>
    <cellStyle name="Explanatory Text" xfId="26" builtinId="53" customBuiltin="1"/>
    <cellStyle name="Explanatory Text 2" xfId="74" xr:uid="{00000000-0005-0000-0000-000027030000}"/>
    <cellStyle name="Explanatory Text 2 2" xfId="137" xr:uid="{00000000-0005-0000-0000-000028030000}"/>
    <cellStyle name="Good" xfId="16" builtinId="26" customBuiltin="1"/>
    <cellStyle name="Good 2" xfId="80" xr:uid="{00000000-0005-0000-0000-00002A030000}"/>
    <cellStyle name="Good 2 2" xfId="138" xr:uid="{00000000-0005-0000-0000-00002B030000}"/>
    <cellStyle name="Heading 1" xfId="12" builtinId="16" customBuiltin="1"/>
    <cellStyle name="Heading 1 2" xfId="65" xr:uid="{00000000-0005-0000-0000-00002D030000}"/>
    <cellStyle name="Heading 1 2 2" xfId="139" xr:uid="{00000000-0005-0000-0000-00002E030000}"/>
    <cellStyle name="Heading 2" xfId="13" builtinId="17" customBuiltin="1"/>
    <cellStyle name="Heading 2 2" xfId="83" xr:uid="{00000000-0005-0000-0000-000030030000}"/>
    <cellStyle name="Heading 2 2 2" xfId="140" xr:uid="{00000000-0005-0000-0000-000031030000}"/>
    <cellStyle name="Heading 3" xfId="14" builtinId="18" customBuiltin="1"/>
    <cellStyle name="Heading 3 2" xfId="67" xr:uid="{00000000-0005-0000-0000-000033030000}"/>
    <cellStyle name="Heading 3 2 2" xfId="141" xr:uid="{00000000-0005-0000-0000-000034030000}"/>
    <cellStyle name="Heading 4" xfId="15" builtinId="19" customBuiltin="1"/>
    <cellStyle name="Heading 4 2" xfId="63" xr:uid="{00000000-0005-0000-0000-000036030000}"/>
    <cellStyle name="Heading 4 2 2" xfId="142" xr:uid="{00000000-0005-0000-0000-000037030000}"/>
    <cellStyle name="Input" xfId="19" builtinId="20" customBuiltin="1"/>
    <cellStyle name="Input 2" xfId="82" xr:uid="{00000000-0005-0000-0000-000039030000}"/>
    <cellStyle name="Input 2 2" xfId="143" xr:uid="{00000000-0005-0000-0000-00003A030000}"/>
    <cellStyle name="Input 2 2 10" xfId="963" xr:uid="{00000000-0005-0000-0000-00003B030000}"/>
    <cellStyle name="Input 2 2 11" xfId="964" xr:uid="{00000000-0005-0000-0000-00003C030000}"/>
    <cellStyle name="Input 2 2 12" xfId="965" xr:uid="{00000000-0005-0000-0000-00003D030000}"/>
    <cellStyle name="Input 2 2 13" xfId="966" xr:uid="{00000000-0005-0000-0000-00003E030000}"/>
    <cellStyle name="Input 2 2 14" xfId="967" xr:uid="{00000000-0005-0000-0000-00003F030000}"/>
    <cellStyle name="Input 2 2 15" xfId="968" xr:uid="{00000000-0005-0000-0000-000040030000}"/>
    <cellStyle name="Input 2 2 16" xfId="969" xr:uid="{00000000-0005-0000-0000-000041030000}"/>
    <cellStyle name="Input 2 2 17" xfId="970" xr:uid="{00000000-0005-0000-0000-000042030000}"/>
    <cellStyle name="Input 2 2 18" xfId="971" xr:uid="{00000000-0005-0000-0000-000043030000}"/>
    <cellStyle name="Input 2 2 19" xfId="972" xr:uid="{00000000-0005-0000-0000-000044030000}"/>
    <cellStyle name="Input 2 2 2" xfId="973" xr:uid="{00000000-0005-0000-0000-000045030000}"/>
    <cellStyle name="Input 2 2 20" xfId="974" xr:uid="{00000000-0005-0000-0000-000046030000}"/>
    <cellStyle name="Input 2 2 21" xfId="975" xr:uid="{00000000-0005-0000-0000-000047030000}"/>
    <cellStyle name="Input 2 2 22" xfId="976" xr:uid="{00000000-0005-0000-0000-000048030000}"/>
    <cellStyle name="Input 2 2 23" xfId="977" xr:uid="{00000000-0005-0000-0000-000049030000}"/>
    <cellStyle name="Input 2 2 24" xfId="978" xr:uid="{00000000-0005-0000-0000-00004A030000}"/>
    <cellStyle name="Input 2 2 25" xfId="979" xr:uid="{00000000-0005-0000-0000-00004B030000}"/>
    <cellStyle name="Input 2 2 26" xfId="980" xr:uid="{00000000-0005-0000-0000-00004C030000}"/>
    <cellStyle name="Input 2 2 27" xfId="981" xr:uid="{00000000-0005-0000-0000-00004D030000}"/>
    <cellStyle name="Input 2 2 28" xfId="982" xr:uid="{00000000-0005-0000-0000-00004E030000}"/>
    <cellStyle name="Input 2 2 29" xfId="983" xr:uid="{00000000-0005-0000-0000-00004F030000}"/>
    <cellStyle name="Input 2 2 3" xfId="984" xr:uid="{00000000-0005-0000-0000-000050030000}"/>
    <cellStyle name="Input 2 2 30" xfId="985" xr:uid="{00000000-0005-0000-0000-000051030000}"/>
    <cellStyle name="Input 2 2 31" xfId="986" xr:uid="{00000000-0005-0000-0000-000052030000}"/>
    <cellStyle name="Input 2 2 32" xfId="987" xr:uid="{00000000-0005-0000-0000-000053030000}"/>
    <cellStyle name="Input 2 2 33" xfId="988" xr:uid="{00000000-0005-0000-0000-000054030000}"/>
    <cellStyle name="Input 2 2 4" xfId="989" xr:uid="{00000000-0005-0000-0000-000055030000}"/>
    <cellStyle name="Input 2 2 5" xfId="990" xr:uid="{00000000-0005-0000-0000-000056030000}"/>
    <cellStyle name="Input 2 2 6" xfId="991" xr:uid="{00000000-0005-0000-0000-000057030000}"/>
    <cellStyle name="Input 2 2 7" xfId="992" xr:uid="{00000000-0005-0000-0000-000058030000}"/>
    <cellStyle name="Input 2 2 8" xfId="993" xr:uid="{00000000-0005-0000-0000-000059030000}"/>
    <cellStyle name="Input 2 2 9" xfId="994" xr:uid="{00000000-0005-0000-0000-00005A030000}"/>
    <cellStyle name="KPMG Heading 1" xfId="234" xr:uid="{00000000-0005-0000-0000-00005B030000}"/>
    <cellStyle name="KPMG Heading 2" xfId="235" xr:uid="{00000000-0005-0000-0000-00005C030000}"/>
    <cellStyle name="KPMG Heading 3" xfId="236" xr:uid="{00000000-0005-0000-0000-00005D030000}"/>
    <cellStyle name="KPMG Heading 4" xfId="237" xr:uid="{00000000-0005-0000-0000-00005E030000}"/>
    <cellStyle name="KPMG Normal" xfId="238" xr:uid="{00000000-0005-0000-0000-00005F030000}"/>
    <cellStyle name="KPMG Normal Text" xfId="239" xr:uid="{00000000-0005-0000-0000-000060030000}"/>
    <cellStyle name="KPMG Normal_123" xfId="240" xr:uid="{00000000-0005-0000-0000-000061030000}"/>
    <cellStyle name="Linked Cell" xfId="22" builtinId="24" customBuiltin="1"/>
    <cellStyle name="Linked Cell 2" xfId="70" xr:uid="{00000000-0005-0000-0000-000063030000}"/>
    <cellStyle name="Linked Cell 2 2" xfId="144" xr:uid="{00000000-0005-0000-0000-000064030000}"/>
    <cellStyle name="Neutral" xfId="18" builtinId="28" customBuiltin="1"/>
    <cellStyle name="Neutral 2" xfId="76" xr:uid="{00000000-0005-0000-0000-000066030000}"/>
    <cellStyle name="Neutral 2 2" xfId="105" xr:uid="{00000000-0005-0000-0000-000067030000}"/>
    <cellStyle name="Neutral 3" xfId="145" xr:uid="{00000000-0005-0000-0000-000068030000}"/>
    <cellStyle name="Normal" xfId="0" builtinId="0"/>
    <cellStyle name="Normal 10" xfId="4" xr:uid="{00000000-0005-0000-0000-00006A030000}"/>
    <cellStyle name="Normal 10 2" xfId="185" xr:uid="{00000000-0005-0000-0000-00006B030000}"/>
    <cellStyle name="Normal 10 3" xfId="208" xr:uid="{00000000-0005-0000-0000-00006C030000}"/>
    <cellStyle name="Normal 11" xfId="164" xr:uid="{00000000-0005-0000-0000-00006D030000}"/>
    <cellStyle name="Normal 11 2" xfId="186" xr:uid="{00000000-0005-0000-0000-00006E030000}"/>
    <cellStyle name="Normal 11 3" xfId="209" xr:uid="{00000000-0005-0000-0000-00006F030000}"/>
    <cellStyle name="Normal 12" xfId="165" xr:uid="{00000000-0005-0000-0000-000070030000}"/>
    <cellStyle name="Normal 12 2" xfId="241" xr:uid="{00000000-0005-0000-0000-000071030000}"/>
    <cellStyle name="Normal 12 3" xfId="2024" xr:uid="{00000000-0005-0000-0000-000072030000}"/>
    <cellStyle name="Normal 13" xfId="242" xr:uid="{00000000-0005-0000-0000-000073030000}"/>
    <cellStyle name="Normal 14" xfId="243" xr:uid="{00000000-0005-0000-0000-000074030000}"/>
    <cellStyle name="Normal 14 2" xfId="244" xr:uid="{00000000-0005-0000-0000-000075030000}"/>
    <cellStyle name="Normal 15" xfId="245" xr:uid="{00000000-0005-0000-0000-000076030000}"/>
    <cellStyle name="Normal 16" xfId="246" xr:uid="{00000000-0005-0000-0000-000077030000}"/>
    <cellStyle name="Normal 17" xfId="247" xr:uid="{00000000-0005-0000-0000-000078030000}"/>
    <cellStyle name="Normal 18" xfId="299" xr:uid="{00000000-0005-0000-0000-000079030000}"/>
    <cellStyle name="Normal 2" xfId="1" xr:uid="{00000000-0005-0000-0000-00007A030000}"/>
    <cellStyle name="Normal 2 2" xfId="146" xr:uid="{00000000-0005-0000-0000-00007B030000}"/>
    <cellStyle name="Normal 2 2 2" xfId="163" xr:uid="{00000000-0005-0000-0000-00007C030000}"/>
    <cellStyle name="Normal 2 2 3" xfId="248" xr:uid="{00000000-0005-0000-0000-00007D030000}"/>
    <cellStyle name="Normal 2 3" xfId="147" xr:uid="{00000000-0005-0000-0000-00007E030000}"/>
    <cellStyle name="Normal 2 3 2" xfId="249" xr:uid="{00000000-0005-0000-0000-00007F030000}"/>
    <cellStyle name="Normal 2 3 3" xfId="250" xr:uid="{00000000-0005-0000-0000-000080030000}"/>
    <cellStyle name="Normal 2 4" xfId="96" xr:uid="{00000000-0005-0000-0000-000081030000}"/>
    <cellStyle name="Normal 2 4 2" xfId="251" xr:uid="{00000000-0005-0000-0000-000082030000}"/>
    <cellStyle name="Normal 2 5" xfId="252" xr:uid="{00000000-0005-0000-0000-000083030000}"/>
    <cellStyle name="Normal 2 6" xfId="253" xr:uid="{00000000-0005-0000-0000-000084030000}"/>
    <cellStyle name="Normal 3" xfId="3" xr:uid="{00000000-0005-0000-0000-000085030000}"/>
    <cellStyle name="Normal 3 2" xfId="104" xr:uid="{00000000-0005-0000-0000-000086030000}"/>
    <cellStyle name="Normal 3 2 2" xfId="148" xr:uid="{00000000-0005-0000-0000-000087030000}"/>
    <cellStyle name="Normal 3 2 3" xfId="254" xr:uid="{00000000-0005-0000-0000-000088030000}"/>
    <cellStyle name="Normal 3 3" xfId="98" xr:uid="{00000000-0005-0000-0000-000089030000}"/>
    <cellStyle name="Normal 3 4" xfId="255" xr:uid="{00000000-0005-0000-0000-00008A030000}"/>
    <cellStyle name="Normal 3 5" xfId="256" xr:uid="{00000000-0005-0000-0000-00008B030000}"/>
    <cellStyle name="Normal 3_HavelvacN2axjusakN3" xfId="106" xr:uid="{00000000-0005-0000-0000-00008C030000}"/>
    <cellStyle name="Normal 4" xfId="5" xr:uid="{00000000-0005-0000-0000-00008D030000}"/>
    <cellStyle name="Normal 4 2" xfId="9" xr:uid="{00000000-0005-0000-0000-00008E030000}"/>
    <cellStyle name="Normal 4 3" xfId="101" xr:uid="{00000000-0005-0000-0000-00008F030000}"/>
    <cellStyle name="Normal 5" xfId="107" xr:uid="{00000000-0005-0000-0000-000090030000}"/>
    <cellStyle name="Normal 5 2" xfId="149" xr:uid="{00000000-0005-0000-0000-000091030000}"/>
    <cellStyle name="Normal 5 2 2" xfId="189" xr:uid="{00000000-0005-0000-0000-000092030000}"/>
    <cellStyle name="Normal 5 2 2 2" xfId="212" xr:uid="{00000000-0005-0000-0000-000093030000}"/>
    <cellStyle name="Normal 5 2 3" xfId="182" xr:uid="{00000000-0005-0000-0000-000094030000}"/>
    <cellStyle name="Normal 5 2 4" xfId="206" xr:uid="{00000000-0005-0000-0000-000095030000}"/>
    <cellStyle name="Normal 5 3" xfId="257" xr:uid="{00000000-0005-0000-0000-000096030000}"/>
    <cellStyle name="Normal 6" xfId="150" xr:uid="{00000000-0005-0000-0000-000097030000}"/>
    <cellStyle name="Normal 6 2" xfId="213" xr:uid="{00000000-0005-0000-0000-000098030000}"/>
    <cellStyle name="Normal 6 3" xfId="258" xr:uid="{00000000-0005-0000-0000-000099030000}"/>
    <cellStyle name="Normal 7" xfId="151" xr:uid="{00000000-0005-0000-0000-00009A030000}"/>
    <cellStyle name="Normal 7 2" xfId="259" xr:uid="{00000000-0005-0000-0000-00009B030000}"/>
    <cellStyle name="Normal 8" xfId="8" xr:uid="{00000000-0005-0000-0000-00009C030000}"/>
    <cellStyle name="Normal 8 2" xfId="162" xr:uid="{00000000-0005-0000-0000-00009D030000}"/>
    <cellStyle name="Normal 8 3" xfId="179" xr:uid="{00000000-0005-0000-0000-00009E030000}"/>
    <cellStyle name="Normal 8 4" xfId="203" xr:uid="{00000000-0005-0000-0000-00009F030000}"/>
    <cellStyle name="Normal 9" xfId="94" xr:uid="{00000000-0005-0000-0000-0000A0030000}"/>
    <cellStyle name="Normal 9 2" xfId="184" xr:uid="{00000000-0005-0000-0000-0000A1030000}"/>
    <cellStyle name="Normal 9 3" xfId="207" xr:uid="{00000000-0005-0000-0000-0000A2030000}"/>
    <cellStyle name="Note" xfId="25" builtinId="10" customBuiltin="1"/>
    <cellStyle name="Note 2" xfId="54" xr:uid="{00000000-0005-0000-0000-0000A5030000}"/>
    <cellStyle name="Note 2 2" xfId="152" xr:uid="{00000000-0005-0000-0000-0000A6030000}"/>
    <cellStyle name="Note 2 2 10" xfId="995" xr:uid="{00000000-0005-0000-0000-0000A7030000}"/>
    <cellStyle name="Note 2 2 11" xfId="996" xr:uid="{00000000-0005-0000-0000-0000A8030000}"/>
    <cellStyle name="Note 2 2 12" xfId="997" xr:uid="{00000000-0005-0000-0000-0000A9030000}"/>
    <cellStyle name="Note 2 2 13" xfId="998" xr:uid="{00000000-0005-0000-0000-0000AA030000}"/>
    <cellStyle name="Note 2 2 14" xfId="999" xr:uid="{00000000-0005-0000-0000-0000AB030000}"/>
    <cellStyle name="Note 2 2 15" xfId="1000" xr:uid="{00000000-0005-0000-0000-0000AC030000}"/>
    <cellStyle name="Note 2 2 16" xfId="1001" xr:uid="{00000000-0005-0000-0000-0000AD030000}"/>
    <cellStyle name="Note 2 2 17" xfId="1002" xr:uid="{00000000-0005-0000-0000-0000AE030000}"/>
    <cellStyle name="Note 2 2 18" xfId="1003" xr:uid="{00000000-0005-0000-0000-0000AF030000}"/>
    <cellStyle name="Note 2 2 19" xfId="1004" xr:uid="{00000000-0005-0000-0000-0000B0030000}"/>
    <cellStyle name="Note 2 2 2" xfId="1005" xr:uid="{00000000-0005-0000-0000-0000B1030000}"/>
    <cellStyle name="Note 2 2 20" xfId="1006" xr:uid="{00000000-0005-0000-0000-0000B2030000}"/>
    <cellStyle name="Note 2 2 21" xfId="1007" xr:uid="{00000000-0005-0000-0000-0000B3030000}"/>
    <cellStyle name="Note 2 2 22" xfId="1008" xr:uid="{00000000-0005-0000-0000-0000B4030000}"/>
    <cellStyle name="Note 2 2 23" xfId="1009" xr:uid="{00000000-0005-0000-0000-0000B5030000}"/>
    <cellStyle name="Note 2 2 24" xfId="1010" xr:uid="{00000000-0005-0000-0000-0000B6030000}"/>
    <cellStyle name="Note 2 2 25" xfId="1011" xr:uid="{00000000-0005-0000-0000-0000B7030000}"/>
    <cellStyle name="Note 2 2 26" xfId="1012" xr:uid="{00000000-0005-0000-0000-0000B8030000}"/>
    <cellStyle name="Note 2 2 27" xfId="1013" xr:uid="{00000000-0005-0000-0000-0000B9030000}"/>
    <cellStyle name="Note 2 2 28" xfId="1014" xr:uid="{00000000-0005-0000-0000-0000BA030000}"/>
    <cellStyle name="Note 2 2 29" xfId="1015" xr:uid="{00000000-0005-0000-0000-0000BB030000}"/>
    <cellStyle name="Note 2 2 3" xfId="1016" xr:uid="{00000000-0005-0000-0000-0000BC030000}"/>
    <cellStyle name="Note 2 2 30" xfId="1017" xr:uid="{00000000-0005-0000-0000-0000BD030000}"/>
    <cellStyle name="Note 2 2 31" xfId="1018" xr:uid="{00000000-0005-0000-0000-0000BE030000}"/>
    <cellStyle name="Note 2 2 32" xfId="1019" xr:uid="{00000000-0005-0000-0000-0000BF030000}"/>
    <cellStyle name="Note 2 2 33" xfId="1020" xr:uid="{00000000-0005-0000-0000-0000C0030000}"/>
    <cellStyle name="Note 2 2 34" xfId="1021" xr:uid="{00000000-0005-0000-0000-0000C1030000}"/>
    <cellStyle name="Note 2 2 4" xfId="1022" xr:uid="{00000000-0005-0000-0000-0000C2030000}"/>
    <cellStyle name="Note 2 2 5" xfId="1023" xr:uid="{00000000-0005-0000-0000-0000C3030000}"/>
    <cellStyle name="Note 2 2 6" xfId="1024" xr:uid="{00000000-0005-0000-0000-0000C4030000}"/>
    <cellStyle name="Note 2 2 7" xfId="1025" xr:uid="{00000000-0005-0000-0000-0000C5030000}"/>
    <cellStyle name="Note 2 2 8" xfId="1026" xr:uid="{00000000-0005-0000-0000-0000C6030000}"/>
    <cellStyle name="Note 2 2 9" xfId="1027" xr:uid="{00000000-0005-0000-0000-0000C7030000}"/>
    <cellStyle name="Note 2 3" xfId="260" xr:uid="{00000000-0005-0000-0000-0000C8030000}"/>
    <cellStyle name="Note 3" xfId="166" xr:uid="{00000000-0005-0000-0000-0000C9030000}"/>
    <cellStyle name="Note 4" xfId="190" xr:uid="{00000000-0005-0000-0000-0000CA030000}"/>
    <cellStyle name="Output" xfId="20" builtinId="21" customBuiltin="1"/>
    <cellStyle name="Output 2" xfId="81" xr:uid="{00000000-0005-0000-0000-0000CC030000}"/>
    <cellStyle name="Output 2 2" xfId="153" xr:uid="{00000000-0005-0000-0000-0000CD030000}"/>
    <cellStyle name="Output 2 2 10" xfId="1028" xr:uid="{00000000-0005-0000-0000-0000CE030000}"/>
    <cellStyle name="Output 2 2 11" xfId="1029" xr:uid="{00000000-0005-0000-0000-0000CF030000}"/>
    <cellStyle name="Output 2 2 12" xfId="1030" xr:uid="{00000000-0005-0000-0000-0000D0030000}"/>
    <cellStyle name="Output 2 2 13" xfId="1031" xr:uid="{00000000-0005-0000-0000-0000D1030000}"/>
    <cellStyle name="Output 2 2 14" xfId="1032" xr:uid="{00000000-0005-0000-0000-0000D2030000}"/>
    <cellStyle name="Output 2 2 15" xfId="1033" xr:uid="{00000000-0005-0000-0000-0000D3030000}"/>
    <cellStyle name="Output 2 2 16" xfId="1034" xr:uid="{00000000-0005-0000-0000-0000D4030000}"/>
    <cellStyle name="Output 2 2 17" xfId="1035" xr:uid="{00000000-0005-0000-0000-0000D5030000}"/>
    <cellStyle name="Output 2 2 18" xfId="1036" xr:uid="{00000000-0005-0000-0000-0000D6030000}"/>
    <cellStyle name="Output 2 2 19" xfId="1037" xr:uid="{00000000-0005-0000-0000-0000D7030000}"/>
    <cellStyle name="Output 2 2 2" xfId="1038" xr:uid="{00000000-0005-0000-0000-0000D8030000}"/>
    <cellStyle name="Output 2 2 20" xfId="1039" xr:uid="{00000000-0005-0000-0000-0000D9030000}"/>
    <cellStyle name="Output 2 2 21" xfId="1040" xr:uid="{00000000-0005-0000-0000-0000DA030000}"/>
    <cellStyle name="Output 2 2 22" xfId="1041" xr:uid="{00000000-0005-0000-0000-0000DB030000}"/>
    <cellStyle name="Output 2 2 23" xfId="1042" xr:uid="{00000000-0005-0000-0000-0000DC030000}"/>
    <cellStyle name="Output 2 2 24" xfId="1043" xr:uid="{00000000-0005-0000-0000-0000DD030000}"/>
    <cellStyle name="Output 2 2 25" xfId="1044" xr:uid="{00000000-0005-0000-0000-0000DE030000}"/>
    <cellStyle name="Output 2 2 26" xfId="1045" xr:uid="{00000000-0005-0000-0000-0000DF030000}"/>
    <cellStyle name="Output 2 2 27" xfId="1046" xr:uid="{00000000-0005-0000-0000-0000E0030000}"/>
    <cellStyle name="Output 2 2 28" xfId="1047" xr:uid="{00000000-0005-0000-0000-0000E1030000}"/>
    <cellStyle name="Output 2 2 29" xfId="1048" xr:uid="{00000000-0005-0000-0000-0000E2030000}"/>
    <cellStyle name="Output 2 2 3" xfId="1049" xr:uid="{00000000-0005-0000-0000-0000E3030000}"/>
    <cellStyle name="Output 2 2 30" xfId="1050" xr:uid="{00000000-0005-0000-0000-0000E4030000}"/>
    <cellStyle name="Output 2 2 31" xfId="1051" xr:uid="{00000000-0005-0000-0000-0000E5030000}"/>
    <cellStyle name="Output 2 2 32" xfId="1052" xr:uid="{00000000-0005-0000-0000-0000E6030000}"/>
    <cellStyle name="Output 2 2 33" xfId="1053" xr:uid="{00000000-0005-0000-0000-0000E7030000}"/>
    <cellStyle name="Output 2 2 34" xfId="1054" xr:uid="{00000000-0005-0000-0000-0000E8030000}"/>
    <cellStyle name="Output 2 2 4" xfId="1055" xr:uid="{00000000-0005-0000-0000-0000E9030000}"/>
    <cellStyle name="Output 2 2 5" xfId="1056" xr:uid="{00000000-0005-0000-0000-0000EA030000}"/>
    <cellStyle name="Output 2 2 6" xfId="1057" xr:uid="{00000000-0005-0000-0000-0000EB030000}"/>
    <cellStyle name="Output 2 2 7" xfId="1058" xr:uid="{00000000-0005-0000-0000-0000EC030000}"/>
    <cellStyle name="Output 2 2 8" xfId="1059" xr:uid="{00000000-0005-0000-0000-0000ED030000}"/>
    <cellStyle name="Output 2 2 9" xfId="1060" xr:uid="{00000000-0005-0000-0000-0000EE030000}"/>
    <cellStyle name="Percent 2" xfId="2" xr:uid="{00000000-0005-0000-0000-0000EF030000}"/>
    <cellStyle name="Percent 2 2" xfId="97" xr:uid="{00000000-0005-0000-0000-0000F0030000}"/>
    <cellStyle name="Percent 2 2 2" xfId="261" xr:uid="{00000000-0005-0000-0000-0000F1030000}"/>
    <cellStyle name="Percent 2 3" xfId="262" xr:uid="{00000000-0005-0000-0000-0000F2030000}"/>
    <cellStyle name="Percent 2 4" xfId="263" xr:uid="{00000000-0005-0000-0000-0000F3030000}"/>
    <cellStyle name="Percent 3" xfId="264" xr:uid="{00000000-0005-0000-0000-0000F4030000}"/>
    <cellStyle name="Percent 3 2" xfId="265" xr:uid="{00000000-0005-0000-0000-0000F5030000}"/>
    <cellStyle name="Percent 4" xfId="266" xr:uid="{00000000-0005-0000-0000-0000F6030000}"/>
    <cellStyle name="Percent 4 2" xfId="267" xr:uid="{00000000-0005-0000-0000-0000F7030000}"/>
    <cellStyle name="Percent 5" xfId="268" xr:uid="{00000000-0005-0000-0000-0000F8030000}"/>
    <cellStyle name="Percent 5 2" xfId="269" xr:uid="{00000000-0005-0000-0000-0000F9030000}"/>
    <cellStyle name="Percent 5 2 2" xfId="270" xr:uid="{00000000-0005-0000-0000-0000FA030000}"/>
    <cellStyle name="Percent 5 3" xfId="271" xr:uid="{00000000-0005-0000-0000-0000FB030000}"/>
    <cellStyle name="Percent 6" xfId="2029" xr:uid="{00000000-0005-0000-0000-0000FC030000}"/>
    <cellStyle name="SN_241" xfId="6" xr:uid="{00000000-0005-0000-0000-0000FD030000}"/>
    <cellStyle name="SN_b" xfId="2031" xr:uid="{00000000-0005-0000-0000-0000FE030000}"/>
    <cellStyle name="Style 1" xfId="154" xr:uid="{00000000-0005-0000-0000-0000FF030000}"/>
    <cellStyle name="Style 1 2" xfId="155" xr:uid="{00000000-0005-0000-0000-000000040000}"/>
    <cellStyle name="Style 1 2 2" xfId="183" xr:uid="{00000000-0005-0000-0000-000001040000}"/>
    <cellStyle name="Style 1_verchnakan_ax21-25_2018" xfId="156" xr:uid="{00000000-0005-0000-0000-000002040000}"/>
    <cellStyle name="Title 2" xfId="52" xr:uid="{00000000-0005-0000-0000-000003040000}"/>
    <cellStyle name="Title 2 2" xfId="157" xr:uid="{00000000-0005-0000-0000-000004040000}"/>
    <cellStyle name="Title 3" xfId="84" xr:uid="{00000000-0005-0000-0000-000005040000}"/>
    <cellStyle name="Total" xfId="27" builtinId="25" customBuiltin="1"/>
    <cellStyle name="Total 2" xfId="89" xr:uid="{00000000-0005-0000-0000-000007040000}"/>
    <cellStyle name="Total 2 2" xfId="158" xr:uid="{00000000-0005-0000-0000-000008040000}"/>
    <cellStyle name="Total 2 2 10" xfId="1061" xr:uid="{00000000-0005-0000-0000-000009040000}"/>
    <cellStyle name="Total 2 2 11" xfId="1062" xr:uid="{00000000-0005-0000-0000-00000A040000}"/>
    <cellStyle name="Total 2 2 12" xfId="1063" xr:uid="{00000000-0005-0000-0000-00000B040000}"/>
    <cellStyle name="Total 2 2 13" xfId="1064" xr:uid="{00000000-0005-0000-0000-00000C040000}"/>
    <cellStyle name="Total 2 2 14" xfId="1065" xr:uid="{00000000-0005-0000-0000-00000D040000}"/>
    <cellStyle name="Total 2 2 15" xfId="1066" xr:uid="{00000000-0005-0000-0000-00000E040000}"/>
    <cellStyle name="Total 2 2 16" xfId="1067" xr:uid="{00000000-0005-0000-0000-00000F040000}"/>
    <cellStyle name="Total 2 2 17" xfId="1068" xr:uid="{00000000-0005-0000-0000-000010040000}"/>
    <cellStyle name="Total 2 2 18" xfId="1069" xr:uid="{00000000-0005-0000-0000-000011040000}"/>
    <cellStyle name="Total 2 2 19" xfId="1070" xr:uid="{00000000-0005-0000-0000-000012040000}"/>
    <cellStyle name="Total 2 2 2" xfId="1071" xr:uid="{00000000-0005-0000-0000-000013040000}"/>
    <cellStyle name="Total 2 2 20" xfId="1072" xr:uid="{00000000-0005-0000-0000-000014040000}"/>
    <cellStyle name="Total 2 2 21" xfId="1073" xr:uid="{00000000-0005-0000-0000-000015040000}"/>
    <cellStyle name="Total 2 2 22" xfId="1074" xr:uid="{00000000-0005-0000-0000-000016040000}"/>
    <cellStyle name="Total 2 2 23" xfId="1075" xr:uid="{00000000-0005-0000-0000-000017040000}"/>
    <cellStyle name="Total 2 2 24" xfId="1076" xr:uid="{00000000-0005-0000-0000-000018040000}"/>
    <cellStyle name="Total 2 2 25" xfId="1077" xr:uid="{00000000-0005-0000-0000-000019040000}"/>
    <cellStyle name="Total 2 2 26" xfId="1078" xr:uid="{00000000-0005-0000-0000-00001A040000}"/>
    <cellStyle name="Total 2 2 27" xfId="1079" xr:uid="{00000000-0005-0000-0000-00001B040000}"/>
    <cellStyle name="Total 2 2 28" xfId="1080" xr:uid="{00000000-0005-0000-0000-00001C040000}"/>
    <cellStyle name="Total 2 2 29" xfId="1081" xr:uid="{00000000-0005-0000-0000-00001D040000}"/>
    <cellStyle name="Total 2 2 3" xfId="1082" xr:uid="{00000000-0005-0000-0000-00001E040000}"/>
    <cellStyle name="Total 2 2 30" xfId="1083" xr:uid="{00000000-0005-0000-0000-00001F040000}"/>
    <cellStyle name="Total 2 2 31" xfId="1084" xr:uid="{00000000-0005-0000-0000-000020040000}"/>
    <cellStyle name="Total 2 2 32" xfId="1085" xr:uid="{00000000-0005-0000-0000-000021040000}"/>
    <cellStyle name="Total 2 2 33" xfId="1086" xr:uid="{00000000-0005-0000-0000-000022040000}"/>
    <cellStyle name="Total 2 2 34" xfId="1087" xr:uid="{00000000-0005-0000-0000-000023040000}"/>
    <cellStyle name="Total 2 2 4" xfId="1088" xr:uid="{00000000-0005-0000-0000-000024040000}"/>
    <cellStyle name="Total 2 2 5" xfId="1089" xr:uid="{00000000-0005-0000-0000-000025040000}"/>
    <cellStyle name="Total 2 2 6" xfId="1090" xr:uid="{00000000-0005-0000-0000-000026040000}"/>
    <cellStyle name="Total 2 2 7" xfId="1091" xr:uid="{00000000-0005-0000-0000-000027040000}"/>
    <cellStyle name="Total 2 2 8" xfId="1092" xr:uid="{00000000-0005-0000-0000-000028040000}"/>
    <cellStyle name="Total 2 2 9" xfId="1093" xr:uid="{00000000-0005-0000-0000-000029040000}"/>
    <cellStyle name="Warning Text" xfId="24" builtinId="11" customBuiltin="1"/>
    <cellStyle name="Warning Text 2" xfId="68" xr:uid="{00000000-0005-0000-0000-00002B040000}"/>
    <cellStyle name="Warning Text 2 2" xfId="159" xr:uid="{00000000-0005-0000-0000-00002C040000}"/>
    <cellStyle name="Акцент1 10" xfId="1094" xr:uid="{00000000-0005-0000-0000-00002D040000}"/>
    <cellStyle name="Акцент1 11" xfId="1095" xr:uid="{00000000-0005-0000-0000-00002E040000}"/>
    <cellStyle name="Акцент1 12" xfId="1096" xr:uid="{00000000-0005-0000-0000-00002F040000}"/>
    <cellStyle name="Акцент1 13" xfId="1097" xr:uid="{00000000-0005-0000-0000-000030040000}"/>
    <cellStyle name="Акцент1 14" xfId="1098" xr:uid="{00000000-0005-0000-0000-000031040000}"/>
    <cellStyle name="Акцент1 15" xfId="1099" xr:uid="{00000000-0005-0000-0000-000032040000}"/>
    <cellStyle name="Акцент1 16" xfId="1100" xr:uid="{00000000-0005-0000-0000-000033040000}"/>
    <cellStyle name="Акцент1 17" xfId="1101" xr:uid="{00000000-0005-0000-0000-000034040000}"/>
    <cellStyle name="Акцент1 18" xfId="1102" xr:uid="{00000000-0005-0000-0000-000035040000}"/>
    <cellStyle name="Акцент1 19" xfId="1103" xr:uid="{00000000-0005-0000-0000-000036040000}"/>
    <cellStyle name="Акцент1 2" xfId="1104" xr:uid="{00000000-0005-0000-0000-000037040000}"/>
    <cellStyle name="Акцент1 20" xfId="1105" xr:uid="{00000000-0005-0000-0000-000038040000}"/>
    <cellStyle name="Акцент1 21" xfId="1106" xr:uid="{00000000-0005-0000-0000-000039040000}"/>
    <cellStyle name="Акцент1 22" xfId="1107" xr:uid="{00000000-0005-0000-0000-00003A040000}"/>
    <cellStyle name="Акцент1 23" xfId="1108" xr:uid="{00000000-0005-0000-0000-00003B040000}"/>
    <cellStyle name="Акцент1 24" xfId="1109" xr:uid="{00000000-0005-0000-0000-00003C040000}"/>
    <cellStyle name="Акцент1 25" xfId="1110" xr:uid="{00000000-0005-0000-0000-00003D040000}"/>
    <cellStyle name="Акцент1 26" xfId="1111" xr:uid="{00000000-0005-0000-0000-00003E040000}"/>
    <cellStyle name="Акцент1 27" xfId="1112" xr:uid="{00000000-0005-0000-0000-00003F040000}"/>
    <cellStyle name="Акцент1 28" xfId="1113" xr:uid="{00000000-0005-0000-0000-000040040000}"/>
    <cellStyle name="Акцент1 29" xfId="1114" xr:uid="{00000000-0005-0000-0000-000041040000}"/>
    <cellStyle name="Акцент1 3" xfId="1115" xr:uid="{00000000-0005-0000-0000-000042040000}"/>
    <cellStyle name="Акцент1 30" xfId="1116" xr:uid="{00000000-0005-0000-0000-000043040000}"/>
    <cellStyle name="Акцент1 31" xfId="1117" xr:uid="{00000000-0005-0000-0000-000044040000}"/>
    <cellStyle name="Акцент1 32" xfId="1118" xr:uid="{00000000-0005-0000-0000-000045040000}"/>
    <cellStyle name="Акцент1 33" xfId="1119" xr:uid="{00000000-0005-0000-0000-000046040000}"/>
    <cellStyle name="Акцент1 34" xfId="1120" xr:uid="{00000000-0005-0000-0000-000047040000}"/>
    <cellStyle name="Акцент1 35" xfId="1121" xr:uid="{00000000-0005-0000-0000-000048040000}"/>
    <cellStyle name="Акцент1 36" xfId="1122" xr:uid="{00000000-0005-0000-0000-000049040000}"/>
    <cellStyle name="Акцент1 4" xfId="1123" xr:uid="{00000000-0005-0000-0000-00004A040000}"/>
    <cellStyle name="Акцент1 5" xfId="1124" xr:uid="{00000000-0005-0000-0000-00004B040000}"/>
    <cellStyle name="Акцент1 6" xfId="1125" xr:uid="{00000000-0005-0000-0000-00004C040000}"/>
    <cellStyle name="Акцент1 7" xfId="1126" xr:uid="{00000000-0005-0000-0000-00004D040000}"/>
    <cellStyle name="Акцент1 8" xfId="1127" xr:uid="{00000000-0005-0000-0000-00004E040000}"/>
    <cellStyle name="Акцент1 9" xfId="1128" xr:uid="{00000000-0005-0000-0000-00004F040000}"/>
    <cellStyle name="Акцент2 10" xfId="1129" xr:uid="{00000000-0005-0000-0000-000050040000}"/>
    <cellStyle name="Акцент2 11" xfId="1130" xr:uid="{00000000-0005-0000-0000-000051040000}"/>
    <cellStyle name="Акцент2 12" xfId="1131" xr:uid="{00000000-0005-0000-0000-000052040000}"/>
    <cellStyle name="Акцент2 13" xfId="1132" xr:uid="{00000000-0005-0000-0000-000053040000}"/>
    <cellStyle name="Акцент2 14" xfId="1133" xr:uid="{00000000-0005-0000-0000-000054040000}"/>
    <cellStyle name="Акцент2 15" xfId="1134" xr:uid="{00000000-0005-0000-0000-000055040000}"/>
    <cellStyle name="Акцент2 16" xfId="1135" xr:uid="{00000000-0005-0000-0000-000056040000}"/>
    <cellStyle name="Акцент2 17" xfId="1136" xr:uid="{00000000-0005-0000-0000-000057040000}"/>
    <cellStyle name="Акцент2 18" xfId="1137" xr:uid="{00000000-0005-0000-0000-000058040000}"/>
    <cellStyle name="Акцент2 19" xfId="1138" xr:uid="{00000000-0005-0000-0000-000059040000}"/>
    <cellStyle name="Акцент2 2" xfId="1139" xr:uid="{00000000-0005-0000-0000-00005A040000}"/>
    <cellStyle name="Акцент2 20" xfId="1140" xr:uid="{00000000-0005-0000-0000-00005B040000}"/>
    <cellStyle name="Акцент2 21" xfId="1141" xr:uid="{00000000-0005-0000-0000-00005C040000}"/>
    <cellStyle name="Акцент2 22" xfId="1142" xr:uid="{00000000-0005-0000-0000-00005D040000}"/>
    <cellStyle name="Акцент2 23" xfId="1143" xr:uid="{00000000-0005-0000-0000-00005E040000}"/>
    <cellStyle name="Акцент2 24" xfId="1144" xr:uid="{00000000-0005-0000-0000-00005F040000}"/>
    <cellStyle name="Акцент2 25" xfId="1145" xr:uid="{00000000-0005-0000-0000-000060040000}"/>
    <cellStyle name="Акцент2 26" xfId="1146" xr:uid="{00000000-0005-0000-0000-000061040000}"/>
    <cellStyle name="Акцент2 27" xfId="1147" xr:uid="{00000000-0005-0000-0000-000062040000}"/>
    <cellStyle name="Акцент2 28" xfId="1148" xr:uid="{00000000-0005-0000-0000-000063040000}"/>
    <cellStyle name="Акцент2 29" xfId="1149" xr:uid="{00000000-0005-0000-0000-000064040000}"/>
    <cellStyle name="Акцент2 3" xfId="1150" xr:uid="{00000000-0005-0000-0000-000065040000}"/>
    <cellStyle name="Акцент2 30" xfId="1151" xr:uid="{00000000-0005-0000-0000-000066040000}"/>
    <cellStyle name="Акцент2 31" xfId="1152" xr:uid="{00000000-0005-0000-0000-000067040000}"/>
    <cellStyle name="Акцент2 32" xfId="1153" xr:uid="{00000000-0005-0000-0000-000068040000}"/>
    <cellStyle name="Акцент2 33" xfId="1154" xr:uid="{00000000-0005-0000-0000-000069040000}"/>
    <cellStyle name="Акцент2 34" xfId="1155" xr:uid="{00000000-0005-0000-0000-00006A040000}"/>
    <cellStyle name="Акцент2 35" xfId="1156" xr:uid="{00000000-0005-0000-0000-00006B040000}"/>
    <cellStyle name="Акцент2 36" xfId="1157" xr:uid="{00000000-0005-0000-0000-00006C040000}"/>
    <cellStyle name="Акцент2 4" xfId="1158" xr:uid="{00000000-0005-0000-0000-00006D040000}"/>
    <cellStyle name="Акцент2 5" xfId="1159" xr:uid="{00000000-0005-0000-0000-00006E040000}"/>
    <cellStyle name="Акцент2 6" xfId="1160" xr:uid="{00000000-0005-0000-0000-00006F040000}"/>
    <cellStyle name="Акцент2 7" xfId="1161" xr:uid="{00000000-0005-0000-0000-000070040000}"/>
    <cellStyle name="Акцент2 8" xfId="1162" xr:uid="{00000000-0005-0000-0000-000071040000}"/>
    <cellStyle name="Акцент2 9" xfId="1163" xr:uid="{00000000-0005-0000-0000-000072040000}"/>
    <cellStyle name="Акцент3 10" xfId="1164" xr:uid="{00000000-0005-0000-0000-000073040000}"/>
    <cellStyle name="Акцент3 11" xfId="1165" xr:uid="{00000000-0005-0000-0000-000074040000}"/>
    <cellStyle name="Акцент3 12" xfId="1166" xr:uid="{00000000-0005-0000-0000-000075040000}"/>
    <cellStyle name="Акцент3 13" xfId="1167" xr:uid="{00000000-0005-0000-0000-000076040000}"/>
    <cellStyle name="Акцент3 14" xfId="1168" xr:uid="{00000000-0005-0000-0000-000077040000}"/>
    <cellStyle name="Акцент3 15" xfId="1169" xr:uid="{00000000-0005-0000-0000-000078040000}"/>
    <cellStyle name="Акцент3 16" xfId="1170" xr:uid="{00000000-0005-0000-0000-000079040000}"/>
    <cellStyle name="Акцент3 17" xfId="1171" xr:uid="{00000000-0005-0000-0000-00007A040000}"/>
    <cellStyle name="Акцент3 18" xfId="1172" xr:uid="{00000000-0005-0000-0000-00007B040000}"/>
    <cellStyle name="Акцент3 19" xfId="1173" xr:uid="{00000000-0005-0000-0000-00007C040000}"/>
    <cellStyle name="Акцент3 2" xfId="1174" xr:uid="{00000000-0005-0000-0000-00007D040000}"/>
    <cellStyle name="Акцент3 20" xfId="1175" xr:uid="{00000000-0005-0000-0000-00007E040000}"/>
    <cellStyle name="Акцент3 21" xfId="1176" xr:uid="{00000000-0005-0000-0000-00007F040000}"/>
    <cellStyle name="Акцент3 22" xfId="1177" xr:uid="{00000000-0005-0000-0000-000080040000}"/>
    <cellStyle name="Акцент3 23" xfId="1178" xr:uid="{00000000-0005-0000-0000-000081040000}"/>
    <cellStyle name="Акцент3 24" xfId="1179" xr:uid="{00000000-0005-0000-0000-000082040000}"/>
    <cellStyle name="Акцент3 25" xfId="1180" xr:uid="{00000000-0005-0000-0000-000083040000}"/>
    <cellStyle name="Акцент3 26" xfId="1181" xr:uid="{00000000-0005-0000-0000-000084040000}"/>
    <cellStyle name="Акцент3 27" xfId="1182" xr:uid="{00000000-0005-0000-0000-000085040000}"/>
    <cellStyle name="Акцент3 28" xfId="1183" xr:uid="{00000000-0005-0000-0000-000086040000}"/>
    <cellStyle name="Акцент3 29" xfId="1184" xr:uid="{00000000-0005-0000-0000-000087040000}"/>
    <cellStyle name="Акцент3 3" xfId="1185" xr:uid="{00000000-0005-0000-0000-000088040000}"/>
    <cellStyle name="Акцент3 30" xfId="1186" xr:uid="{00000000-0005-0000-0000-000089040000}"/>
    <cellStyle name="Акцент3 31" xfId="1187" xr:uid="{00000000-0005-0000-0000-00008A040000}"/>
    <cellStyle name="Акцент3 32" xfId="1188" xr:uid="{00000000-0005-0000-0000-00008B040000}"/>
    <cellStyle name="Акцент3 33" xfId="1189" xr:uid="{00000000-0005-0000-0000-00008C040000}"/>
    <cellStyle name="Акцент3 34" xfId="1190" xr:uid="{00000000-0005-0000-0000-00008D040000}"/>
    <cellStyle name="Акцент3 35" xfId="1191" xr:uid="{00000000-0005-0000-0000-00008E040000}"/>
    <cellStyle name="Акцент3 36" xfId="1192" xr:uid="{00000000-0005-0000-0000-00008F040000}"/>
    <cellStyle name="Акцент3 4" xfId="1193" xr:uid="{00000000-0005-0000-0000-000090040000}"/>
    <cellStyle name="Акцент3 5" xfId="1194" xr:uid="{00000000-0005-0000-0000-000091040000}"/>
    <cellStyle name="Акцент3 6" xfId="1195" xr:uid="{00000000-0005-0000-0000-000092040000}"/>
    <cellStyle name="Акцент3 7" xfId="1196" xr:uid="{00000000-0005-0000-0000-000093040000}"/>
    <cellStyle name="Акцент3 8" xfId="1197" xr:uid="{00000000-0005-0000-0000-000094040000}"/>
    <cellStyle name="Акцент3 9" xfId="1198" xr:uid="{00000000-0005-0000-0000-000095040000}"/>
    <cellStyle name="Акцент4 10" xfId="1199" xr:uid="{00000000-0005-0000-0000-000096040000}"/>
    <cellStyle name="Акцент4 11" xfId="1200" xr:uid="{00000000-0005-0000-0000-000097040000}"/>
    <cellStyle name="Акцент4 12" xfId="1201" xr:uid="{00000000-0005-0000-0000-000098040000}"/>
    <cellStyle name="Акцент4 13" xfId="1202" xr:uid="{00000000-0005-0000-0000-000099040000}"/>
    <cellStyle name="Акцент4 14" xfId="1203" xr:uid="{00000000-0005-0000-0000-00009A040000}"/>
    <cellStyle name="Акцент4 15" xfId="1204" xr:uid="{00000000-0005-0000-0000-00009B040000}"/>
    <cellStyle name="Акцент4 16" xfId="1205" xr:uid="{00000000-0005-0000-0000-00009C040000}"/>
    <cellStyle name="Акцент4 17" xfId="1206" xr:uid="{00000000-0005-0000-0000-00009D040000}"/>
    <cellStyle name="Акцент4 18" xfId="1207" xr:uid="{00000000-0005-0000-0000-00009E040000}"/>
    <cellStyle name="Акцент4 19" xfId="1208" xr:uid="{00000000-0005-0000-0000-00009F040000}"/>
    <cellStyle name="Акцент4 2" xfId="1209" xr:uid="{00000000-0005-0000-0000-0000A0040000}"/>
    <cellStyle name="Акцент4 20" xfId="1210" xr:uid="{00000000-0005-0000-0000-0000A1040000}"/>
    <cellStyle name="Акцент4 21" xfId="1211" xr:uid="{00000000-0005-0000-0000-0000A2040000}"/>
    <cellStyle name="Акцент4 22" xfId="1212" xr:uid="{00000000-0005-0000-0000-0000A3040000}"/>
    <cellStyle name="Акцент4 23" xfId="1213" xr:uid="{00000000-0005-0000-0000-0000A4040000}"/>
    <cellStyle name="Акцент4 24" xfId="1214" xr:uid="{00000000-0005-0000-0000-0000A5040000}"/>
    <cellStyle name="Акцент4 25" xfId="1215" xr:uid="{00000000-0005-0000-0000-0000A6040000}"/>
    <cellStyle name="Акцент4 26" xfId="1216" xr:uid="{00000000-0005-0000-0000-0000A7040000}"/>
    <cellStyle name="Акцент4 27" xfId="1217" xr:uid="{00000000-0005-0000-0000-0000A8040000}"/>
    <cellStyle name="Акцент4 28" xfId="1218" xr:uid="{00000000-0005-0000-0000-0000A9040000}"/>
    <cellStyle name="Акцент4 29" xfId="1219" xr:uid="{00000000-0005-0000-0000-0000AA040000}"/>
    <cellStyle name="Акцент4 3" xfId="1220" xr:uid="{00000000-0005-0000-0000-0000AB040000}"/>
    <cellStyle name="Акцент4 30" xfId="1221" xr:uid="{00000000-0005-0000-0000-0000AC040000}"/>
    <cellStyle name="Акцент4 31" xfId="1222" xr:uid="{00000000-0005-0000-0000-0000AD040000}"/>
    <cellStyle name="Акцент4 32" xfId="1223" xr:uid="{00000000-0005-0000-0000-0000AE040000}"/>
    <cellStyle name="Акцент4 33" xfId="1224" xr:uid="{00000000-0005-0000-0000-0000AF040000}"/>
    <cellStyle name="Акцент4 34" xfId="1225" xr:uid="{00000000-0005-0000-0000-0000B0040000}"/>
    <cellStyle name="Акцент4 35" xfId="1226" xr:uid="{00000000-0005-0000-0000-0000B1040000}"/>
    <cellStyle name="Акцент4 36" xfId="1227" xr:uid="{00000000-0005-0000-0000-0000B2040000}"/>
    <cellStyle name="Акцент4 4" xfId="1228" xr:uid="{00000000-0005-0000-0000-0000B3040000}"/>
    <cellStyle name="Акцент4 5" xfId="1229" xr:uid="{00000000-0005-0000-0000-0000B4040000}"/>
    <cellStyle name="Акцент4 6" xfId="1230" xr:uid="{00000000-0005-0000-0000-0000B5040000}"/>
    <cellStyle name="Акцент4 7" xfId="1231" xr:uid="{00000000-0005-0000-0000-0000B6040000}"/>
    <cellStyle name="Акцент4 8" xfId="1232" xr:uid="{00000000-0005-0000-0000-0000B7040000}"/>
    <cellStyle name="Акцент4 9" xfId="1233" xr:uid="{00000000-0005-0000-0000-0000B8040000}"/>
    <cellStyle name="Акцент5 10" xfId="1234" xr:uid="{00000000-0005-0000-0000-0000B9040000}"/>
    <cellStyle name="Акцент5 11" xfId="1235" xr:uid="{00000000-0005-0000-0000-0000BA040000}"/>
    <cellStyle name="Акцент5 12" xfId="1236" xr:uid="{00000000-0005-0000-0000-0000BB040000}"/>
    <cellStyle name="Акцент5 13" xfId="1237" xr:uid="{00000000-0005-0000-0000-0000BC040000}"/>
    <cellStyle name="Акцент5 14" xfId="1238" xr:uid="{00000000-0005-0000-0000-0000BD040000}"/>
    <cellStyle name="Акцент5 15" xfId="1239" xr:uid="{00000000-0005-0000-0000-0000BE040000}"/>
    <cellStyle name="Акцент5 16" xfId="1240" xr:uid="{00000000-0005-0000-0000-0000BF040000}"/>
    <cellStyle name="Акцент5 17" xfId="1241" xr:uid="{00000000-0005-0000-0000-0000C0040000}"/>
    <cellStyle name="Акцент5 18" xfId="1242" xr:uid="{00000000-0005-0000-0000-0000C1040000}"/>
    <cellStyle name="Акцент5 19" xfId="1243" xr:uid="{00000000-0005-0000-0000-0000C2040000}"/>
    <cellStyle name="Акцент5 2" xfId="1244" xr:uid="{00000000-0005-0000-0000-0000C3040000}"/>
    <cellStyle name="Акцент5 20" xfId="1245" xr:uid="{00000000-0005-0000-0000-0000C4040000}"/>
    <cellStyle name="Акцент5 21" xfId="1246" xr:uid="{00000000-0005-0000-0000-0000C5040000}"/>
    <cellStyle name="Акцент5 22" xfId="1247" xr:uid="{00000000-0005-0000-0000-0000C6040000}"/>
    <cellStyle name="Акцент5 23" xfId="1248" xr:uid="{00000000-0005-0000-0000-0000C7040000}"/>
    <cellStyle name="Акцент5 24" xfId="1249" xr:uid="{00000000-0005-0000-0000-0000C8040000}"/>
    <cellStyle name="Акцент5 25" xfId="1250" xr:uid="{00000000-0005-0000-0000-0000C9040000}"/>
    <cellStyle name="Акцент5 26" xfId="1251" xr:uid="{00000000-0005-0000-0000-0000CA040000}"/>
    <cellStyle name="Акцент5 27" xfId="1252" xr:uid="{00000000-0005-0000-0000-0000CB040000}"/>
    <cellStyle name="Акцент5 28" xfId="1253" xr:uid="{00000000-0005-0000-0000-0000CC040000}"/>
    <cellStyle name="Акцент5 29" xfId="1254" xr:uid="{00000000-0005-0000-0000-0000CD040000}"/>
    <cellStyle name="Акцент5 3" xfId="1255" xr:uid="{00000000-0005-0000-0000-0000CE040000}"/>
    <cellStyle name="Акцент5 30" xfId="1256" xr:uid="{00000000-0005-0000-0000-0000CF040000}"/>
    <cellStyle name="Акцент5 31" xfId="1257" xr:uid="{00000000-0005-0000-0000-0000D0040000}"/>
    <cellStyle name="Акцент5 32" xfId="1258" xr:uid="{00000000-0005-0000-0000-0000D1040000}"/>
    <cellStyle name="Акцент5 33" xfId="1259" xr:uid="{00000000-0005-0000-0000-0000D2040000}"/>
    <cellStyle name="Акцент5 34" xfId="1260" xr:uid="{00000000-0005-0000-0000-0000D3040000}"/>
    <cellStyle name="Акцент5 35" xfId="1261" xr:uid="{00000000-0005-0000-0000-0000D4040000}"/>
    <cellStyle name="Акцент5 36" xfId="1262" xr:uid="{00000000-0005-0000-0000-0000D5040000}"/>
    <cellStyle name="Акцент5 4" xfId="1263" xr:uid="{00000000-0005-0000-0000-0000D6040000}"/>
    <cellStyle name="Акцент5 5" xfId="1264" xr:uid="{00000000-0005-0000-0000-0000D7040000}"/>
    <cellStyle name="Акцент5 6" xfId="1265" xr:uid="{00000000-0005-0000-0000-0000D8040000}"/>
    <cellStyle name="Акцент5 7" xfId="1266" xr:uid="{00000000-0005-0000-0000-0000D9040000}"/>
    <cellStyle name="Акцент5 8" xfId="1267" xr:uid="{00000000-0005-0000-0000-0000DA040000}"/>
    <cellStyle name="Акцент5 9" xfId="1268" xr:uid="{00000000-0005-0000-0000-0000DB040000}"/>
    <cellStyle name="Акцент6 10" xfId="1269" xr:uid="{00000000-0005-0000-0000-0000DC040000}"/>
    <cellStyle name="Акцент6 11" xfId="1270" xr:uid="{00000000-0005-0000-0000-0000DD040000}"/>
    <cellStyle name="Акцент6 12" xfId="1271" xr:uid="{00000000-0005-0000-0000-0000DE040000}"/>
    <cellStyle name="Акцент6 13" xfId="1272" xr:uid="{00000000-0005-0000-0000-0000DF040000}"/>
    <cellStyle name="Акцент6 14" xfId="1273" xr:uid="{00000000-0005-0000-0000-0000E0040000}"/>
    <cellStyle name="Акцент6 15" xfId="1274" xr:uid="{00000000-0005-0000-0000-0000E1040000}"/>
    <cellStyle name="Акцент6 16" xfId="1275" xr:uid="{00000000-0005-0000-0000-0000E2040000}"/>
    <cellStyle name="Акцент6 17" xfId="1276" xr:uid="{00000000-0005-0000-0000-0000E3040000}"/>
    <cellStyle name="Акцент6 18" xfId="1277" xr:uid="{00000000-0005-0000-0000-0000E4040000}"/>
    <cellStyle name="Акцент6 19" xfId="1278" xr:uid="{00000000-0005-0000-0000-0000E5040000}"/>
    <cellStyle name="Акцент6 2" xfId="1279" xr:uid="{00000000-0005-0000-0000-0000E6040000}"/>
    <cellStyle name="Акцент6 20" xfId="1280" xr:uid="{00000000-0005-0000-0000-0000E7040000}"/>
    <cellStyle name="Акцент6 21" xfId="1281" xr:uid="{00000000-0005-0000-0000-0000E8040000}"/>
    <cellStyle name="Акцент6 22" xfId="1282" xr:uid="{00000000-0005-0000-0000-0000E9040000}"/>
    <cellStyle name="Акцент6 23" xfId="1283" xr:uid="{00000000-0005-0000-0000-0000EA040000}"/>
    <cellStyle name="Акцент6 24" xfId="1284" xr:uid="{00000000-0005-0000-0000-0000EB040000}"/>
    <cellStyle name="Акцент6 25" xfId="1285" xr:uid="{00000000-0005-0000-0000-0000EC040000}"/>
    <cellStyle name="Акцент6 26" xfId="1286" xr:uid="{00000000-0005-0000-0000-0000ED040000}"/>
    <cellStyle name="Акцент6 27" xfId="1287" xr:uid="{00000000-0005-0000-0000-0000EE040000}"/>
    <cellStyle name="Акцент6 28" xfId="1288" xr:uid="{00000000-0005-0000-0000-0000EF040000}"/>
    <cellStyle name="Акцент6 29" xfId="1289" xr:uid="{00000000-0005-0000-0000-0000F0040000}"/>
    <cellStyle name="Акцент6 3" xfId="1290" xr:uid="{00000000-0005-0000-0000-0000F1040000}"/>
    <cellStyle name="Акцент6 30" xfId="1291" xr:uid="{00000000-0005-0000-0000-0000F2040000}"/>
    <cellStyle name="Акцент6 31" xfId="1292" xr:uid="{00000000-0005-0000-0000-0000F3040000}"/>
    <cellStyle name="Акцент6 32" xfId="1293" xr:uid="{00000000-0005-0000-0000-0000F4040000}"/>
    <cellStyle name="Акцент6 33" xfId="1294" xr:uid="{00000000-0005-0000-0000-0000F5040000}"/>
    <cellStyle name="Акцент6 34" xfId="1295" xr:uid="{00000000-0005-0000-0000-0000F6040000}"/>
    <cellStyle name="Акцент6 35" xfId="1296" xr:uid="{00000000-0005-0000-0000-0000F7040000}"/>
    <cellStyle name="Акцент6 36" xfId="1297" xr:uid="{00000000-0005-0000-0000-0000F8040000}"/>
    <cellStyle name="Акцент6 4" xfId="1298" xr:uid="{00000000-0005-0000-0000-0000F9040000}"/>
    <cellStyle name="Акцент6 5" xfId="1299" xr:uid="{00000000-0005-0000-0000-0000FA040000}"/>
    <cellStyle name="Акцент6 6" xfId="1300" xr:uid="{00000000-0005-0000-0000-0000FB040000}"/>
    <cellStyle name="Акцент6 7" xfId="1301" xr:uid="{00000000-0005-0000-0000-0000FC040000}"/>
    <cellStyle name="Акцент6 8" xfId="1302" xr:uid="{00000000-0005-0000-0000-0000FD040000}"/>
    <cellStyle name="Акцент6 9" xfId="1303" xr:uid="{00000000-0005-0000-0000-0000FE040000}"/>
    <cellStyle name="Беззащитный" xfId="272" xr:uid="{00000000-0005-0000-0000-0000FF040000}"/>
    <cellStyle name="Ввод  10" xfId="1304" xr:uid="{00000000-0005-0000-0000-000000050000}"/>
    <cellStyle name="Ввод  11" xfId="1305" xr:uid="{00000000-0005-0000-0000-000001050000}"/>
    <cellStyle name="Ввод  12" xfId="1306" xr:uid="{00000000-0005-0000-0000-000002050000}"/>
    <cellStyle name="Ввод  13" xfId="1307" xr:uid="{00000000-0005-0000-0000-000003050000}"/>
    <cellStyle name="Ввод  14" xfId="1308" xr:uid="{00000000-0005-0000-0000-000004050000}"/>
    <cellStyle name="Ввод  15" xfId="1309" xr:uid="{00000000-0005-0000-0000-000005050000}"/>
    <cellStyle name="Ввод  16" xfId="1310" xr:uid="{00000000-0005-0000-0000-000006050000}"/>
    <cellStyle name="Ввод  17" xfId="1311" xr:uid="{00000000-0005-0000-0000-000007050000}"/>
    <cellStyle name="Ввод  18" xfId="1312" xr:uid="{00000000-0005-0000-0000-000008050000}"/>
    <cellStyle name="Ввод  19" xfId="1313" xr:uid="{00000000-0005-0000-0000-000009050000}"/>
    <cellStyle name="Ввод  2" xfId="1314" xr:uid="{00000000-0005-0000-0000-00000A050000}"/>
    <cellStyle name="Ввод  20" xfId="1315" xr:uid="{00000000-0005-0000-0000-00000B050000}"/>
    <cellStyle name="Ввод  21" xfId="1316" xr:uid="{00000000-0005-0000-0000-00000C050000}"/>
    <cellStyle name="Ввод  22" xfId="1317" xr:uid="{00000000-0005-0000-0000-00000D050000}"/>
    <cellStyle name="Ввод  23" xfId="1318" xr:uid="{00000000-0005-0000-0000-00000E050000}"/>
    <cellStyle name="Ввод  24" xfId="1319" xr:uid="{00000000-0005-0000-0000-00000F050000}"/>
    <cellStyle name="Ввод  25" xfId="1320" xr:uid="{00000000-0005-0000-0000-000010050000}"/>
    <cellStyle name="Ввод  26" xfId="1321" xr:uid="{00000000-0005-0000-0000-000011050000}"/>
    <cellStyle name="Ввод  27" xfId="1322" xr:uid="{00000000-0005-0000-0000-000012050000}"/>
    <cellStyle name="Ввод  28" xfId="1323" xr:uid="{00000000-0005-0000-0000-000013050000}"/>
    <cellStyle name="Ввод  29" xfId="1324" xr:uid="{00000000-0005-0000-0000-000014050000}"/>
    <cellStyle name="Ввод  3" xfId="1325" xr:uid="{00000000-0005-0000-0000-000015050000}"/>
    <cellStyle name="Ввод  30" xfId="1326" xr:uid="{00000000-0005-0000-0000-000016050000}"/>
    <cellStyle name="Ввод  31" xfId="1327" xr:uid="{00000000-0005-0000-0000-000017050000}"/>
    <cellStyle name="Ввод  32" xfId="1328" xr:uid="{00000000-0005-0000-0000-000018050000}"/>
    <cellStyle name="Ввод  33" xfId="1329" xr:uid="{00000000-0005-0000-0000-000019050000}"/>
    <cellStyle name="Ввод  34" xfId="1330" xr:uid="{00000000-0005-0000-0000-00001A050000}"/>
    <cellStyle name="Ввод  35" xfId="1331" xr:uid="{00000000-0005-0000-0000-00001B050000}"/>
    <cellStyle name="Ввод  36" xfId="1332" xr:uid="{00000000-0005-0000-0000-00001C050000}"/>
    <cellStyle name="Ввод  4" xfId="1333" xr:uid="{00000000-0005-0000-0000-00001D050000}"/>
    <cellStyle name="Ввод  5" xfId="1334" xr:uid="{00000000-0005-0000-0000-00001E050000}"/>
    <cellStyle name="Ввод  6" xfId="1335" xr:uid="{00000000-0005-0000-0000-00001F050000}"/>
    <cellStyle name="Ввод  7" xfId="1336" xr:uid="{00000000-0005-0000-0000-000020050000}"/>
    <cellStyle name="Ввод  8" xfId="1337" xr:uid="{00000000-0005-0000-0000-000021050000}"/>
    <cellStyle name="Ввод  9" xfId="1338" xr:uid="{00000000-0005-0000-0000-000022050000}"/>
    <cellStyle name="Вывод 10" xfId="1339" xr:uid="{00000000-0005-0000-0000-000023050000}"/>
    <cellStyle name="Вывод 11" xfId="1340" xr:uid="{00000000-0005-0000-0000-000024050000}"/>
    <cellStyle name="Вывод 12" xfId="1341" xr:uid="{00000000-0005-0000-0000-000025050000}"/>
    <cellStyle name="Вывод 13" xfId="1342" xr:uid="{00000000-0005-0000-0000-000026050000}"/>
    <cellStyle name="Вывод 14" xfId="1343" xr:uid="{00000000-0005-0000-0000-000027050000}"/>
    <cellStyle name="Вывод 15" xfId="1344" xr:uid="{00000000-0005-0000-0000-000028050000}"/>
    <cellStyle name="Вывод 16" xfId="1345" xr:uid="{00000000-0005-0000-0000-000029050000}"/>
    <cellStyle name="Вывод 17" xfId="1346" xr:uid="{00000000-0005-0000-0000-00002A050000}"/>
    <cellStyle name="Вывод 18" xfId="1347" xr:uid="{00000000-0005-0000-0000-00002B050000}"/>
    <cellStyle name="Вывод 19" xfId="1348" xr:uid="{00000000-0005-0000-0000-00002C050000}"/>
    <cellStyle name="Вывод 2" xfId="1349" xr:uid="{00000000-0005-0000-0000-00002D050000}"/>
    <cellStyle name="Вывод 20" xfId="1350" xr:uid="{00000000-0005-0000-0000-00002E050000}"/>
    <cellStyle name="Вывод 21" xfId="1351" xr:uid="{00000000-0005-0000-0000-00002F050000}"/>
    <cellStyle name="Вывод 22" xfId="1352" xr:uid="{00000000-0005-0000-0000-000030050000}"/>
    <cellStyle name="Вывод 23" xfId="1353" xr:uid="{00000000-0005-0000-0000-000031050000}"/>
    <cellStyle name="Вывод 24" xfId="1354" xr:uid="{00000000-0005-0000-0000-000032050000}"/>
    <cellStyle name="Вывод 25" xfId="1355" xr:uid="{00000000-0005-0000-0000-000033050000}"/>
    <cellStyle name="Вывод 26" xfId="1356" xr:uid="{00000000-0005-0000-0000-000034050000}"/>
    <cellStyle name="Вывод 27" xfId="1357" xr:uid="{00000000-0005-0000-0000-000035050000}"/>
    <cellStyle name="Вывод 28" xfId="1358" xr:uid="{00000000-0005-0000-0000-000036050000}"/>
    <cellStyle name="Вывод 29" xfId="1359" xr:uid="{00000000-0005-0000-0000-000037050000}"/>
    <cellStyle name="Вывод 3" xfId="1360" xr:uid="{00000000-0005-0000-0000-000038050000}"/>
    <cellStyle name="Вывод 30" xfId="1361" xr:uid="{00000000-0005-0000-0000-000039050000}"/>
    <cellStyle name="Вывод 31" xfId="1362" xr:uid="{00000000-0005-0000-0000-00003A050000}"/>
    <cellStyle name="Вывод 32" xfId="1363" xr:uid="{00000000-0005-0000-0000-00003B050000}"/>
    <cellStyle name="Вывод 33" xfId="1364" xr:uid="{00000000-0005-0000-0000-00003C050000}"/>
    <cellStyle name="Вывод 34" xfId="1365" xr:uid="{00000000-0005-0000-0000-00003D050000}"/>
    <cellStyle name="Вывод 35" xfId="1366" xr:uid="{00000000-0005-0000-0000-00003E050000}"/>
    <cellStyle name="Вывод 36" xfId="1367" xr:uid="{00000000-0005-0000-0000-00003F050000}"/>
    <cellStyle name="Вывод 4" xfId="1368" xr:uid="{00000000-0005-0000-0000-000040050000}"/>
    <cellStyle name="Вывод 5" xfId="1369" xr:uid="{00000000-0005-0000-0000-000041050000}"/>
    <cellStyle name="Вывод 6" xfId="1370" xr:uid="{00000000-0005-0000-0000-000042050000}"/>
    <cellStyle name="Вывод 7" xfId="1371" xr:uid="{00000000-0005-0000-0000-000043050000}"/>
    <cellStyle name="Вывод 8" xfId="1372" xr:uid="{00000000-0005-0000-0000-000044050000}"/>
    <cellStyle name="Вывод 9" xfId="1373" xr:uid="{00000000-0005-0000-0000-000045050000}"/>
    <cellStyle name="Вычисление 10" xfId="1374" xr:uid="{00000000-0005-0000-0000-000046050000}"/>
    <cellStyle name="Вычисление 11" xfId="1375" xr:uid="{00000000-0005-0000-0000-000047050000}"/>
    <cellStyle name="Вычисление 12" xfId="1376" xr:uid="{00000000-0005-0000-0000-000048050000}"/>
    <cellStyle name="Вычисление 13" xfId="1377" xr:uid="{00000000-0005-0000-0000-000049050000}"/>
    <cellStyle name="Вычисление 14" xfId="1378" xr:uid="{00000000-0005-0000-0000-00004A050000}"/>
    <cellStyle name="Вычисление 15" xfId="1379" xr:uid="{00000000-0005-0000-0000-00004B050000}"/>
    <cellStyle name="Вычисление 16" xfId="1380" xr:uid="{00000000-0005-0000-0000-00004C050000}"/>
    <cellStyle name="Вычисление 17" xfId="1381" xr:uid="{00000000-0005-0000-0000-00004D050000}"/>
    <cellStyle name="Вычисление 18" xfId="1382" xr:uid="{00000000-0005-0000-0000-00004E050000}"/>
    <cellStyle name="Вычисление 19" xfId="1383" xr:uid="{00000000-0005-0000-0000-00004F050000}"/>
    <cellStyle name="Вычисление 2" xfId="1384" xr:uid="{00000000-0005-0000-0000-000050050000}"/>
    <cellStyle name="Вычисление 20" xfId="1385" xr:uid="{00000000-0005-0000-0000-000051050000}"/>
    <cellStyle name="Вычисление 21" xfId="1386" xr:uid="{00000000-0005-0000-0000-000052050000}"/>
    <cellStyle name="Вычисление 22" xfId="1387" xr:uid="{00000000-0005-0000-0000-000053050000}"/>
    <cellStyle name="Вычисление 23" xfId="1388" xr:uid="{00000000-0005-0000-0000-000054050000}"/>
    <cellStyle name="Вычисление 24" xfId="1389" xr:uid="{00000000-0005-0000-0000-000055050000}"/>
    <cellStyle name="Вычисление 25" xfId="1390" xr:uid="{00000000-0005-0000-0000-000056050000}"/>
    <cellStyle name="Вычисление 26" xfId="1391" xr:uid="{00000000-0005-0000-0000-000057050000}"/>
    <cellStyle name="Вычисление 27" xfId="1392" xr:uid="{00000000-0005-0000-0000-000058050000}"/>
    <cellStyle name="Вычисление 28" xfId="1393" xr:uid="{00000000-0005-0000-0000-000059050000}"/>
    <cellStyle name="Вычисление 29" xfId="1394" xr:uid="{00000000-0005-0000-0000-00005A050000}"/>
    <cellStyle name="Вычисление 3" xfId="1395" xr:uid="{00000000-0005-0000-0000-00005B050000}"/>
    <cellStyle name="Вычисление 30" xfId="1396" xr:uid="{00000000-0005-0000-0000-00005C050000}"/>
    <cellStyle name="Вычисление 31" xfId="1397" xr:uid="{00000000-0005-0000-0000-00005D050000}"/>
    <cellStyle name="Вычисление 32" xfId="1398" xr:uid="{00000000-0005-0000-0000-00005E050000}"/>
    <cellStyle name="Вычисление 33" xfId="1399" xr:uid="{00000000-0005-0000-0000-00005F050000}"/>
    <cellStyle name="Вычисление 34" xfId="1400" xr:uid="{00000000-0005-0000-0000-000060050000}"/>
    <cellStyle name="Вычисление 35" xfId="1401" xr:uid="{00000000-0005-0000-0000-000061050000}"/>
    <cellStyle name="Вычисление 36" xfId="1402" xr:uid="{00000000-0005-0000-0000-000062050000}"/>
    <cellStyle name="Вычисление 4" xfId="1403" xr:uid="{00000000-0005-0000-0000-000063050000}"/>
    <cellStyle name="Вычисление 5" xfId="1404" xr:uid="{00000000-0005-0000-0000-000064050000}"/>
    <cellStyle name="Вычисление 6" xfId="1405" xr:uid="{00000000-0005-0000-0000-000065050000}"/>
    <cellStyle name="Вычисление 7" xfId="1406" xr:uid="{00000000-0005-0000-0000-000066050000}"/>
    <cellStyle name="Вычисление 8" xfId="1407" xr:uid="{00000000-0005-0000-0000-000067050000}"/>
    <cellStyle name="Вычисление 9" xfId="1408" xr:uid="{00000000-0005-0000-0000-000068050000}"/>
    <cellStyle name="Заголовок 1 10" xfId="1409" xr:uid="{00000000-0005-0000-0000-000069050000}"/>
    <cellStyle name="Заголовок 1 11" xfId="1410" xr:uid="{00000000-0005-0000-0000-00006A050000}"/>
    <cellStyle name="Заголовок 1 12" xfId="1411" xr:uid="{00000000-0005-0000-0000-00006B050000}"/>
    <cellStyle name="Заголовок 1 13" xfId="1412" xr:uid="{00000000-0005-0000-0000-00006C050000}"/>
    <cellStyle name="Заголовок 1 14" xfId="1413" xr:uid="{00000000-0005-0000-0000-00006D050000}"/>
    <cellStyle name="Заголовок 1 15" xfId="1414" xr:uid="{00000000-0005-0000-0000-00006E050000}"/>
    <cellStyle name="Заголовок 1 16" xfId="1415" xr:uid="{00000000-0005-0000-0000-00006F050000}"/>
    <cellStyle name="Заголовок 1 17" xfId="1416" xr:uid="{00000000-0005-0000-0000-000070050000}"/>
    <cellStyle name="Заголовок 1 18" xfId="1417" xr:uid="{00000000-0005-0000-0000-000071050000}"/>
    <cellStyle name="Заголовок 1 19" xfId="1418" xr:uid="{00000000-0005-0000-0000-000072050000}"/>
    <cellStyle name="Заголовок 1 2" xfId="1419" xr:uid="{00000000-0005-0000-0000-000073050000}"/>
    <cellStyle name="Заголовок 1 20" xfId="1420" xr:uid="{00000000-0005-0000-0000-000074050000}"/>
    <cellStyle name="Заголовок 1 21" xfId="1421" xr:uid="{00000000-0005-0000-0000-000075050000}"/>
    <cellStyle name="Заголовок 1 22" xfId="1422" xr:uid="{00000000-0005-0000-0000-000076050000}"/>
    <cellStyle name="Заголовок 1 23" xfId="1423" xr:uid="{00000000-0005-0000-0000-000077050000}"/>
    <cellStyle name="Заголовок 1 24" xfId="1424" xr:uid="{00000000-0005-0000-0000-000078050000}"/>
    <cellStyle name="Заголовок 1 25" xfId="1425" xr:uid="{00000000-0005-0000-0000-000079050000}"/>
    <cellStyle name="Заголовок 1 26" xfId="1426" xr:uid="{00000000-0005-0000-0000-00007A050000}"/>
    <cellStyle name="Заголовок 1 27" xfId="1427" xr:uid="{00000000-0005-0000-0000-00007B050000}"/>
    <cellStyle name="Заголовок 1 28" xfId="1428" xr:uid="{00000000-0005-0000-0000-00007C050000}"/>
    <cellStyle name="Заголовок 1 29" xfId="1429" xr:uid="{00000000-0005-0000-0000-00007D050000}"/>
    <cellStyle name="Заголовок 1 3" xfId="1430" xr:uid="{00000000-0005-0000-0000-00007E050000}"/>
    <cellStyle name="Заголовок 1 30" xfId="1431" xr:uid="{00000000-0005-0000-0000-00007F050000}"/>
    <cellStyle name="Заголовок 1 31" xfId="1432" xr:uid="{00000000-0005-0000-0000-000080050000}"/>
    <cellStyle name="Заголовок 1 32" xfId="1433" xr:uid="{00000000-0005-0000-0000-000081050000}"/>
    <cellStyle name="Заголовок 1 33" xfId="1434" xr:uid="{00000000-0005-0000-0000-000082050000}"/>
    <cellStyle name="Заголовок 1 34" xfId="1435" xr:uid="{00000000-0005-0000-0000-000083050000}"/>
    <cellStyle name="Заголовок 1 35" xfId="1436" xr:uid="{00000000-0005-0000-0000-000084050000}"/>
    <cellStyle name="Заголовок 1 36" xfId="1437" xr:uid="{00000000-0005-0000-0000-000085050000}"/>
    <cellStyle name="Заголовок 1 4" xfId="1438" xr:uid="{00000000-0005-0000-0000-000086050000}"/>
    <cellStyle name="Заголовок 1 5" xfId="1439" xr:uid="{00000000-0005-0000-0000-000087050000}"/>
    <cellStyle name="Заголовок 1 6" xfId="1440" xr:uid="{00000000-0005-0000-0000-000088050000}"/>
    <cellStyle name="Заголовок 1 7" xfId="1441" xr:uid="{00000000-0005-0000-0000-000089050000}"/>
    <cellStyle name="Заголовок 1 8" xfId="1442" xr:uid="{00000000-0005-0000-0000-00008A050000}"/>
    <cellStyle name="Заголовок 1 9" xfId="1443" xr:uid="{00000000-0005-0000-0000-00008B050000}"/>
    <cellStyle name="Заголовок 2 10" xfId="1444" xr:uid="{00000000-0005-0000-0000-00008C050000}"/>
    <cellStyle name="Заголовок 2 11" xfId="1445" xr:uid="{00000000-0005-0000-0000-00008D050000}"/>
    <cellStyle name="Заголовок 2 12" xfId="1446" xr:uid="{00000000-0005-0000-0000-00008E050000}"/>
    <cellStyle name="Заголовок 2 13" xfId="1447" xr:uid="{00000000-0005-0000-0000-00008F050000}"/>
    <cellStyle name="Заголовок 2 14" xfId="1448" xr:uid="{00000000-0005-0000-0000-000090050000}"/>
    <cellStyle name="Заголовок 2 15" xfId="1449" xr:uid="{00000000-0005-0000-0000-000091050000}"/>
    <cellStyle name="Заголовок 2 16" xfId="1450" xr:uid="{00000000-0005-0000-0000-000092050000}"/>
    <cellStyle name="Заголовок 2 17" xfId="1451" xr:uid="{00000000-0005-0000-0000-000093050000}"/>
    <cellStyle name="Заголовок 2 18" xfId="1452" xr:uid="{00000000-0005-0000-0000-000094050000}"/>
    <cellStyle name="Заголовок 2 19" xfId="1453" xr:uid="{00000000-0005-0000-0000-000095050000}"/>
    <cellStyle name="Заголовок 2 2" xfId="1454" xr:uid="{00000000-0005-0000-0000-000096050000}"/>
    <cellStyle name="Заголовок 2 20" xfId="1455" xr:uid="{00000000-0005-0000-0000-000097050000}"/>
    <cellStyle name="Заголовок 2 21" xfId="1456" xr:uid="{00000000-0005-0000-0000-000098050000}"/>
    <cellStyle name="Заголовок 2 22" xfId="1457" xr:uid="{00000000-0005-0000-0000-000099050000}"/>
    <cellStyle name="Заголовок 2 23" xfId="1458" xr:uid="{00000000-0005-0000-0000-00009A050000}"/>
    <cellStyle name="Заголовок 2 24" xfId="1459" xr:uid="{00000000-0005-0000-0000-00009B050000}"/>
    <cellStyle name="Заголовок 2 25" xfId="1460" xr:uid="{00000000-0005-0000-0000-00009C050000}"/>
    <cellStyle name="Заголовок 2 26" xfId="1461" xr:uid="{00000000-0005-0000-0000-00009D050000}"/>
    <cellStyle name="Заголовок 2 27" xfId="1462" xr:uid="{00000000-0005-0000-0000-00009E050000}"/>
    <cellStyle name="Заголовок 2 28" xfId="1463" xr:uid="{00000000-0005-0000-0000-00009F050000}"/>
    <cellStyle name="Заголовок 2 29" xfId="1464" xr:uid="{00000000-0005-0000-0000-0000A0050000}"/>
    <cellStyle name="Заголовок 2 3" xfId="1465" xr:uid="{00000000-0005-0000-0000-0000A1050000}"/>
    <cellStyle name="Заголовок 2 30" xfId="1466" xr:uid="{00000000-0005-0000-0000-0000A2050000}"/>
    <cellStyle name="Заголовок 2 31" xfId="1467" xr:uid="{00000000-0005-0000-0000-0000A3050000}"/>
    <cellStyle name="Заголовок 2 32" xfId="1468" xr:uid="{00000000-0005-0000-0000-0000A4050000}"/>
    <cellStyle name="Заголовок 2 33" xfId="1469" xr:uid="{00000000-0005-0000-0000-0000A5050000}"/>
    <cellStyle name="Заголовок 2 34" xfId="1470" xr:uid="{00000000-0005-0000-0000-0000A6050000}"/>
    <cellStyle name="Заголовок 2 35" xfId="1471" xr:uid="{00000000-0005-0000-0000-0000A7050000}"/>
    <cellStyle name="Заголовок 2 36" xfId="1472" xr:uid="{00000000-0005-0000-0000-0000A8050000}"/>
    <cellStyle name="Заголовок 2 4" xfId="1473" xr:uid="{00000000-0005-0000-0000-0000A9050000}"/>
    <cellStyle name="Заголовок 2 5" xfId="1474" xr:uid="{00000000-0005-0000-0000-0000AA050000}"/>
    <cellStyle name="Заголовок 2 6" xfId="1475" xr:uid="{00000000-0005-0000-0000-0000AB050000}"/>
    <cellStyle name="Заголовок 2 7" xfId="1476" xr:uid="{00000000-0005-0000-0000-0000AC050000}"/>
    <cellStyle name="Заголовок 2 8" xfId="1477" xr:uid="{00000000-0005-0000-0000-0000AD050000}"/>
    <cellStyle name="Заголовок 2 9" xfId="1478" xr:uid="{00000000-0005-0000-0000-0000AE050000}"/>
    <cellStyle name="Заголовок 3 10" xfId="1479" xr:uid="{00000000-0005-0000-0000-0000AF050000}"/>
    <cellStyle name="Заголовок 3 11" xfId="1480" xr:uid="{00000000-0005-0000-0000-0000B0050000}"/>
    <cellStyle name="Заголовок 3 12" xfId="1481" xr:uid="{00000000-0005-0000-0000-0000B1050000}"/>
    <cellStyle name="Заголовок 3 13" xfId="1482" xr:uid="{00000000-0005-0000-0000-0000B2050000}"/>
    <cellStyle name="Заголовок 3 14" xfId="1483" xr:uid="{00000000-0005-0000-0000-0000B3050000}"/>
    <cellStyle name="Заголовок 3 15" xfId="1484" xr:uid="{00000000-0005-0000-0000-0000B4050000}"/>
    <cellStyle name="Заголовок 3 16" xfId="1485" xr:uid="{00000000-0005-0000-0000-0000B5050000}"/>
    <cellStyle name="Заголовок 3 17" xfId="1486" xr:uid="{00000000-0005-0000-0000-0000B6050000}"/>
    <cellStyle name="Заголовок 3 18" xfId="1487" xr:uid="{00000000-0005-0000-0000-0000B7050000}"/>
    <cellStyle name="Заголовок 3 19" xfId="1488" xr:uid="{00000000-0005-0000-0000-0000B8050000}"/>
    <cellStyle name="Заголовок 3 2" xfId="1489" xr:uid="{00000000-0005-0000-0000-0000B9050000}"/>
    <cellStyle name="Заголовок 3 20" xfId="1490" xr:uid="{00000000-0005-0000-0000-0000BA050000}"/>
    <cellStyle name="Заголовок 3 21" xfId="1491" xr:uid="{00000000-0005-0000-0000-0000BB050000}"/>
    <cellStyle name="Заголовок 3 22" xfId="1492" xr:uid="{00000000-0005-0000-0000-0000BC050000}"/>
    <cellStyle name="Заголовок 3 23" xfId="1493" xr:uid="{00000000-0005-0000-0000-0000BD050000}"/>
    <cellStyle name="Заголовок 3 24" xfId="1494" xr:uid="{00000000-0005-0000-0000-0000BE050000}"/>
    <cellStyle name="Заголовок 3 25" xfId="1495" xr:uid="{00000000-0005-0000-0000-0000BF050000}"/>
    <cellStyle name="Заголовок 3 26" xfId="1496" xr:uid="{00000000-0005-0000-0000-0000C0050000}"/>
    <cellStyle name="Заголовок 3 27" xfId="1497" xr:uid="{00000000-0005-0000-0000-0000C1050000}"/>
    <cellStyle name="Заголовок 3 28" xfId="1498" xr:uid="{00000000-0005-0000-0000-0000C2050000}"/>
    <cellStyle name="Заголовок 3 29" xfId="1499" xr:uid="{00000000-0005-0000-0000-0000C3050000}"/>
    <cellStyle name="Заголовок 3 3" xfId="1500" xr:uid="{00000000-0005-0000-0000-0000C4050000}"/>
    <cellStyle name="Заголовок 3 30" xfId="1501" xr:uid="{00000000-0005-0000-0000-0000C5050000}"/>
    <cellStyle name="Заголовок 3 31" xfId="1502" xr:uid="{00000000-0005-0000-0000-0000C6050000}"/>
    <cellStyle name="Заголовок 3 32" xfId="1503" xr:uid="{00000000-0005-0000-0000-0000C7050000}"/>
    <cellStyle name="Заголовок 3 33" xfId="1504" xr:uid="{00000000-0005-0000-0000-0000C8050000}"/>
    <cellStyle name="Заголовок 3 34" xfId="1505" xr:uid="{00000000-0005-0000-0000-0000C9050000}"/>
    <cellStyle name="Заголовок 3 35" xfId="1506" xr:uid="{00000000-0005-0000-0000-0000CA050000}"/>
    <cellStyle name="Заголовок 3 36" xfId="1507" xr:uid="{00000000-0005-0000-0000-0000CB050000}"/>
    <cellStyle name="Заголовок 3 4" xfId="1508" xr:uid="{00000000-0005-0000-0000-0000CC050000}"/>
    <cellStyle name="Заголовок 3 5" xfId="1509" xr:uid="{00000000-0005-0000-0000-0000CD050000}"/>
    <cellStyle name="Заголовок 3 6" xfId="1510" xr:uid="{00000000-0005-0000-0000-0000CE050000}"/>
    <cellStyle name="Заголовок 3 7" xfId="1511" xr:uid="{00000000-0005-0000-0000-0000CF050000}"/>
    <cellStyle name="Заголовок 3 8" xfId="1512" xr:uid="{00000000-0005-0000-0000-0000D0050000}"/>
    <cellStyle name="Заголовок 3 9" xfId="1513" xr:uid="{00000000-0005-0000-0000-0000D1050000}"/>
    <cellStyle name="Заголовок 4 10" xfId="1514" xr:uid="{00000000-0005-0000-0000-0000D2050000}"/>
    <cellStyle name="Заголовок 4 11" xfId="1515" xr:uid="{00000000-0005-0000-0000-0000D3050000}"/>
    <cellStyle name="Заголовок 4 12" xfId="1516" xr:uid="{00000000-0005-0000-0000-0000D4050000}"/>
    <cellStyle name="Заголовок 4 13" xfId="1517" xr:uid="{00000000-0005-0000-0000-0000D5050000}"/>
    <cellStyle name="Заголовок 4 14" xfId="1518" xr:uid="{00000000-0005-0000-0000-0000D6050000}"/>
    <cellStyle name="Заголовок 4 15" xfId="1519" xr:uid="{00000000-0005-0000-0000-0000D7050000}"/>
    <cellStyle name="Заголовок 4 16" xfId="1520" xr:uid="{00000000-0005-0000-0000-0000D8050000}"/>
    <cellStyle name="Заголовок 4 17" xfId="1521" xr:uid="{00000000-0005-0000-0000-0000D9050000}"/>
    <cellStyle name="Заголовок 4 18" xfId="1522" xr:uid="{00000000-0005-0000-0000-0000DA050000}"/>
    <cellStyle name="Заголовок 4 19" xfId="1523" xr:uid="{00000000-0005-0000-0000-0000DB050000}"/>
    <cellStyle name="Заголовок 4 2" xfId="1524" xr:uid="{00000000-0005-0000-0000-0000DC050000}"/>
    <cellStyle name="Заголовок 4 20" xfId="1525" xr:uid="{00000000-0005-0000-0000-0000DD050000}"/>
    <cellStyle name="Заголовок 4 21" xfId="1526" xr:uid="{00000000-0005-0000-0000-0000DE050000}"/>
    <cellStyle name="Заголовок 4 22" xfId="1527" xr:uid="{00000000-0005-0000-0000-0000DF050000}"/>
    <cellStyle name="Заголовок 4 23" xfId="1528" xr:uid="{00000000-0005-0000-0000-0000E0050000}"/>
    <cellStyle name="Заголовок 4 24" xfId="1529" xr:uid="{00000000-0005-0000-0000-0000E1050000}"/>
    <cellStyle name="Заголовок 4 25" xfId="1530" xr:uid="{00000000-0005-0000-0000-0000E2050000}"/>
    <cellStyle name="Заголовок 4 26" xfId="1531" xr:uid="{00000000-0005-0000-0000-0000E3050000}"/>
    <cellStyle name="Заголовок 4 27" xfId="1532" xr:uid="{00000000-0005-0000-0000-0000E4050000}"/>
    <cellStyle name="Заголовок 4 28" xfId="1533" xr:uid="{00000000-0005-0000-0000-0000E5050000}"/>
    <cellStyle name="Заголовок 4 29" xfId="1534" xr:uid="{00000000-0005-0000-0000-0000E6050000}"/>
    <cellStyle name="Заголовок 4 3" xfId="1535" xr:uid="{00000000-0005-0000-0000-0000E7050000}"/>
    <cellStyle name="Заголовок 4 30" xfId="1536" xr:uid="{00000000-0005-0000-0000-0000E8050000}"/>
    <cellStyle name="Заголовок 4 31" xfId="1537" xr:uid="{00000000-0005-0000-0000-0000E9050000}"/>
    <cellStyle name="Заголовок 4 32" xfId="1538" xr:uid="{00000000-0005-0000-0000-0000EA050000}"/>
    <cellStyle name="Заголовок 4 33" xfId="1539" xr:uid="{00000000-0005-0000-0000-0000EB050000}"/>
    <cellStyle name="Заголовок 4 34" xfId="1540" xr:uid="{00000000-0005-0000-0000-0000EC050000}"/>
    <cellStyle name="Заголовок 4 35" xfId="1541" xr:uid="{00000000-0005-0000-0000-0000ED050000}"/>
    <cellStyle name="Заголовок 4 36" xfId="1542" xr:uid="{00000000-0005-0000-0000-0000EE050000}"/>
    <cellStyle name="Заголовок 4 4" xfId="1543" xr:uid="{00000000-0005-0000-0000-0000EF050000}"/>
    <cellStyle name="Заголовок 4 5" xfId="1544" xr:uid="{00000000-0005-0000-0000-0000F0050000}"/>
    <cellStyle name="Заголовок 4 6" xfId="1545" xr:uid="{00000000-0005-0000-0000-0000F1050000}"/>
    <cellStyle name="Заголовок 4 7" xfId="1546" xr:uid="{00000000-0005-0000-0000-0000F2050000}"/>
    <cellStyle name="Заголовок 4 8" xfId="1547" xr:uid="{00000000-0005-0000-0000-0000F3050000}"/>
    <cellStyle name="Заголовок 4 9" xfId="1548" xr:uid="{00000000-0005-0000-0000-0000F4050000}"/>
    <cellStyle name="Защитный" xfId="273" xr:uid="{00000000-0005-0000-0000-0000F5050000}"/>
    <cellStyle name="Итог 10" xfId="1549" xr:uid="{00000000-0005-0000-0000-0000F6050000}"/>
    <cellStyle name="Итог 11" xfId="1550" xr:uid="{00000000-0005-0000-0000-0000F7050000}"/>
    <cellStyle name="Итог 12" xfId="1551" xr:uid="{00000000-0005-0000-0000-0000F8050000}"/>
    <cellStyle name="Итог 13" xfId="1552" xr:uid="{00000000-0005-0000-0000-0000F9050000}"/>
    <cellStyle name="Итог 14" xfId="1553" xr:uid="{00000000-0005-0000-0000-0000FA050000}"/>
    <cellStyle name="Итог 15" xfId="1554" xr:uid="{00000000-0005-0000-0000-0000FB050000}"/>
    <cellStyle name="Итог 16" xfId="1555" xr:uid="{00000000-0005-0000-0000-0000FC050000}"/>
    <cellStyle name="Итог 17" xfId="1556" xr:uid="{00000000-0005-0000-0000-0000FD050000}"/>
    <cellStyle name="Итог 18" xfId="1557" xr:uid="{00000000-0005-0000-0000-0000FE050000}"/>
    <cellStyle name="Итог 19" xfId="1558" xr:uid="{00000000-0005-0000-0000-0000FF050000}"/>
    <cellStyle name="Итог 2" xfId="1559" xr:uid="{00000000-0005-0000-0000-000000060000}"/>
    <cellStyle name="Итог 20" xfId="1560" xr:uid="{00000000-0005-0000-0000-000001060000}"/>
    <cellStyle name="Итог 21" xfId="1561" xr:uid="{00000000-0005-0000-0000-000002060000}"/>
    <cellStyle name="Итог 22" xfId="1562" xr:uid="{00000000-0005-0000-0000-000003060000}"/>
    <cellStyle name="Итог 23" xfId="1563" xr:uid="{00000000-0005-0000-0000-000004060000}"/>
    <cellStyle name="Итог 24" xfId="1564" xr:uid="{00000000-0005-0000-0000-000005060000}"/>
    <cellStyle name="Итог 25" xfId="1565" xr:uid="{00000000-0005-0000-0000-000006060000}"/>
    <cellStyle name="Итог 26" xfId="1566" xr:uid="{00000000-0005-0000-0000-000007060000}"/>
    <cellStyle name="Итог 27" xfId="1567" xr:uid="{00000000-0005-0000-0000-000008060000}"/>
    <cellStyle name="Итог 28" xfId="1568" xr:uid="{00000000-0005-0000-0000-000009060000}"/>
    <cellStyle name="Итог 29" xfId="1569" xr:uid="{00000000-0005-0000-0000-00000A060000}"/>
    <cellStyle name="Итог 3" xfId="1570" xr:uid="{00000000-0005-0000-0000-00000B060000}"/>
    <cellStyle name="Итог 30" xfId="1571" xr:uid="{00000000-0005-0000-0000-00000C060000}"/>
    <cellStyle name="Итог 31" xfId="1572" xr:uid="{00000000-0005-0000-0000-00000D060000}"/>
    <cellStyle name="Итог 32" xfId="1573" xr:uid="{00000000-0005-0000-0000-00000E060000}"/>
    <cellStyle name="Итог 33" xfId="1574" xr:uid="{00000000-0005-0000-0000-00000F060000}"/>
    <cellStyle name="Итог 34" xfId="1575" xr:uid="{00000000-0005-0000-0000-000010060000}"/>
    <cellStyle name="Итог 35" xfId="1576" xr:uid="{00000000-0005-0000-0000-000011060000}"/>
    <cellStyle name="Итог 36" xfId="1577" xr:uid="{00000000-0005-0000-0000-000012060000}"/>
    <cellStyle name="Итог 4" xfId="1578" xr:uid="{00000000-0005-0000-0000-000013060000}"/>
    <cellStyle name="Итог 5" xfId="1579" xr:uid="{00000000-0005-0000-0000-000014060000}"/>
    <cellStyle name="Итог 6" xfId="1580" xr:uid="{00000000-0005-0000-0000-000015060000}"/>
    <cellStyle name="Итог 7" xfId="1581" xr:uid="{00000000-0005-0000-0000-000016060000}"/>
    <cellStyle name="Итог 8" xfId="1582" xr:uid="{00000000-0005-0000-0000-000017060000}"/>
    <cellStyle name="Итог 9" xfId="1583" xr:uid="{00000000-0005-0000-0000-000018060000}"/>
    <cellStyle name="Контрольная ячейка 10" xfId="1584" xr:uid="{00000000-0005-0000-0000-000019060000}"/>
    <cellStyle name="Контрольная ячейка 11" xfId="1585" xr:uid="{00000000-0005-0000-0000-00001A060000}"/>
    <cellStyle name="Контрольная ячейка 12" xfId="1586" xr:uid="{00000000-0005-0000-0000-00001B060000}"/>
    <cellStyle name="Контрольная ячейка 13" xfId="1587" xr:uid="{00000000-0005-0000-0000-00001C060000}"/>
    <cellStyle name="Контрольная ячейка 14" xfId="1588" xr:uid="{00000000-0005-0000-0000-00001D060000}"/>
    <cellStyle name="Контрольная ячейка 15" xfId="1589" xr:uid="{00000000-0005-0000-0000-00001E060000}"/>
    <cellStyle name="Контрольная ячейка 16" xfId="1590" xr:uid="{00000000-0005-0000-0000-00001F060000}"/>
    <cellStyle name="Контрольная ячейка 17" xfId="1591" xr:uid="{00000000-0005-0000-0000-000020060000}"/>
    <cellStyle name="Контрольная ячейка 18" xfId="1592" xr:uid="{00000000-0005-0000-0000-000021060000}"/>
    <cellStyle name="Контрольная ячейка 19" xfId="1593" xr:uid="{00000000-0005-0000-0000-000022060000}"/>
    <cellStyle name="Контрольная ячейка 2" xfId="1594" xr:uid="{00000000-0005-0000-0000-000023060000}"/>
    <cellStyle name="Контрольная ячейка 20" xfId="1595" xr:uid="{00000000-0005-0000-0000-000024060000}"/>
    <cellStyle name="Контрольная ячейка 21" xfId="1596" xr:uid="{00000000-0005-0000-0000-000025060000}"/>
    <cellStyle name="Контрольная ячейка 22" xfId="1597" xr:uid="{00000000-0005-0000-0000-000026060000}"/>
    <cellStyle name="Контрольная ячейка 23" xfId="1598" xr:uid="{00000000-0005-0000-0000-000027060000}"/>
    <cellStyle name="Контрольная ячейка 24" xfId="1599" xr:uid="{00000000-0005-0000-0000-000028060000}"/>
    <cellStyle name="Контрольная ячейка 25" xfId="1600" xr:uid="{00000000-0005-0000-0000-000029060000}"/>
    <cellStyle name="Контрольная ячейка 26" xfId="1601" xr:uid="{00000000-0005-0000-0000-00002A060000}"/>
    <cellStyle name="Контрольная ячейка 27" xfId="1602" xr:uid="{00000000-0005-0000-0000-00002B060000}"/>
    <cellStyle name="Контрольная ячейка 28" xfId="1603" xr:uid="{00000000-0005-0000-0000-00002C060000}"/>
    <cellStyle name="Контрольная ячейка 29" xfId="1604" xr:uid="{00000000-0005-0000-0000-00002D060000}"/>
    <cellStyle name="Контрольная ячейка 3" xfId="1605" xr:uid="{00000000-0005-0000-0000-00002E060000}"/>
    <cellStyle name="Контрольная ячейка 30" xfId="1606" xr:uid="{00000000-0005-0000-0000-00002F060000}"/>
    <cellStyle name="Контрольная ячейка 31" xfId="1607" xr:uid="{00000000-0005-0000-0000-000030060000}"/>
    <cellStyle name="Контрольная ячейка 32" xfId="1608" xr:uid="{00000000-0005-0000-0000-000031060000}"/>
    <cellStyle name="Контрольная ячейка 33" xfId="1609" xr:uid="{00000000-0005-0000-0000-000032060000}"/>
    <cellStyle name="Контрольная ячейка 34" xfId="1610" xr:uid="{00000000-0005-0000-0000-000033060000}"/>
    <cellStyle name="Контрольная ячейка 35" xfId="1611" xr:uid="{00000000-0005-0000-0000-000034060000}"/>
    <cellStyle name="Контрольная ячейка 36" xfId="1612" xr:uid="{00000000-0005-0000-0000-000035060000}"/>
    <cellStyle name="Контрольная ячейка 4" xfId="1613" xr:uid="{00000000-0005-0000-0000-000036060000}"/>
    <cellStyle name="Контрольная ячейка 5" xfId="1614" xr:uid="{00000000-0005-0000-0000-000037060000}"/>
    <cellStyle name="Контрольная ячейка 6" xfId="1615" xr:uid="{00000000-0005-0000-0000-000038060000}"/>
    <cellStyle name="Контрольная ячейка 7" xfId="1616" xr:uid="{00000000-0005-0000-0000-000039060000}"/>
    <cellStyle name="Контрольная ячейка 8" xfId="1617" xr:uid="{00000000-0005-0000-0000-00003A060000}"/>
    <cellStyle name="Контрольная ячейка 9" xfId="1618" xr:uid="{00000000-0005-0000-0000-00003B060000}"/>
    <cellStyle name="Нейтральный 10" xfId="1619" xr:uid="{00000000-0005-0000-0000-00003C060000}"/>
    <cellStyle name="Нейтральный 11" xfId="1620" xr:uid="{00000000-0005-0000-0000-00003D060000}"/>
    <cellStyle name="Нейтральный 12" xfId="1621" xr:uid="{00000000-0005-0000-0000-00003E060000}"/>
    <cellStyle name="Нейтральный 13" xfId="1622" xr:uid="{00000000-0005-0000-0000-00003F060000}"/>
    <cellStyle name="Нейтральный 14" xfId="1623" xr:uid="{00000000-0005-0000-0000-000040060000}"/>
    <cellStyle name="Нейтральный 15" xfId="1624" xr:uid="{00000000-0005-0000-0000-000041060000}"/>
    <cellStyle name="Нейтральный 16" xfId="1625" xr:uid="{00000000-0005-0000-0000-000042060000}"/>
    <cellStyle name="Нейтральный 17" xfId="1626" xr:uid="{00000000-0005-0000-0000-000043060000}"/>
    <cellStyle name="Нейтральный 18" xfId="1627" xr:uid="{00000000-0005-0000-0000-000044060000}"/>
    <cellStyle name="Нейтральный 19" xfId="1628" xr:uid="{00000000-0005-0000-0000-000045060000}"/>
    <cellStyle name="Нейтральный 2" xfId="1629" xr:uid="{00000000-0005-0000-0000-000046060000}"/>
    <cellStyle name="Нейтральный 20" xfId="1630" xr:uid="{00000000-0005-0000-0000-000047060000}"/>
    <cellStyle name="Нейтральный 21" xfId="1631" xr:uid="{00000000-0005-0000-0000-000048060000}"/>
    <cellStyle name="Нейтральный 22" xfId="1632" xr:uid="{00000000-0005-0000-0000-000049060000}"/>
    <cellStyle name="Нейтральный 23" xfId="1633" xr:uid="{00000000-0005-0000-0000-00004A060000}"/>
    <cellStyle name="Нейтральный 24" xfId="1634" xr:uid="{00000000-0005-0000-0000-00004B060000}"/>
    <cellStyle name="Нейтральный 25" xfId="1635" xr:uid="{00000000-0005-0000-0000-00004C060000}"/>
    <cellStyle name="Нейтральный 26" xfId="1636" xr:uid="{00000000-0005-0000-0000-00004D060000}"/>
    <cellStyle name="Нейтральный 27" xfId="1637" xr:uid="{00000000-0005-0000-0000-00004E060000}"/>
    <cellStyle name="Нейтральный 28" xfId="1638" xr:uid="{00000000-0005-0000-0000-00004F060000}"/>
    <cellStyle name="Нейтральный 29" xfId="1639" xr:uid="{00000000-0005-0000-0000-000050060000}"/>
    <cellStyle name="Нейтральный 3" xfId="1640" xr:uid="{00000000-0005-0000-0000-000051060000}"/>
    <cellStyle name="Нейтральный 30" xfId="1641" xr:uid="{00000000-0005-0000-0000-000052060000}"/>
    <cellStyle name="Нейтральный 31" xfId="1642" xr:uid="{00000000-0005-0000-0000-000053060000}"/>
    <cellStyle name="Нейтральный 32" xfId="1643" xr:uid="{00000000-0005-0000-0000-000054060000}"/>
    <cellStyle name="Нейтральный 33" xfId="1644" xr:uid="{00000000-0005-0000-0000-000055060000}"/>
    <cellStyle name="Нейтральный 34" xfId="1645" xr:uid="{00000000-0005-0000-0000-000056060000}"/>
    <cellStyle name="Нейтральный 35" xfId="1646" xr:uid="{00000000-0005-0000-0000-000057060000}"/>
    <cellStyle name="Нейтральный 36" xfId="1647" xr:uid="{00000000-0005-0000-0000-000058060000}"/>
    <cellStyle name="Нейтральный 4" xfId="1648" xr:uid="{00000000-0005-0000-0000-000059060000}"/>
    <cellStyle name="Нейтральный 5" xfId="1649" xr:uid="{00000000-0005-0000-0000-00005A060000}"/>
    <cellStyle name="Нейтральный 6" xfId="1650" xr:uid="{00000000-0005-0000-0000-00005B060000}"/>
    <cellStyle name="Нейтральный 7" xfId="1651" xr:uid="{00000000-0005-0000-0000-00005C060000}"/>
    <cellStyle name="Нейтральный 8" xfId="1652" xr:uid="{00000000-0005-0000-0000-00005D060000}"/>
    <cellStyle name="Нейтральный 9" xfId="1653" xr:uid="{00000000-0005-0000-0000-00005E060000}"/>
    <cellStyle name="Обычный 13" xfId="1654" xr:uid="{00000000-0005-0000-0000-00005F060000}"/>
    <cellStyle name="Обычный 14" xfId="1655" xr:uid="{00000000-0005-0000-0000-000060060000}"/>
    <cellStyle name="Обычный 15" xfId="1656" xr:uid="{00000000-0005-0000-0000-000061060000}"/>
    <cellStyle name="Обычный 16" xfId="1657" xr:uid="{00000000-0005-0000-0000-000062060000}"/>
    <cellStyle name="Обычный 17" xfId="1658" xr:uid="{00000000-0005-0000-0000-000063060000}"/>
    <cellStyle name="Обычный 18" xfId="1659" xr:uid="{00000000-0005-0000-0000-000064060000}"/>
    <cellStyle name="Обычный 19" xfId="1660" xr:uid="{00000000-0005-0000-0000-000065060000}"/>
    <cellStyle name="Обычный 2" xfId="11" xr:uid="{00000000-0005-0000-0000-000066060000}"/>
    <cellStyle name="Обычный 2 10" xfId="274" xr:uid="{00000000-0005-0000-0000-000067060000}"/>
    <cellStyle name="Обычный 2 10 2" xfId="1661" xr:uid="{00000000-0005-0000-0000-000068060000}"/>
    <cellStyle name="Обычный 2 11" xfId="275" xr:uid="{00000000-0005-0000-0000-000069060000}"/>
    <cellStyle name="Обычный 2 11 2" xfId="1662" xr:uid="{00000000-0005-0000-0000-00006A060000}"/>
    <cellStyle name="Обычный 2 12" xfId="276" xr:uid="{00000000-0005-0000-0000-00006B060000}"/>
    <cellStyle name="Обычный 2 12 2" xfId="1663" xr:uid="{00000000-0005-0000-0000-00006C060000}"/>
    <cellStyle name="Обычный 2 13" xfId="277" xr:uid="{00000000-0005-0000-0000-00006D060000}"/>
    <cellStyle name="Обычный 2 13 2" xfId="1664" xr:uid="{00000000-0005-0000-0000-00006E060000}"/>
    <cellStyle name="Обычный 2 14" xfId="278" xr:uid="{00000000-0005-0000-0000-00006F060000}"/>
    <cellStyle name="Обычный 2 14 2" xfId="1665" xr:uid="{00000000-0005-0000-0000-000070060000}"/>
    <cellStyle name="Обычный 2 15" xfId="1666" xr:uid="{00000000-0005-0000-0000-000071060000}"/>
    <cellStyle name="Обычный 2 16" xfId="1667" xr:uid="{00000000-0005-0000-0000-000072060000}"/>
    <cellStyle name="Обычный 2 17" xfId="1668" xr:uid="{00000000-0005-0000-0000-000073060000}"/>
    <cellStyle name="Обычный 2 18" xfId="1669" xr:uid="{00000000-0005-0000-0000-000074060000}"/>
    <cellStyle name="Обычный 2 19" xfId="1670" xr:uid="{00000000-0005-0000-0000-000075060000}"/>
    <cellStyle name="Обычный 2 2" xfId="161" xr:uid="{00000000-0005-0000-0000-000076060000}"/>
    <cellStyle name="Обычный 2 2 10" xfId="1671" xr:uid="{00000000-0005-0000-0000-000077060000}"/>
    <cellStyle name="Обычный 2 2 11" xfId="1672" xr:uid="{00000000-0005-0000-0000-000078060000}"/>
    <cellStyle name="Обычный 2 2 12" xfId="1673" xr:uid="{00000000-0005-0000-0000-000079060000}"/>
    <cellStyle name="Обычный 2 2 13" xfId="1674" xr:uid="{00000000-0005-0000-0000-00007A060000}"/>
    <cellStyle name="Обычный 2 2 14" xfId="1675" xr:uid="{00000000-0005-0000-0000-00007B060000}"/>
    <cellStyle name="Обычный 2 2 15" xfId="1676" xr:uid="{00000000-0005-0000-0000-00007C060000}"/>
    <cellStyle name="Обычный 2 2 16" xfId="1677" xr:uid="{00000000-0005-0000-0000-00007D060000}"/>
    <cellStyle name="Обычный 2 2 17" xfId="1678" xr:uid="{00000000-0005-0000-0000-00007E060000}"/>
    <cellStyle name="Обычный 2 2 18" xfId="1679" xr:uid="{00000000-0005-0000-0000-00007F060000}"/>
    <cellStyle name="Обычный 2 2 19" xfId="1680" xr:uid="{00000000-0005-0000-0000-000080060000}"/>
    <cellStyle name="Обычный 2 2 2" xfId="279" xr:uid="{00000000-0005-0000-0000-000081060000}"/>
    <cellStyle name="Обычный 2 2 2 2" xfId="1681" xr:uid="{00000000-0005-0000-0000-000082060000}"/>
    <cellStyle name="Обычный 2 2 20" xfId="1682" xr:uid="{00000000-0005-0000-0000-000083060000}"/>
    <cellStyle name="Обычный 2 2 21" xfId="1683" xr:uid="{00000000-0005-0000-0000-000084060000}"/>
    <cellStyle name="Обычный 2 2 22" xfId="1684" xr:uid="{00000000-0005-0000-0000-000085060000}"/>
    <cellStyle name="Обычный 2 2 23" xfId="1685" xr:uid="{00000000-0005-0000-0000-000086060000}"/>
    <cellStyle name="Обычный 2 2 24" xfId="1686" xr:uid="{00000000-0005-0000-0000-000087060000}"/>
    <cellStyle name="Обычный 2 2 25" xfId="1687" xr:uid="{00000000-0005-0000-0000-000088060000}"/>
    <cellStyle name="Обычный 2 2 26" xfId="1688" xr:uid="{00000000-0005-0000-0000-000089060000}"/>
    <cellStyle name="Обычный 2 2 27" xfId="1689" xr:uid="{00000000-0005-0000-0000-00008A060000}"/>
    <cellStyle name="Обычный 2 2 28" xfId="1690" xr:uid="{00000000-0005-0000-0000-00008B060000}"/>
    <cellStyle name="Обычный 2 2 29" xfId="1691" xr:uid="{00000000-0005-0000-0000-00008C060000}"/>
    <cellStyle name="Обычный 2 2 3" xfId="280" xr:uid="{00000000-0005-0000-0000-00008D060000}"/>
    <cellStyle name="Обычный 2 2 3 2" xfId="1692" xr:uid="{00000000-0005-0000-0000-00008E060000}"/>
    <cellStyle name="Обычный 2 2 30" xfId="1693" xr:uid="{00000000-0005-0000-0000-00008F060000}"/>
    <cellStyle name="Обычный 2 2 31" xfId="1694" xr:uid="{00000000-0005-0000-0000-000090060000}"/>
    <cellStyle name="Обычный 2 2 32" xfId="1695" xr:uid="{00000000-0005-0000-0000-000091060000}"/>
    <cellStyle name="Обычный 2 2 33" xfId="1696" xr:uid="{00000000-0005-0000-0000-000092060000}"/>
    <cellStyle name="Обычный 2 2 34" xfId="1697" xr:uid="{00000000-0005-0000-0000-000093060000}"/>
    <cellStyle name="Обычный 2 2 35" xfId="1698" xr:uid="{00000000-0005-0000-0000-000094060000}"/>
    <cellStyle name="Обычный 2 2 36" xfId="1699" xr:uid="{00000000-0005-0000-0000-000095060000}"/>
    <cellStyle name="Обычный 2 2 4" xfId="1700" xr:uid="{00000000-0005-0000-0000-000096060000}"/>
    <cellStyle name="Обычный 2 2 5" xfId="1701" xr:uid="{00000000-0005-0000-0000-000097060000}"/>
    <cellStyle name="Обычный 2 2 6" xfId="1702" xr:uid="{00000000-0005-0000-0000-000098060000}"/>
    <cellStyle name="Обычный 2 2 7" xfId="1703" xr:uid="{00000000-0005-0000-0000-000099060000}"/>
    <cellStyle name="Обычный 2 2 8" xfId="1704" xr:uid="{00000000-0005-0000-0000-00009A060000}"/>
    <cellStyle name="Обычный 2 2 9" xfId="1705" xr:uid="{00000000-0005-0000-0000-00009B060000}"/>
    <cellStyle name="Обычный 2 20" xfId="1706" xr:uid="{00000000-0005-0000-0000-00009C060000}"/>
    <cellStyle name="Обычный 2 21" xfId="1707" xr:uid="{00000000-0005-0000-0000-00009D060000}"/>
    <cellStyle name="Обычный 2 22" xfId="1708" xr:uid="{00000000-0005-0000-0000-00009E060000}"/>
    <cellStyle name="Обычный 2 23" xfId="1709" xr:uid="{00000000-0005-0000-0000-00009F060000}"/>
    <cellStyle name="Обычный 2 24" xfId="1710" xr:uid="{00000000-0005-0000-0000-0000A0060000}"/>
    <cellStyle name="Обычный 2 25" xfId="1711" xr:uid="{00000000-0005-0000-0000-0000A1060000}"/>
    <cellStyle name="Обычный 2 26" xfId="1712" xr:uid="{00000000-0005-0000-0000-0000A2060000}"/>
    <cellStyle name="Обычный 2 27" xfId="1713" xr:uid="{00000000-0005-0000-0000-0000A3060000}"/>
    <cellStyle name="Обычный 2 28" xfId="1714" xr:uid="{00000000-0005-0000-0000-0000A4060000}"/>
    <cellStyle name="Обычный 2 29" xfId="1715" xr:uid="{00000000-0005-0000-0000-0000A5060000}"/>
    <cellStyle name="Обычный 2 3" xfId="160" xr:uid="{00000000-0005-0000-0000-0000A6060000}"/>
    <cellStyle name="Обычный 2 30" xfId="1716" xr:uid="{00000000-0005-0000-0000-0000A7060000}"/>
    <cellStyle name="Обычный 2 31" xfId="1717" xr:uid="{00000000-0005-0000-0000-0000A8060000}"/>
    <cellStyle name="Обычный 2 32" xfId="1718" xr:uid="{00000000-0005-0000-0000-0000A9060000}"/>
    <cellStyle name="Обычный 2 33" xfId="1719" xr:uid="{00000000-0005-0000-0000-0000AA060000}"/>
    <cellStyle name="Обычный 2 34" xfId="1720" xr:uid="{00000000-0005-0000-0000-0000AB060000}"/>
    <cellStyle name="Обычный 2 35" xfId="1721" xr:uid="{00000000-0005-0000-0000-0000AC060000}"/>
    <cellStyle name="Обычный 2 36" xfId="1722" xr:uid="{00000000-0005-0000-0000-0000AD060000}"/>
    <cellStyle name="Обычный 2 37" xfId="1723" xr:uid="{00000000-0005-0000-0000-0000AE060000}"/>
    <cellStyle name="Обычный 2 4" xfId="281" xr:uid="{00000000-0005-0000-0000-0000AF060000}"/>
    <cellStyle name="Обычный 2 4 2" xfId="282" xr:uid="{00000000-0005-0000-0000-0000B0060000}"/>
    <cellStyle name="Обычный 2 5" xfId="283" xr:uid="{00000000-0005-0000-0000-0000B1060000}"/>
    <cellStyle name="Обычный 2 5 2" xfId="284" xr:uid="{00000000-0005-0000-0000-0000B2060000}"/>
    <cellStyle name="Обычный 2 6" xfId="285" xr:uid="{00000000-0005-0000-0000-0000B3060000}"/>
    <cellStyle name="Обычный 2 6 2" xfId="286" xr:uid="{00000000-0005-0000-0000-0000B4060000}"/>
    <cellStyle name="Обычный 2 7" xfId="287" xr:uid="{00000000-0005-0000-0000-0000B5060000}"/>
    <cellStyle name="Обычный 2 7 2" xfId="288" xr:uid="{00000000-0005-0000-0000-0000B6060000}"/>
    <cellStyle name="Обычный 2 8" xfId="289" xr:uid="{00000000-0005-0000-0000-0000B7060000}"/>
    <cellStyle name="Обычный 2 8 2" xfId="290" xr:uid="{00000000-0005-0000-0000-0000B8060000}"/>
    <cellStyle name="Обычный 2 9" xfId="291" xr:uid="{00000000-0005-0000-0000-0000B9060000}"/>
    <cellStyle name="Обычный 2 9 2" xfId="1724" xr:uid="{00000000-0005-0000-0000-0000BA060000}"/>
    <cellStyle name="Обычный 2_900005052015" xfId="292" xr:uid="{00000000-0005-0000-0000-0000BB060000}"/>
    <cellStyle name="Обычный 23" xfId="1725" xr:uid="{00000000-0005-0000-0000-0000BC060000}"/>
    <cellStyle name="Обычный 24" xfId="1726" xr:uid="{00000000-0005-0000-0000-0000BD060000}"/>
    <cellStyle name="Обычный 25" xfId="1727" xr:uid="{00000000-0005-0000-0000-0000BE060000}"/>
    <cellStyle name="Обычный 27" xfId="1728" xr:uid="{00000000-0005-0000-0000-0000BF060000}"/>
    <cellStyle name="Обычный 28" xfId="1729" xr:uid="{00000000-0005-0000-0000-0000C0060000}"/>
    <cellStyle name="Обычный 29" xfId="1730" xr:uid="{00000000-0005-0000-0000-0000C1060000}"/>
    <cellStyle name="Обычный 3" xfId="293" xr:uid="{00000000-0005-0000-0000-0000C2060000}"/>
    <cellStyle name="Обычный 3 2" xfId="294" xr:uid="{00000000-0005-0000-0000-0000C3060000}"/>
    <cellStyle name="Обычный 3 2 2" xfId="1731" xr:uid="{00000000-0005-0000-0000-0000C4060000}"/>
    <cellStyle name="Обычный 3 3" xfId="2028" xr:uid="{00000000-0005-0000-0000-0000C5060000}"/>
    <cellStyle name="Обычный 30" xfId="1732" xr:uid="{00000000-0005-0000-0000-0000C6060000}"/>
    <cellStyle name="Обычный 31" xfId="1733" xr:uid="{00000000-0005-0000-0000-0000C7060000}"/>
    <cellStyle name="Обычный 32" xfId="1734" xr:uid="{00000000-0005-0000-0000-0000C8060000}"/>
    <cellStyle name="Обычный 34" xfId="1735" xr:uid="{00000000-0005-0000-0000-0000C9060000}"/>
    <cellStyle name="Обычный 35" xfId="1736" xr:uid="{00000000-0005-0000-0000-0000CA060000}"/>
    <cellStyle name="Обычный 36" xfId="1737" xr:uid="{00000000-0005-0000-0000-0000CB060000}"/>
    <cellStyle name="Обычный 4" xfId="295" xr:uid="{00000000-0005-0000-0000-0000CC060000}"/>
    <cellStyle name="Обычный 4 2" xfId="1738" xr:uid="{00000000-0005-0000-0000-0000CD060000}"/>
    <cellStyle name="Обычный 5" xfId="1739" xr:uid="{00000000-0005-0000-0000-0000CE060000}"/>
    <cellStyle name="Обычный 6" xfId="1740" xr:uid="{00000000-0005-0000-0000-0000CF060000}"/>
    <cellStyle name="Обычный 7" xfId="1741" xr:uid="{00000000-0005-0000-0000-0000D0060000}"/>
    <cellStyle name="Обычный 8" xfId="2025" xr:uid="{00000000-0005-0000-0000-0000D1060000}"/>
    <cellStyle name="Плохой 10" xfId="1742" xr:uid="{00000000-0005-0000-0000-0000D2060000}"/>
    <cellStyle name="Плохой 11" xfId="1743" xr:uid="{00000000-0005-0000-0000-0000D3060000}"/>
    <cellStyle name="Плохой 12" xfId="1744" xr:uid="{00000000-0005-0000-0000-0000D4060000}"/>
    <cellStyle name="Плохой 13" xfId="1745" xr:uid="{00000000-0005-0000-0000-0000D5060000}"/>
    <cellStyle name="Плохой 14" xfId="1746" xr:uid="{00000000-0005-0000-0000-0000D6060000}"/>
    <cellStyle name="Плохой 15" xfId="1747" xr:uid="{00000000-0005-0000-0000-0000D7060000}"/>
    <cellStyle name="Плохой 16" xfId="1748" xr:uid="{00000000-0005-0000-0000-0000D8060000}"/>
    <cellStyle name="Плохой 17" xfId="1749" xr:uid="{00000000-0005-0000-0000-0000D9060000}"/>
    <cellStyle name="Плохой 18" xfId="1750" xr:uid="{00000000-0005-0000-0000-0000DA060000}"/>
    <cellStyle name="Плохой 19" xfId="1751" xr:uid="{00000000-0005-0000-0000-0000DB060000}"/>
    <cellStyle name="Плохой 2" xfId="1752" xr:uid="{00000000-0005-0000-0000-0000DC060000}"/>
    <cellStyle name="Плохой 20" xfId="1753" xr:uid="{00000000-0005-0000-0000-0000DD060000}"/>
    <cellStyle name="Плохой 21" xfId="1754" xr:uid="{00000000-0005-0000-0000-0000DE060000}"/>
    <cellStyle name="Плохой 22" xfId="1755" xr:uid="{00000000-0005-0000-0000-0000DF060000}"/>
    <cellStyle name="Плохой 23" xfId="1756" xr:uid="{00000000-0005-0000-0000-0000E0060000}"/>
    <cellStyle name="Плохой 24" xfId="1757" xr:uid="{00000000-0005-0000-0000-0000E1060000}"/>
    <cellStyle name="Плохой 25" xfId="1758" xr:uid="{00000000-0005-0000-0000-0000E2060000}"/>
    <cellStyle name="Плохой 26" xfId="1759" xr:uid="{00000000-0005-0000-0000-0000E3060000}"/>
    <cellStyle name="Плохой 27" xfId="1760" xr:uid="{00000000-0005-0000-0000-0000E4060000}"/>
    <cellStyle name="Плохой 28" xfId="1761" xr:uid="{00000000-0005-0000-0000-0000E5060000}"/>
    <cellStyle name="Плохой 29" xfId="1762" xr:uid="{00000000-0005-0000-0000-0000E6060000}"/>
    <cellStyle name="Плохой 3" xfId="1763" xr:uid="{00000000-0005-0000-0000-0000E7060000}"/>
    <cellStyle name="Плохой 30" xfId="1764" xr:uid="{00000000-0005-0000-0000-0000E8060000}"/>
    <cellStyle name="Плохой 31" xfId="1765" xr:uid="{00000000-0005-0000-0000-0000E9060000}"/>
    <cellStyle name="Плохой 32" xfId="1766" xr:uid="{00000000-0005-0000-0000-0000EA060000}"/>
    <cellStyle name="Плохой 33" xfId="1767" xr:uid="{00000000-0005-0000-0000-0000EB060000}"/>
    <cellStyle name="Плохой 34" xfId="1768" xr:uid="{00000000-0005-0000-0000-0000EC060000}"/>
    <cellStyle name="Плохой 35" xfId="1769" xr:uid="{00000000-0005-0000-0000-0000ED060000}"/>
    <cellStyle name="Плохой 36" xfId="1770" xr:uid="{00000000-0005-0000-0000-0000EE060000}"/>
    <cellStyle name="Плохой 4" xfId="1771" xr:uid="{00000000-0005-0000-0000-0000EF060000}"/>
    <cellStyle name="Плохой 5" xfId="1772" xr:uid="{00000000-0005-0000-0000-0000F0060000}"/>
    <cellStyle name="Плохой 6" xfId="1773" xr:uid="{00000000-0005-0000-0000-0000F1060000}"/>
    <cellStyle name="Плохой 7" xfId="1774" xr:uid="{00000000-0005-0000-0000-0000F2060000}"/>
    <cellStyle name="Плохой 8" xfId="1775" xr:uid="{00000000-0005-0000-0000-0000F3060000}"/>
    <cellStyle name="Плохой 9" xfId="1776" xr:uid="{00000000-0005-0000-0000-0000F4060000}"/>
    <cellStyle name="Пояснение 10" xfId="1777" xr:uid="{00000000-0005-0000-0000-0000F5060000}"/>
    <cellStyle name="Пояснение 11" xfId="1778" xr:uid="{00000000-0005-0000-0000-0000F6060000}"/>
    <cellStyle name="Пояснение 12" xfId="1779" xr:uid="{00000000-0005-0000-0000-0000F7060000}"/>
    <cellStyle name="Пояснение 13" xfId="1780" xr:uid="{00000000-0005-0000-0000-0000F8060000}"/>
    <cellStyle name="Пояснение 14" xfId="1781" xr:uid="{00000000-0005-0000-0000-0000F9060000}"/>
    <cellStyle name="Пояснение 15" xfId="1782" xr:uid="{00000000-0005-0000-0000-0000FA060000}"/>
    <cellStyle name="Пояснение 16" xfId="1783" xr:uid="{00000000-0005-0000-0000-0000FB060000}"/>
    <cellStyle name="Пояснение 17" xfId="1784" xr:uid="{00000000-0005-0000-0000-0000FC060000}"/>
    <cellStyle name="Пояснение 18" xfId="1785" xr:uid="{00000000-0005-0000-0000-0000FD060000}"/>
    <cellStyle name="Пояснение 19" xfId="1786" xr:uid="{00000000-0005-0000-0000-0000FE060000}"/>
    <cellStyle name="Пояснение 2" xfId="1787" xr:uid="{00000000-0005-0000-0000-0000FF060000}"/>
    <cellStyle name="Пояснение 20" xfId="1788" xr:uid="{00000000-0005-0000-0000-000000070000}"/>
    <cellStyle name="Пояснение 21" xfId="1789" xr:uid="{00000000-0005-0000-0000-000001070000}"/>
    <cellStyle name="Пояснение 22" xfId="1790" xr:uid="{00000000-0005-0000-0000-000002070000}"/>
    <cellStyle name="Пояснение 23" xfId="1791" xr:uid="{00000000-0005-0000-0000-000003070000}"/>
    <cellStyle name="Пояснение 24" xfId="1792" xr:uid="{00000000-0005-0000-0000-000004070000}"/>
    <cellStyle name="Пояснение 25" xfId="1793" xr:uid="{00000000-0005-0000-0000-000005070000}"/>
    <cellStyle name="Пояснение 26" xfId="1794" xr:uid="{00000000-0005-0000-0000-000006070000}"/>
    <cellStyle name="Пояснение 27" xfId="1795" xr:uid="{00000000-0005-0000-0000-000007070000}"/>
    <cellStyle name="Пояснение 28" xfId="1796" xr:uid="{00000000-0005-0000-0000-000008070000}"/>
    <cellStyle name="Пояснение 29" xfId="1797" xr:uid="{00000000-0005-0000-0000-000009070000}"/>
    <cellStyle name="Пояснение 3" xfId="1798" xr:uid="{00000000-0005-0000-0000-00000A070000}"/>
    <cellStyle name="Пояснение 30" xfId="1799" xr:uid="{00000000-0005-0000-0000-00000B070000}"/>
    <cellStyle name="Пояснение 31" xfId="1800" xr:uid="{00000000-0005-0000-0000-00000C070000}"/>
    <cellStyle name="Пояснение 32" xfId="1801" xr:uid="{00000000-0005-0000-0000-00000D070000}"/>
    <cellStyle name="Пояснение 33" xfId="1802" xr:uid="{00000000-0005-0000-0000-00000E070000}"/>
    <cellStyle name="Пояснение 34" xfId="1803" xr:uid="{00000000-0005-0000-0000-00000F070000}"/>
    <cellStyle name="Пояснение 35" xfId="1804" xr:uid="{00000000-0005-0000-0000-000010070000}"/>
    <cellStyle name="Пояснение 36" xfId="1805" xr:uid="{00000000-0005-0000-0000-000011070000}"/>
    <cellStyle name="Пояснение 4" xfId="1806" xr:uid="{00000000-0005-0000-0000-000012070000}"/>
    <cellStyle name="Пояснение 5" xfId="1807" xr:uid="{00000000-0005-0000-0000-000013070000}"/>
    <cellStyle name="Пояснение 6" xfId="1808" xr:uid="{00000000-0005-0000-0000-000014070000}"/>
    <cellStyle name="Пояснение 7" xfId="1809" xr:uid="{00000000-0005-0000-0000-000015070000}"/>
    <cellStyle name="Пояснение 8" xfId="1810" xr:uid="{00000000-0005-0000-0000-000016070000}"/>
    <cellStyle name="Пояснение 9" xfId="1811" xr:uid="{00000000-0005-0000-0000-000017070000}"/>
    <cellStyle name="Примечание 10" xfId="1812" xr:uid="{00000000-0005-0000-0000-000018070000}"/>
    <cellStyle name="Примечание 11" xfId="1813" xr:uid="{00000000-0005-0000-0000-000019070000}"/>
    <cellStyle name="Примечание 12" xfId="1814" xr:uid="{00000000-0005-0000-0000-00001A070000}"/>
    <cellStyle name="Примечание 13" xfId="1815" xr:uid="{00000000-0005-0000-0000-00001B070000}"/>
    <cellStyle name="Примечание 14" xfId="1816" xr:uid="{00000000-0005-0000-0000-00001C070000}"/>
    <cellStyle name="Примечание 15" xfId="1817" xr:uid="{00000000-0005-0000-0000-00001D070000}"/>
    <cellStyle name="Примечание 16" xfId="1818" xr:uid="{00000000-0005-0000-0000-00001E070000}"/>
    <cellStyle name="Примечание 17" xfId="1819" xr:uid="{00000000-0005-0000-0000-00001F070000}"/>
    <cellStyle name="Примечание 18" xfId="1820" xr:uid="{00000000-0005-0000-0000-000020070000}"/>
    <cellStyle name="Примечание 19" xfId="1821" xr:uid="{00000000-0005-0000-0000-000021070000}"/>
    <cellStyle name="Примечание 2" xfId="1822" xr:uid="{00000000-0005-0000-0000-000022070000}"/>
    <cellStyle name="Примечание 20" xfId="1823" xr:uid="{00000000-0005-0000-0000-000023070000}"/>
    <cellStyle name="Примечание 21" xfId="1824" xr:uid="{00000000-0005-0000-0000-000024070000}"/>
    <cellStyle name="Примечание 22" xfId="1825" xr:uid="{00000000-0005-0000-0000-000025070000}"/>
    <cellStyle name="Примечание 23" xfId="1826" xr:uid="{00000000-0005-0000-0000-000026070000}"/>
    <cellStyle name="Примечание 24" xfId="1827" xr:uid="{00000000-0005-0000-0000-000027070000}"/>
    <cellStyle name="Примечание 25" xfId="1828" xr:uid="{00000000-0005-0000-0000-000028070000}"/>
    <cellStyle name="Примечание 26" xfId="1829" xr:uid="{00000000-0005-0000-0000-000029070000}"/>
    <cellStyle name="Примечание 27" xfId="1830" xr:uid="{00000000-0005-0000-0000-00002A070000}"/>
    <cellStyle name="Примечание 28" xfId="1831" xr:uid="{00000000-0005-0000-0000-00002B070000}"/>
    <cellStyle name="Примечание 29" xfId="1832" xr:uid="{00000000-0005-0000-0000-00002C070000}"/>
    <cellStyle name="Примечание 3" xfId="1833" xr:uid="{00000000-0005-0000-0000-00002D070000}"/>
    <cellStyle name="Примечание 30" xfId="1834" xr:uid="{00000000-0005-0000-0000-00002E070000}"/>
    <cellStyle name="Примечание 31" xfId="1835" xr:uid="{00000000-0005-0000-0000-00002F070000}"/>
    <cellStyle name="Примечание 32" xfId="1836" xr:uid="{00000000-0005-0000-0000-000030070000}"/>
    <cellStyle name="Примечание 33" xfId="1837" xr:uid="{00000000-0005-0000-0000-000031070000}"/>
    <cellStyle name="Примечание 34" xfId="1838" xr:uid="{00000000-0005-0000-0000-000032070000}"/>
    <cellStyle name="Примечание 35" xfId="1839" xr:uid="{00000000-0005-0000-0000-000033070000}"/>
    <cellStyle name="Примечание 36" xfId="1840" xr:uid="{00000000-0005-0000-0000-000034070000}"/>
    <cellStyle name="Примечание 4" xfId="1841" xr:uid="{00000000-0005-0000-0000-000035070000}"/>
    <cellStyle name="Примечание 5" xfId="1842" xr:uid="{00000000-0005-0000-0000-000036070000}"/>
    <cellStyle name="Примечание 6" xfId="1843" xr:uid="{00000000-0005-0000-0000-000037070000}"/>
    <cellStyle name="Примечание 7" xfId="1844" xr:uid="{00000000-0005-0000-0000-000038070000}"/>
    <cellStyle name="Примечание 8" xfId="1845" xr:uid="{00000000-0005-0000-0000-000039070000}"/>
    <cellStyle name="Примечание 9" xfId="1846" xr:uid="{00000000-0005-0000-0000-00003A070000}"/>
    <cellStyle name="Связанная ячейка 10" xfId="1847" xr:uid="{00000000-0005-0000-0000-00003B070000}"/>
    <cellStyle name="Связанная ячейка 11" xfId="1848" xr:uid="{00000000-0005-0000-0000-00003C070000}"/>
    <cellStyle name="Связанная ячейка 12" xfId="1849" xr:uid="{00000000-0005-0000-0000-00003D070000}"/>
    <cellStyle name="Связанная ячейка 13" xfId="1850" xr:uid="{00000000-0005-0000-0000-00003E070000}"/>
    <cellStyle name="Связанная ячейка 14" xfId="1851" xr:uid="{00000000-0005-0000-0000-00003F070000}"/>
    <cellStyle name="Связанная ячейка 15" xfId="1852" xr:uid="{00000000-0005-0000-0000-000040070000}"/>
    <cellStyle name="Связанная ячейка 16" xfId="1853" xr:uid="{00000000-0005-0000-0000-000041070000}"/>
    <cellStyle name="Связанная ячейка 17" xfId="1854" xr:uid="{00000000-0005-0000-0000-000042070000}"/>
    <cellStyle name="Связанная ячейка 18" xfId="1855" xr:uid="{00000000-0005-0000-0000-000043070000}"/>
    <cellStyle name="Связанная ячейка 19" xfId="1856" xr:uid="{00000000-0005-0000-0000-000044070000}"/>
    <cellStyle name="Связанная ячейка 2" xfId="1857" xr:uid="{00000000-0005-0000-0000-000045070000}"/>
    <cellStyle name="Связанная ячейка 20" xfId="1858" xr:uid="{00000000-0005-0000-0000-000046070000}"/>
    <cellStyle name="Связанная ячейка 21" xfId="1859" xr:uid="{00000000-0005-0000-0000-000047070000}"/>
    <cellStyle name="Связанная ячейка 22" xfId="1860" xr:uid="{00000000-0005-0000-0000-000048070000}"/>
    <cellStyle name="Связанная ячейка 23" xfId="1861" xr:uid="{00000000-0005-0000-0000-000049070000}"/>
    <cellStyle name="Связанная ячейка 24" xfId="1862" xr:uid="{00000000-0005-0000-0000-00004A070000}"/>
    <cellStyle name="Связанная ячейка 25" xfId="1863" xr:uid="{00000000-0005-0000-0000-00004B070000}"/>
    <cellStyle name="Связанная ячейка 26" xfId="1864" xr:uid="{00000000-0005-0000-0000-00004C070000}"/>
    <cellStyle name="Связанная ячейка 27" xfId="1865" xr:uid="{00000000-0005-0000-0000-00004D070000}"/>
    <cellStyle name="Связанная ячейка 28" xfId="1866" xr:uid="{00000000-0005-0000-0000-00004E070000}"/>
    <cellStyle name="Связанная ячейка 29" xfId="1867" xr:uid="{00000000-0005-0000-0000-00004F070000}"/>
    <cellStyle name="Связанная ячейка 3" xfId="1868" xr:uid="{00000000-0005-0000-0000-000050070000}"/>
    <cellStyle name="Связанная ячейка 30" xfId="1869" xr:uid="{00000000-0005-0000-0000-000051070000}"/>
    <cellStyle name="Связанная ячейка 31" xfId="1870" xr:uid="{00000000-0005-0000-0000-000052070000}"/>
    <cellStyle name="Связанная ячейка 32" xfId="1871" xr:uid="{00000000-0005-0000-0000-000053070000}"/>
    <cellStyle name="Связанная ячейка 33" xfId="1872" xr:uid="{00000000-0005-0000-0000-000054070000}"/>
    <cellStyle name="Связанная ячейка 34" xfId="1873" xr:uid="{00000000-0005-0000-0000-000055070000}"/>
    <cellStyle name="Связанная ячейка 35" xfId="1874" xr:uid="{00000000-0005-0000-0000-000056070000}"/>
    <cellStyle name="Связанная ячейка 36" xfId="1875" xr:uid="{00000000-0005-0000-0000-000057070000}"/>
    <cellStyle name="Связанная ячейка 4" xfId="1876" xr:uid="{00000000-0005-0000-0000-000058070000}"/>
    <cellStyle name="Связанная ячейка 5" xfId="1877" xr:uid="{00000000-0005-0000-0000-000059070000}"/>
    <cellStyle name="Связанная ячейка 6" xfId="1878" xr:uid="{00000000-0005-0000-0000-00005A070000}"/>
    <cellStyle name="Связанная ячейка 7" xfId="1879" xr:uid="{00000000-0005-0000-0000-00005B070000}"/>
    <cellStyle name="Связанная ячейка 8" xfId="1880" xr:uid="{00000000-0005-0000-0000-00005C070000}"/>
    <cellStyle name="Связанная ячейка 9" xfId="1881" xr:uid="{00000000-0005-0000-0000-00005D070000}"/>
    <cellStyle name="Стиль 1" xfId="296" xr:uid="{00000000-0005-0000-0000-00005E070000}"/>
    <cellStyle name="Текст предупреждения 10" xfId="1882" xr:uid="{00000000-0005-0000-0000-00005F070000}"/>
    <cellStyle name="Текст предупреждения 11" xfId="1883" xr:uid="{00000000-0005-0000-0000-000060070000}"/>
    <cellStyle name="Текст предупреждения 12" xfId="1884" xr:uid="{00000000-0005-0000-0000-000061070000}"/>
    <cellStyle name="Текст предупреждения 13" xfId="1885" xr:uid="{00000000-0005-0000-0000-000062070000}"/>
    <cellStyle name="Текст предупреждения 14" xfId="1886" xr:uid="{00000000-0005-0000-0000-000063070000}"/>
    <cellStyle name="Текст предупреждения 15" xfId="1887" xr:uid="{00000000-0005-0000-0000-000064070000}"/>
    <cellStyle name="Текст предупреждения 16" xfId="1888" xr:uid="{00000000-0005-0000-0000-000065070000}"/>
    <cellStyle name="Текст предупреждения 17" xfId="1889" xr:uid="{00000000-0005-0000-0000-000066070000}"/>
    <cellStyle name="Текст предупреждения 18" xfId="1890" xr:uid="{00000000-0005-0000-0000-000067070000}"/>
    <cellStyle name="Текст предупреждения 19" xfId="1891" xr:uid="{00000000-0005-0000-0000-000068070000}"/>
    <cellStyle name="Текст предупреждения 2" xfId="1892" xr:uid="{00000000-0005-0000-0000-000069070000}"/>
    <cellStyle name="Текст предупреждения 20" xfId="1893" xr:uid="{00000000-0005-0000-0000-00006A070000}"/>
    <cellStyle name="Текст предупреждения 21" xfId="1894" xr:uid="{00000000-0005-0000-0000-00006B070000}"/>
    <cellStyle name="Текст предупреждения 22" xfId="1895" xr:uid="{00000000-0005-0000-0000-00006C070000}"/>
    <cellStyle name="Текст предупреждения 23" xfId="1896" xr:uid="{00000000-0005-0000-0000-00006D070000}"/>
    <cellStyle name="Текст предупреждения 24" xfId="1897" xr:uid="{00000000-0005-0000-0000-00006E070000}"/>
    <cellStyle name="Текст предупреждения 25" xfId="1898" xr:uid="{00000000-0005-0000-0000-00006F070000}"/>
    <cellStyle name="Текст предупреждения 26" xfId="1899" xr:uid="{00000000-0005-0000-0000-000070070000}"/>
    <cellStyle name="Текст предупреждения 27" xfId="1900" xr:uid="{00000000-0005-0000-0000-000071070000}"/>
    <cellStyle name="Текст предупреждения 28" xfId="1901" xr:uid="{00000000-0005-0000-0000-000072070000}"/>
    <cellStyle name="Текст предупреждения 29" xfId="1902" xr:uid="{00000000-0005-0000-0000-000073070000}"/>
    <cellStyle name="Текст предупреждения 3" xfId="1903" xr:uid="{00000000-0005-0000-0000-000074070000}"/>
    <cellStyle name="Текст предупреждения 30" xfId="1904" xr:uid="{00000000-0005-0000-0000-000075070000}"/>
    <cellStyle name="Текст предупреждения 31" xfId="1905" xr:uid="{00000000-0005-0000-0000-000076070000}"/>
    <cellStyle name="Текст предупреждения 32" xfId="1906" xr:uid="{00000000-0005-0000-0000-000077070000}"/>
    <cellStyle name="Текст предупреждения 33" xfId="1907" xr:uid="{00000000-0005-0000-0000-000078070000}"/>
    <cellStyle name="Текст предупреждения 34" xfId="1908" xr:uid="{00000000-0005-0000-0000-000079070000}"/>
    <cellStyle name="Текст предупреждения 35" xfId="1909" xr:uid="{00000000-0005-0000-0000-00007A070000}"/>
    <cellStyle name="Текст предупреждения 36" xfId="1910" xr:uid="{00000000-0005-0000-0000-00007B070000}"/>
    <cellStyle name="Текст предупреждения 4" xfId="1911" xr:uid="{00000000-0005-0000-0000-00007C070000}"/>
    <cellStyle name="Текст предупреждения 5" xfId="1912" xr:uid="{00000000-0005-0000-0000-00007D070000}"/>
    <cellStyle name="Текст предупреждения 6" xfId="1913" xr:uid="{00000000-0005-0000-0000-00007E070000}"/>
    <cellStyle name="Текст предупреждения 7" xfId="1914" xr:uid="{00000000-0005-0000-0000-00007F070000}"/>
    <cellStyle name="Текст предупреждения 8" xfId="1915" xr:uid="{00000000-0005-0000-0000-000080070000}"/>
    <cellStyle name="Текст предупреждения 9" xfId="1916" xr:uid="{00000000-0005-0000-0000-000081070000}"/>
    <cellStyle name="Финансовый 16" xfId="300" xr:uid="{00000000-0005-0000-0000-000082070000}"/>
    <cellStyle name="Финансовый 2" xfId="214" xr:uid="{00000000-0005-0000-0000-000083070000}"/>
    <cellStyle name="Финансовый 2 10" xfId="1917" xr:uid="{00000000-0005-0000-0000-000084070000}"/>
    <cellStyle name="Финансовый 2 11" xfId="1918" xr:uid="{00000000-0005-0000-0000-000085070000}"/>
    <cellStyle name="Финансовый 2 12" xfId="1919" xr:uid="{00000000-0005-0000-0000-000086070000}"/>
    <cellStyle name="Финансовый 2 13" xfId="1920" xr:uid="{00000000-0005-0000-0000-000087070000}"/>
    <cellStyle name="Финансовый 2 14" xfId="1921" xr:uid="{00000000-0005-0000-0000-000088070000}"/>
    <cellStyle name="Финансовый 2 15" xfId="1922" xr:uid="{00000000-0005-0000-0000-000089070000}"/>
    <cellStyle name="Финансовый 2 16" xfId="1923" xr:uid="{00000000-0005-0000-0000-00008A070000}"/>
    <cellStyle name="Финансовый 2 17" xfId="1924" xr:uid="{00000000-0005-0000-0000-00008B070000}"/>
    <cellStyle name="Финансовый 2 18" xfId="1925" xr:uid="{00000000-0005-0000-0000-00008C070000}"/>
    <cellStyle name="Финансовый 2 19" xfId="1926" xr:uid="{00000000-0005-0000-0000-00008D070000}"/>
    <cellStyle name="Финансовый 2 2" xfId="215" xr:uid="{00000000-0005-0000-0000-00008E070000}"/>
    <cellStyle name="Финансовый 2 2 10" xfId="1927" xr:uid="{00000000-0005-0000-0000-00008F070000}"/>
    <cellStyle name="Финансовый 2 2 11" xfId="1928" xr:uid="{00000000-0005-0000-0000-000090070000}"/>
    <cellStyle name="Финансовый 2 2 12" xfId="1929" xr:uid="{00000000-0005-0000-0000-000091070000}"/>
    <cellStyle name="Финансовый 2 2 13" xfId="1930" xr:uid="{00000000-0005-0000-0000-000092070000}"/>
    <cellStyle name="Финансовый 2 2 14" xfId="1931" xr:uid="{00000000-0005-0000-0000-000093070000}"/>
    <cellStyle name="Финансовый 2 2 15" xfId="1932" xr:uid="{00000000-0005-0000-0000-000094070000}"/>
    <cellStyle name="Финансовый 2 2 16" xfId="1933" xr:uid="{00000000-0005-0000-0000-000095070000}"/>
    <cellStyle name="Финансовый 2 2 17" xfId="1934" xr:uid="{00000000-0005-0000-0000-000096070000}"/>
    <cellStyle name="Финансовый 2 2 18" xfId="1935" xr:uid="{00000000-0005-0000-0000-000097070000}"/>
    <cellStyle name="Финансовый 2 2 19" xfId="1936" xr:uid="{00000000-0005-0000-0000-000098070000}"/>
    <cellStyle name="Финансовый 2 2 2" xfId="1937" xr:uid="{00000000-0005-0000-0000-000099070000}"/>
    <cellStyle name="Финансовый 2 2 20" xfId="1938" xr:uid="{00000000-0005-0000-0000-00009A070000}"/>
    <cellStyle name="Финансовый 2 2 21" xfId="1939" xr:uid="{00000000-0005-0000-0000-00009B070000}"/>
    <cellStyle name="Финансовый 2 2 22" xfId="1940" xr:uid="{00000000-0005-0000-0000-00009C070000}"/>
    <cellStyle name="Финансовый 2 2 23" xfId="1941" xr:uid="{00000000-0005-0000-0000-00009D070000}"/>
    <cellStyle name="Финансовый 2 2 24" xfId="1942" xr:uid="{00000000-0005-0000-0000-00009E070000}"/>
    <cellStyle name="Финансовый 2 2 25" xfId="1943" xr:uid="{00000000-0005-0000-0000-00009F070000}"/>
    <cellStyle name="Финансовый 2 2 26" xfId="1944" xr:uid="{00000000-0005-0000-0000-0000A0070000}"/>
    <cellStyle name="Финансовый 2 2 27" xfId="1945" xr:uid="{00000000-0005-0000-0000-0000A1070000}"/>
    <cellStyle name="Финансовый 2 2 28" xfId="1946" xr:uid="{00000000-0005-0000-0000-0000A2070000}"/>
    <cellStyle name="Финансовый 2 2 29" xfId="1947" xr:uid="{00000000-0005-0000-0000-0000A3070000}"/>
    <cellStyle name="Финансовый 2 2 3" xfId="1948" xr:uid="{00000000-0005-0000-0000-0000A4070000}"/>
    <cellStyle name="Финансовый 2 2 30" xfId="1949" xr:uid="{00000000-0005-0000-0000-0000A5070000}"/>
    <cellStyle name="Финансовый 2 2 31" xfId="1950" xr:uid="{00000000-0005-0000-0000-0000A6070000}"/>
    <cellStyle name="Финансовый 2 2 32" xfId="1951" xr:uid="{00000000-0005-0000-0000-0000A7070000}"/>
    <cellStyle name="Финансовый 2 2 33" xfId="1952" xr:uid="{00000000-0005-0000-0000-0000A8070000}"/>
    <cellStyle name="Финансовый 2 2 34" xfId="1953" xr:uid="{00000000-0005-0000-0000-0000A9070000}"/>
    <cellStyle name="Финансовый 2 2 35" xfId="1954" xr:uid="{00000000-0005-0000-0000-0000AA070000}"/>
    <cellStyle name="Финансовый 2 2 36" xfId="1955" xr:uid="{00000000-0005-0000-0000-0000AB070000}"/>
    <cellStyle name="Финансовый 2 2 4" xfId="1956" xr:uid="{00000000-0005-0000-0000-0000AC070000}"/>
    <cellStyle name="Финансовый 2 2 5" xfId="1957" xr:uid="{00000000-0005-0000-0000-0000AD070000}"/>
    <cellStyle name="Финансовый 2 2 6" xfId="1958" xr:uid="{00000000-0005-0000-0000-0000AE070000}"/>
    <cellStyle name="Финансовый 2 2 7" xfId="1959" xr:uid="{00000000-0005-0000-0000-0000AF070000}"/>
    <cellStyle name="Финансовый 2 2 8" xfId="1960" xr:uid="{00000000-0005-0000-0000-0000B0070000}"/>
    <cellStyle name="Финансовый 2 2 9" xfId="1961" xr:uid="{00000000-0005-0000-0000-0000B1070000}"/>
    <cellStyle name="Финансовый 2 20" xfId="1962" xr:uid="{00000000-0005-0000-0000-0000B2070000}"/>
    <cellStyle name="Финансовый 2 21" xfId="1963" xr:uid="{00000000-0005-0000-0000-0000B3070000}"/>
    <cellStyle name="Финансовый 2 22" xfId="1964" xr:uid="{00000000-0005-0000-0000-0000B4070000}"/>
    <cellStyle name="Финансовый 2 23" xfId="1965" xr:uid="{00000000-0005-0000-0000-0000B5070000}"/>
    <cellStyle name="Финансовый 2 24" xfId="1966" xr:uid="{00000000-0005-0000-0000-0000B6070000}"/>
    <cellStyle name="Финансовый 2 25" xfId="1967" xr:uid="{00000000-0005-0000-0000-0000B7070000}"/>
    <cellStyle name="Финансовый 2 26" xfId="1968" xr:uid="{00000000-0005-0000-0000-0000B8070000}"/>
    <cellStyle name="Финансовый 2 27" xfId="1969" xr:uid="{00000000-0005-0000-0000-0000B9070000}"/>
    <cellStyle name="Финансовый 2 28" xfId="1970" xr:uid="{00000000-0005-0000-0000-0000BA070000}"/>
    <cellStyle name="Финансовый 2 29" xfId="1971" xr:uid="{00000000-0005-0000-0000-0000BB070000}"/>
    <cellStyle name="Финансовый 2 3" xfId="1972" xr:uid="{00000000-0005-0000-0000-0000BC070000}"/>
    <cellStyle name="Финансовый 2 30" xfId="1973" xr:uid="{00000000-0005-0000-0000-0000BD070000}"/>
    <cellStyle name="Финансовый 2 31" xfId="1974" xr:uid="{00000000-0005-0000-0000-0000BE070000}"/>
    <cellStyle name="Финансовый 2 32" xfId="1975" xr:uid="{00000000-0005-0000-0000-0000BF070000}"/>
    <cellStyle name="Финансовый 2 33" xfId="1976" xr:uid="{00000000-0005-0000-0000-0000C0070000}"/>
    <cellStyle name="Финансовый 2 34" xfId="1977" xr:uid="{00000000-0005-0000-0000-0000C1070000}"/>
    <cellStyle name="Финансовый 2 35" xfId="1978" xr:uid="{00000000-0005-0000-0000-0000C2070000}"/>
    <cellStyle name="Финансовый 2 36" xfId="1979" xr:uid="{00000000-0005-0000-0000-0000C3070000}"/>
    <cellStyle name="Финансовый 2 4" xfId="1980" xr:uid="{00000000-0005-0000-0000-0000C4070000}"/>
    <cellStyle name="Финансовый 2 5" xfId="1981" xr:uid="{00000000-0005-0000-0000-0000C5070000}"/>
    <cellStyle name="Финансовый 2 6" xfId="1982" xr:uid="{00000000-0005-0000-0000-0000C6070000}"/>
    <cellStyle name="Финансовый 2 7" xfId="1983" xr:uid="{00000000-0005-0000-0000-0000C7070000}"/>
    <cellStyle name="Финансовый 2 8" xfId="1984" xr:uid="{00000000-0005-0000-0000-0000C8070000}"/>
    <cellStyle name="Финансовый 2 9" xfId="1985" xr:uid="{00000000-0005-0000-0000-0000C9070000}"/>
    <cellStyle name="Финансовый 3" xfId="216" xr:uid="{00000000-0005-0000-0000-0000CA070000}"/>
    <cellStyle name="Финансовый 4" xfId="297" xr:uid="{00000000-0005-0000-0000-0000CB070000}"/>
    <cellStyle name="Финансовый 4 2" xfId="298" xr:uid="{00000000-0005-0000-0000-0000CC070000}"/>
    <cellStyle name="Финансовый 5" xfId="2026" xr:uid="{00000000-0005-0000-0000-0000CD070000}"/>
    <cellStyle name="Хороший 10" xfId="1986" xr:uid="{00000000-0005-0000-0000-0000CE070000}"/>
    <cellStyle name="Хороший 11" xfId="1987" xr:uid="{00000000-0005-0000-0000-0000CF070000}"/>
    <cellStyle name="Хороший 12" xfId="1988" xr:uid="{00000000-0005-0000-0000-0000D0070000}"/>
    <cellStyle name="Хороший 13" xfId="1989" xr:uid="{00000000-0005-0000-0000-0000D1070000}"/>
    <cellStyle name="Хороший 14" xfId="1990" xr:uid="{00000000-0005-0000-0000-0000D2070000}"/>
    <cellStyle name="Хороший 15" xfId="1991" xr:uid="{00000000-0005-0000-0000-0000D3070000}"/>
    <cellStyle name="Хороший 16" xfId="1992" xr:uid="{00000000-0005-0000-0000-0000D4070000}"/>
    <cellStyle name="Хороший 17" xfId="1993" xr:uid="{00000000-0005-0000-0000-0000D5070000}"/>
    <cellStyle name="Хороший 18" xfId="1994" xr:uid="{00000000-0005-0000-0000-0000D6070000}"/>
    <cellStyle name="Хороший 19" xfId="1995" xr:uid="{00000000-0005-0000-0000-0000D7070000}"/>
    <cellStyle name="Хороший 2" xfId="1996" xr:uid="{00000000-0005-0000-0000-0000D8070000}"/>
    <cellStyle name="Хороший 20" xfId="1997" xr:uid="{00000000-0005-0000-0000-0000D9070000}"/>
    <cellStyle name="Хороший 21" xfId="1998" xr:uid="{00000000-0005-0000-0000-0000DA070000}"/>
    <cellStyle name="Хороший 22" xfId="1999" xr:uid="{00000000-0005-0000-0000-0000DB070000}"/>
    <cellStyle name="Хороший 23" xfId="2000" xr:uid="{00000000-0005-0000-0000-0000DC070000}"/>
    <cellStyle name="Хороший 24" xfId="2001" xr:uid="{00000000-0005-0000-0000-0000DD070000}"/>
    <cellStyle name="Хороший 25" xfId="2002" xr:uid="{00000000-0005-0000-0000-0000DE070000}"/>
    <cellStyle name="Хороший 26" xfId="2003" xr:uid="{00000000-0005-0000-0000-0000DF070000}"/>
    <cellStyle name="Хороший 27" xfId="2004" xr:uid="{00000000-0005-0000-0000-0000E0070000}"/>
    <cellStyle name="Хороший 28" xfId="2005" xr:uid="{00000000-0005-0000-0000-0000E1070000}"/>
    <cellStyle name="Хороший 29" xfId="2006" xr:uid="{00000000-0005-0000-0000-0000E2070000}"/>
    <cellStyle name="Хороший 3" xfId="2007" xr:uid="{00000000-0005-0000-0000-0000E3070000}"/>
    <cellStyle name="Хороший 30" xfId="2008" xr:uid="{00000000-0005-0000-0000-0000E4070000}"/>
    <cellStyle name="Хороший 31" xfId="2009" xr:uid="{00000000-0005-0000-0000-0000E5070000}"/>
    <cellStyle name="Хороший 32" xfId="2010" xr:uid="{00000000-0005-0000-0000-0000E6070000}"/>
    <cellStyle name="Хороший 33" xfId="2011" xr:uid="{00000000-0005-0000-0000-0000E7070000}"/>
    <cellStyle name="Хороший 34" xfId="2012" xr:uid="{00000000-0005-0000-0000-0000E8070000}"/>
    <cellStyle name="Хороший 35" xfId="2013" xr:uid="{00000000-0005-0000-0000-0000E9070000}"/>
    <cellStyle name="Хороший 36" xfId="2014" xr:uid="{00000000-0005-0000-0000-0000EA070000}"/>
    <cellStyle name="Хороший 4" xfId="2015" xr:uid="{00000000-0005-0000-0000-0000EB070000}"/>
    <cellStyle name="Хороший 5" xfId="2016" xr:uid="{00000000-0005-0000-0000-0000EC070000}"/>
    <cellStyle name="Хороший 6" xfId="2017" xr:uid="{00000000-0005-0000-0000-0000ED070000}"/>
    <cellStyle name="Хороший 7" xfId="2018" xr:uid="{00000000-0005-0000-0000-0000EE070000}"/>
    <cellStyle name="Хороший 8" xfId="2019" xr:uid="{00000000-0005-0000-0000-0000EF070000}"/>
    <cellStyle name="Хороший 9" xfId="2020" xr:uid="{00000000-0005-0000-0000-0000F007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  <pageSetUpPr fitToPage="1"/>
  </sheetPr>
  <dimension ref="A1:AK57"/>
  <sheetViews>
    <sheetView topLeftCell="A48" zoomScale="74" zoomScaleNormal="55" zoomScaleSheetLayoutView="100" workbookViewId="0">
      <selection activeCell="G13" sqref="G13:H13"/>
    </sheetView>
  </sheetViews>
  <sheetFormatPr defaultColWidth="9.109375" defaultRowHeight="17.399999999999999"/>
  <cols>
    <col min="1" max="1" width="6.77734375" style="19" customWidth="1"/>
    <col min="2" max="2" width="10.44140625" style="72" customWidth="1"/>
    <col min="3" max="3" width="15.21875" style="19" customWidth="1"/>
    <col min="4" max="6" width="46.33203125" style="19" customWidth="1"/>
    <col min="7" max="8" width="24.33203125" style="19" customWidth="1"/>
    <col min="9" max="9" width="12.21875" style="19" customWidth="1"/>
    <col min="10" max="16384" width="9.109375" style="19"/>
  </cols>
  <sheetData>
    <row r="1" spans="1:36" ht="37.35" customHeight="1">
      <c r="F1" s="377" t="s">
        <v>18</v>
      </c>
      <c r="G1" s="377"/>
      <c r="H1" s="377"/>
    </row>
    <row r="2" spans="1:36" ht="17.55" customHeight="1">
      <c r="F2" s="378" t="s">
        <v>97</v>
      </c>
      <c r="G2" s="378"/>
      <c r="H2" s="378"/>
    </row>
    <row r="3" spans="1:36" ht="17.55" customHeight="1">
      <c r="F3" s="378" t="s">
        <v>0</v>
      </c>
      <c r="G3" s="378"/>
      <c r="H3" s="378"/>
    </row>
    <row r="6" spans="1:36" ht="75.900000000000006" customHeight="1">
      <c r="A6" s="379" t="s">
        <v>112</v>
      </c>
      <c r="B6" s="379"/>
      <c r="C6" s="379"/>
      <c r="D6" s="379"/>
      <c r="E6" s="379"/>
      <c r="F6" s="379"/>
      <c r="G6" s="379"/>
      <c r="H6" s="379"/>
    </row>
    <row r="7" spans="1:36" ht="18">
      <c r="A7" s="74"/>
      <c r="B7" s="74"/>
      <c r="C7" s="74"/>
      <c r="D7" s="74"/>
      <c r="E7" s="74"/>
      <c r="F7" s="74"/>
    </row>
    <row r="9" spans="1:36">
      <c r="D9" s="73"/>
      <c r="E9" s="73"/>
      <c r="F9" s="73"/>
      <c r="H9" s="73" t="s">
        <v>9</v>
      </c>
    </row>
    <row r="10" spans="1:36" ht="56.4" customHeight="1">
      <c r="A10" s="375" t="s">
        <v>113</v>
      </c>
      <c r="B10" s="375" t="s">
        <v>1</v>
      </c>
      <c r="C10" s="375"/>
      <c r="D10" s="375" t="s">
        <v>114</v>
      </c>
      <c r="E10" s="375" t="s">
        <v>115</v>
      </c>
      <c r="F10" s="375" t="s">
        <v>116</v>
      </c>
      <c r="G10" s="380" t="s">
        <v>26</v>
      </c>
      <c r="H10" s="381"/>
    </row>
    <row r="11" spans="1:36" ht="17.7" customHeight="1">
      <c r="A11" s="375"/>
      <c r="B11" s="375"/>
      <c r="C11" s="375"/>
      <c r="D11" s="375"/>
      <c r="E11" s="375"/>
      <c r="F11" s="375"/>
      <c r="G11" s="375" t="s">
        <v>2</v>
      </c>
      <c r="H11" s="375" t="s">
        <v>3</v>
      </c>
    </row>
    <row r="12" spans="1:36" ht="18">
      <c r="A12" s="375"/>
      <c r="B12" s="75" t="s">
        <v>14</v>
      </c>
      <c r="C12" s="75" t="s">
        <v>15</v>
      </c>
      <c r="D12" s="375"/>
      <c r="E12" s="375"/>
      <c r="F12" s="375"/>
      <c r="G12" s="375"/>
      <c r="H12" s="375"/>
    </row>
    <row r="13" spans="1:36" s="62" customFormat="1" ht="25.05" customHeight="1">
      <c r="A13" s="374" t="s">
        <v>117</v>
      </c>
      <c r="B13" s="374"/>
      <c r="C13" s="374"/>
      <c r="D13" s="374"/>
      <c r="E13" s="374"/>
      <c r="F13" s="374"/>
      <c r="G13" s="8">
        <f>+G15+G50+G54</f>
        <v>0</v>
      </c>
      <c r="H13" s="8">
        <f>+H15+H50+H54</f>
        <v>0</v>
      </c>
      <c r="I13" s="35"/>
      <c r="J13" s="35"/>
      <c r="K13" s="35"/>
      <c r="L13" s="35"/>
      <c r="M13" s="35"/>
      <c r="N13" s="35"/>
      <c r="O13" s="35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</row>
    <row r="14" spans="1:36" s="62" customFormat="1" ht="18">
      <c r="A14" s="376" t="s">
        <v>111</v>
      </c>
      <c r="B14" s="376"/>
      <c r="C14" s="376"/>
      <c r="D14" s="376"/>
      <c r="E14" s="376"/>
      <c r="F14" s="376"/>
      <c r="G14" s="8"/>
      <c r="H14" s="38"/>
      <c r="I14" s="35"/>
      <c r="J14" s="35"/>
      <c r="K14" s="35"/>
      <c r="L14" s="35"/>
      <c r="M14" s="35"/>
      <c r="N14" s="35"/>
      <c r="O14" s="35"/>
      <c r="P14" s="35"/>
      <c r="Q14" s="35"/>
      <c r="R14" s="35"/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/>
      <c r="AH14" s="35"/>
      <c r="AI14" s="35"/>
      <c r="AJ14" s="35"/>
    </row>
    <row r="15" spans="1:36" s="62" customFormat="1" ht="18">
      <c r="A15" s="374" t="s">
        <v>17</v>
      </c>
      <c r="B15" s="374"/>
      <c r="C15" s="374"/>
      <c r="D15" s="374"/>
      <c r="E15" s="374"/>
      <c r="F15" s="374"/>
      <c r="G15" s="8">
        <f>+G16+G19+G23+G26+G28+G30+G35+G38+G42+G44</f>
        <v>2521776</v>
      </c>
      <c r="H15" s="8">
        <f>+H16+H19+H23+H26+H28+H30+H35+H38+H42+H44</f>
        <v>13214638.112999998</v>
      </c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</row>
    <row r="16" spans="1:36" ht="126">
      <c r="A16" s="48"/>
      <c r="B16" s="46">
        <v>1045</v>
      </c>
      <c r="C16" s="57"/>
      <c r="D16" s="57" t="s">
        <v>109</v>
      </c>
      <c r="E16" s="57" t="s">
        <v>124</v>
      </c>
      <c r="F16" s="57" t="s">
        <v>125</v>
      </c>
      <c r="G16" s="126">
        <f>SUM(G17:G18)</f>
        <v>-358486</v>
      </c>
      <c r="H16" s="126">
        <f>SUM(H17:H18)</f>
        <v>-468197.3</v>
      </c>
    </row>
    <row r="17" spans="1:8" ht="121.8">
      <c r="A17" s="48"/>
      <c r="B17" s="36"/>
      <c r="C17" s="48" t="s">
        <v>487</v>
      </c>
      <c r="D17" s="48" t="s">
        <v>488</v>
      </c>
      <c r="E17" s="48" t="s">
        <v>489</v>
      </c>
      <c r="F17" s="48" t="s">
        <v>118</v>
      </c>
      <c r="G17" s="127">
        <f>+'Հավելված N 2'!G270</f>
        <v>-231819.6</v>
      </c>
      <c r="H17" s="127">
        <f>+'Հավելված N 2'!H270</f>
        <v>-207065</v>
      </c>
    </row>
    <row r="18" spans="1:8" ht="87">
      <c r="A18" s="48"/>
      <c r="B18" s="36"/>
      <c r="C18" s="48" t="s">
        <v>214</v>
      </c>
      <c r="D18" s="48" t="s">
        <v>215</v>
      </c>
      <c r="E18" s="48" t="s">
        <v>216</v>
      </c>
      <c r="F18" s="48" t="s">
        <v>118</v>
      </c>
      <c r="G18" s="127">
        <f>+'Հավելված N 2'!G289</f>
        <v>-126666.4</v>
      </c>
      <c r="H18" s="127">
        <f>+'Հավելված N 2'!H289</f>
        <v>-261132.3</v>
      </c>
    </row>
    <row r="19" spans="1:8" ht="72">
      <c r="A19" s="48"/>
      <c r="B19" s="46" t="s">
        <v>490</v>
      </c>
      <c r="C19" s="57"/>
      <c r="D19" s="57" t="s">
        <v>297</v>
      </c>
      <c r="E19" s="57" t="s">
        <v>491</v>
      </c>
      <c r="F19" s="57" t="s">
        <v>492</v>
      </c>
      <c r="G19" s="126">
        <f>SUM(G20:G22)</f>
        <v>80200.5</v>
      </c>
      <c r="H19" s="126">
        <f>SUM(H20:H22)</f>
        <v>21647</v>
      </c>
    </row>
    <row r="20" spans="1:8" ht="104.4">
      <c r="A20" s="48"/>
      <c r="B20" s="36"/>
      <c r="C20" s="48" t="s">
        <v>493</v>
      </c>
      <c r="D20" s="48" t="s">
        <v>494</v>
      </c>
      <c r="E20" s="48" t="s">
        <v>495</v>
      </c>
      <c r="F20" s="48" t="s">
        <v>496</v>
      </c>
      <c r="G20" s="127">
        <f>+'Հավելված N 2'!G128</f>
        <v>19137.199999999997</v>
      </c>
      <c r="H20" s="127">
        <f>+'Հավելված N 2'!H128</f>
        <v>-39416.300000000003</v>
      </c>
    </row>
    <row r="21" spans="1:8" ht="52.2">
      <c r="A21" s="48"/>
      <c r="B21" s="36"/>
      <c r="C21" s="48" t="s">
        <v>497</v>
      </c>
      <c r="D21" s="48" t="s">
        <v>498</v>
      </c>
      <c r="E21" s="48" t="s">
        <v>499</v>
      </c>
      <c r="F21" s="48" t="s">
        <v>118</v>
      </c>
      <c r="G21" s="127">
        <f>+'Հավելված N 2'!G52</f>
        <v>90113.3</v>
      </c>
      <c r="H21" s="127">
        <f>+'Հավելված N 2'!H52</f>
        <v>90113.3</v>
      </c>
    </row>
    <row r="22" spans="1:8" ht="69.599999999999994">
      <c r="A22" s="48"/>
      <c r="B22" s="36"/>
      <c r="C22" s="48" t="s">
        <v>500</v>
      </c>
      <c r="D22" s="48" t="s">
        <v>307</v>
      </c>
      <c r="E22" s="48" t="s">
        <v>501</v>
      </c>
      <c r="F22" s="48" t="s">
        <v>118</v>
      </c>
      <c r="G22" s="127">
        <f>+'Հավելված N 2'!G62</f>
        <v>-29050</v>
      </c>
      <c r="H22" s="127">
        <f>+'Հավելված N 2'!H62</f>
        <v>-29050</v>
      </c>
    </row>
    <row r="23" spans="1:8" ht="108">
      <c r="A23" s="48"/>
      <c r="B23" s="46" t="s">
        <v>502</v>
      </c>
      <c r="C23" s="57"/>
      <c r="D23" s="57" t="s">
        <v>314</v>
      </c>
      <c r="E23" s="57" t="s">
        <v>503</v>
      </c>
      <c r="F23" s="57" t="s">
        <v>504</v>
      </c>
      <c r="G23" s="126">
        <f>SUM(G24:G25)</f>
        <v>166383.40000000002</v>
      </c>
      <c r="H23" s="126">
        <f>SUM(H24:H25)</f>
        <v>166383.40000000002</v>
      </c>
    </row>
    <row r="24" spans="1:8" ht="69.599999999999994">
      <c r="A24" s="48"/>
      <c r="B24" s="36"/>
      <c r="C24" s="48" t="s">
        <v>505</v>
      </c>
      <c r="D24" s="48" t="s">
        <v>477</v>
      </c>
      <c r="E24" s="48" t="s">
        <v>506</v>
      </c>
      <c r="F24" s="48" t="s">
        <v>118</v>
      </c>
      <c r="G24" s="127">
        <f>+'Հավելված N 2'!G300</f>
        <v>163986.40000000002</v>
      </c>
      <c r="H24" s="127">
        <f>+'Հավելված N 2'!H300</f>
        <v>163986.40000000002</v>
      </c>
    </row>
    <row r="25" spans="1:8" ht="104.4">
      <c r="A25" s="48"/>
      <c r="B25" s="36"/>
      <c r="C25" s="48" t="s">
        <v>507</v>
      </c>
      <c r="D25" s="48" t="s">
        <v>508</v>
      </c>
      <c r="E25" s="48" t="s">
        <v>509</v>
      </c>
      <c r="F25" s="48" t="s">
        <v>118</v>
      </c>
      <c r="G25" s="127">
        <f>+'Հավելված N 2'!G310</f>
        <v>2397</v>
      </c>
      <c r="H25" s="127">
        <f>+'Հավելված N 2'!H310</f>
        <v>2397</v>
      </c>
    </row>
    <row r="26" spans="1:8" ht="108">
      <c r="A26" s="48"/>
      <c r="B26" s="46" t="s">
        <v>510</v>
      </c>
      <c r="C26" s="57"/>
      <c r="D26" s="57" t="s">
        <v>511</v>
      </c>
      <c r="E26" s="57" t="s">
        <v>512</v>
      </c>
      <c r="F26" s="57" t="s">
        <v>513</v>
      </c>
      <c r="G26" s="126">
        <f>+G27</f>
        <v>0</v>
      </c>
      <c r="H26" s="126">
        <f>+H27</f>
        <v>5040</v>
      </c>
    </row>
    <row r="27" spans="1:8" ht="87">
      <c r="A27" s="48"/>
      <c r="B27" s="36"/>
      <c r="C27" s="48" t="s">
        <v>514</v>
      </c>
      <c r="D27" s="48" t="s">
        <v>356</v>
      </c>
      <c r="E27" s="48" t="s">
        <v>515</v>
      </c>
      <c r="F27" s="48" t="s">
        <v>516</v>
      </c>
      <c r="G27" s="127">
        <f>+'Հավելված N 2'!G403</f>
        <v>0</v>
      </c>
      <c r="H27" s="127">
        <f>+'Հավելված N 2'!H403</f>
        <v>5040</v>
      </c>
    </row>
    <row r="28" spans="1:8" ht="108">
      <c r="A28" s="48"/>
      <c r="B28" s="46" t="s">
        <v>517</v>
      </c>
      <c r="C28" s="57"/>
      <c r="D28" s="57" t="s">
        <v>447</v>
      </c>
      <c r="E28" s="57" t="s">
        <v>518</v>
      </c>
      <c r="F28" s="57" t="s">
        <v>519</v>
      </c>
      <c r="G28" s="126">
        <f>+G29</f>
        <v>8486.9</v>
      </c>
      <c r="H28" s="126">
        <f>+H29</f>
        <v>20761.400000000001</v>
      </c>
    </row>
    <row r="29" spans="1:8" ht="52.2">
      <c r="A29" s="48"/>
      <c r="B29" s="36"/>
      <c r="C29" s="48" t="s">
        <v>520</v>
      </c>
      <c r="D29" s="48" t="s">
        <v>278</v>
      </c>
      <c r="E29" s="48" t="s">
        <v>521</v>
      </c>
      <c r="F29" s="48" t="s">
        <v>522</v>
      </c>
      <c r="G29" s="127">
        <f>+'Հավելված N 2'!G249</f>
        <v>8486.9</v>
      </c>
      <c r="H29" s="127">
        <f>+'Հավելված N 2'!H249</f>
        <v>20761.400000000001</v>
      </c>
    </row>
    <row r="30" spans="1:8" ht="108">
      <c r="A30" s="48"/>
      <c r="B30" s="46">
        <v>1163</v>
      </c>
      <c r="C30" s="57"/>
      <c r="D30" s="57" t="s">
        <v>93</v>
      </c>
      <c r="E30" s="57" t="s">
        <v>157</v>
      </c>
      <c r="F30" s="57" t="s">
        <v>158</v>
      </c>
      <c r="G30" s="126">
        <f>SUM(G31:G34)</f>
        <v>-872174.6</v>
      </c>
      <c r="H30" s="126">
        <f>SUM(H31:H34)</f>
        <v>-1465250.3000000003</v>
      </c>
    </row>
    <row r="31" spans="1:8" ht="52.2">
      <c r="A31" s="48"/>
      <c r="B31" s="36"/>
      <c r="C31" s="36" t="s">
        <v>523</v>
      </c>
      <c r="D31" s="48" t="s">
        <v>289</v>
      </c>
      <c r="E31" s="48" t="s">
        <v>524</v>
      </c>
      <c r="F31" s="48" t="s">
        <v>525</v>
      </c>
      <c r="G31" s="127">
        <f>+'Հավելված N 2'!G321</f>
        <v>-239793.5</v>
      </c>
      <c r="H31" s="127">
        <f>+'Հավելված N 2'!H321</f>
        <v>-550936.90000000014</v>
      </c>
    </row>
    <row r="32" spans="1:8" ht="104.4">
      <c r="A32" s="48"/>
      <c r="B32" s="36"/>
      <c r="C32" s="36" t="s">
        <v>217</v>
      </c>
      <c r="D32" s="48" t="s">
        <v>197</v>
      </c>
      <c r="E32" s="48" t="s">
        <v>218</v>
      </c>
      <c r="F32" s="48" t="s">
        <v>118</v>
      </c>
      <c r="G32" s="127">
        <f>+'Հավելված N 2'!G337</f>
        <v>-539354.6</v>
      </c>
      <c r="H32" s="127">
        <f>+'Հավելված N 2'!H337</f>
        <v>-621286.79999999993</v>
      </c>
    </row>
    <row r="33" spans="1:8" ht="87">
      <c r="A33" s="48"/>
      <c r="B33" s="36"/>
      <c r="C33" s="36" t="s">
        <v>526</v>
      </c>
      <c r="D33" s="48" t="s">
        <v>398</v>
      </c>
      <c r="E33" s="48" t="s">
        <v>527</v>
      </c>
      <c r="F33" s="48" t="s">
        <v>118</v>
      </c>
      <c r="G33" s="127">
        <f>+'Հավելված N 2'!G26</f>
        <v>-93026.5</v>
      </c>
      <c r="H33" s="127">
        <f>+'Հավելված N 2'!H26</f>
        <v>-93026.599999999991</v>
      </c>
    </row>
    <row r="34" spans="1:8" ht="69.599999999999994">
      <c r="A34" s="48"/>
      <c r="B34" s="36"/>
      <c r="C34" s="36" t="s">
        <v>528</v>
      </c>
      <c r="D34" s="48" t="s">
        <v>393</v>
      </c>
      <c r="E34" s="48" t="s">
        <v>529</v>
      </c>
      <c r="F34" s="48" t="s">
        <v>118</v>
      </c>
      <c r="G34" s="127">
        <f>+'Հավելված N 2'!G35</f>
        <v>0</v>
      </c>
      <c r="H34" s="127">
        <f>+'Հավելված N 2'!H35</f>
        <v>-200000</v>
      </c>
    </row>
    <row r="35" spans="1:8" ht="108">
      <c r="A35" s="48"/>
      <c r="B35" s="46">
        <v>1168</v>
      </c>
      <c r="C35" s="57"/>
      <c r="D35" s="57" t="s">
        <v>153</v>
      </c>
      <c r="E35" s="57" t="s">
        <v>159</v>
      </c>
      <c r="F35" s="57" t="s">
        <v>160</v>
      </c>
      <c r="G35" s="126">
        <f>SUM(G36:G37)</f>
        <v>-171579</v>
      </c>
      <c r="H35" s="126">
        <f>SUM(H36:H37)</f>
        <v>692111.3</v>
      </c>
    </row>
    <row r="36" spans="1:8" ht="121.8">
      <c r="A36" s="48"/>
      <c r="B36" s="36"/>
      <c r="C36" s="36" t="s">
        <v>161</v>
      </c>
      <c r="D36" s="48" t="s">
        <v>151</v>
      </c>
      <c r="E36" s="48" t="s">
        <v>162</v>
      </c>
      <c r="F36" s="48" t="s">
        <v>118</v>
      </c>
      <c r="G36" s="127">
        <f>+'Հավելված N 2'!G98</f>
        <v>-171579</v>
      </c>
      <c r="H36" s="127">
        <f>+'Հավելված N 2'!H98</f>
        <v>-111991.09999999999</v>
      </c>
    </row>
    <row r="37" spans="1:8" ht="69.599999999999994">
      <c r="A37" s="48"/>
      <c r="B37" s="36"/>
      <c r="C37" s="36" t="s">
        <v>530</v>
      </c>
      <c r="D37" s="48" t="s">
        <v>531</v>
      </c>
      <c r="E37" s="48" t="s">
        <v>532</v>
      </c>
      <c r="F37" s="48" t="s">
        <v>118</v>
      </c>
      <c r="G37" s="127">
        <f>+'Հավելված N 2'!G113</f>
        <v>0</v>
      </c>
      <c r="H37" s="127">
        <f>+'Հավելված N 2'!H113</f>
        <v>804102.4</v>
      </c>
    </row>
    <row r="38" spans="1:8" ht="144">
      <c r="A38" s="48"/>
      <c r="B38" s="46">
        <v>1183</v>
      </c>
      <c r="C38" s="57"/>
      <c r="D38" s="57" t="s">
        <v>92</v>
      </c>
      <c r="E38" s="57" t="s">
        <v>126</v>
      </c>
      <c r="F38" s="57" t="s">
        <v>127</v>
      </c>
      <c r="G38" s="128">
        <f>SUM(G39:G41)</f>
        <v>180941.89999999997</v>
      </c>
      <c r="H38" s="128">
        <f>SUM(H39:H41)</f>
        <v>225202.10000000003</v>
      </c>
    </row>
    <row r="39" spans="1:8" ht="104.4">
      <c r="A39" s="48"/>
      <c r="B39" s="36"/>
      <c r="C39" s="36" t="s">
        <v>537</v>
      </c>
      <c r="D39" s="48" t="s">
        <v>284</v>
      </c>
      <c r="E39" s="48" t="s">
        <v>538</v>
      </c>
      <c r="F39" s="48" t="s">
        <v>118</v>
      </c>
      <c r="G39" s="127">
        <f>+'Հավելված N 2'!G350</f>
        <v>303488.09999999998</v>
      </c>
      <c r="H39" s="127">
        <f>+'Հավելված N 2'!H350</f>
        <v>365182</v>
      </c>
    </row>
    <row r="40" spans="1:8" ht="69.599999999999994">
      <c r="A40" s="48"/>
      <c r="B40" s="36"/>
      <c r="C40" s="48" t="s">
        <v>535</v>
      </c>
      <c r="D40" s="48" t="s">
        <v>320</v>
      </c>
      <c r="E40" s="48" t="s">
        <v>536</v>
      </c>
      <c r="F40" s="48" t="s">
        <v>118</v>
      </c>
      <c r="G40" s="127">
        <f>+'Հավելված N 2'!G377</f>
        <v>0</v>
      </c>
      <c r="H40" s="127">
        <f>+'Հավելված N 2'!H377</f>
        <v>13202.9</v>
      </c>
    </row>
    <row r="41" spans="1:8" ht="87">
      <c r="A41" s="48"/>
      <c r="B41" s="36"/>
      <c r="C41" s="36" t="s">
        <v>533</v>
      </c>
      <c r="D41" s="48" t="s">
        <v>408</v>
      </c>
      <c r="E41" s="48" t="s">
        <v>534</v>
      </c>
      <c r="F41" s="48" t="s">
        <v>118</v>
      </c>
      <c r="G41" s="127">
        <f>+'Հավելված N 2'!G386</f>
        <v>-122546.2</v>
      </c>
      <c r="H41" s="127">
        <f>+'Հավելված N 2'!H386</f>
        <v>-153182.79999999999</v>
      </c>
    </row>
    <row r="42" spans="1:8" ht="72">
      <c r="A42" s="48"/>
      <c r="B42" s="46" t="s">
        <v>539</v>
      </c>
      <c r="C42" s="57"/>
      <c r="D42" s="57" t="s">
        <v>540</v>
      </c>
      <c r="E42" s="57" t="s">
        <v>541</v>
      </c>
      <c r="F42" s="57" t="s">
        <v>542</v>
      </c>
      <c r="G42" s="128">
        <f>+G43</f>
        <v>9499.2000000000007</v>
      </c>
      <c r="H42" s="128">
        <f>+H43</f>
        <v>47495.9</v>
      </c>
    </row>
    <row r="43" spans="1:8" ht="69.599999999999994">
      <c r="A43" s="48"/>
      <c r="B43" s="36"/>
      <c r="C43" s="36" t="s">
        <v>543</v>
      </c>
      <c r="D43" s="48" t="s">
        <v>544</v>
      </c>
      <c r="E43" s="48" t="s">
        <v>545</v>
      </c>
      <c r="F43" s="48" t="s">
        <v>525</v>
      </c>
      <c r="G43" s="127">
        <f>+'Հավելված N 2'!G83</f>
        <v>9499.2000000000007</v>
      </c>
      <c r="H43" s="127">
        <f>+'Հավելված N 2'!H83</f>
        <v>47495.9</v>
      </c>
    </row>
    <row r="44" spans="1:8" ht="90">
      <c r="A44" s="48"/>
      <c r="B44" s="46" t="s">
        <v>119</v>
      </c>
      <c r="C44" s="57"/>
      <c r="D44" s="57" t="s">
        <v>120</v>
      </c>
      <c r="E44" s="57" t="s">
        <v>121</v>
      </c>
      <c r="F44" s="57" t="s">
        <v>122</v>
      </c>
      <c r="G44" s="128">
        <f>SUM(G45:G48)</f>
        <v>3478503.7</v>
      </c>
      <c r="H44" s="128">
        <f>SUM(H45:H48)</f>
        <v>13969444.612999998</v>
      </c>
    </row>
    <row r="45" spans="1:8" ht="104.4">
      <c r="A45" s="48"/>
      <c r="B45" s="36"/>
      <c r="C45" s="48" t="s">
        <v>219</v>
      </c>
      <c r="D45" s="48" t="s">
        <v>169</v>
      </c>
      <c r="E45" s="48" t="s">
        <v>220</v>
      </c>
      <c r="F45" s="48" t="s">
        <v>118</v>
      </c>
      <c r="G45" s="127">
        <f>+'Հավելված N 2'!G154</f>
        <v>-252336.89999999997</v>
      </c>
      <c r="H45" s="127">
        <f>+'Հավելված N 2'!H154</f>
        <v>-168168.4</v>
      </c>
    </row>
    <row r="46" spans="1:8" ht="121.8">
      <c r="A46" s="48"/>
      <c r="B46" s="36"/>
      <c r="C46" s="48" t="s">
        <v>221</v>
      </c>
      <c r="D46" s="48" t="s">
        <v>187</v>
      </c>
      <c r="E46" s="48" t="s">
        <v>222</v>
      </c>
      <c r="F46" s="48" t="s">
        <v>118</v>
      </c>
      <c r="G46" s="127">
        <f>+'Հավելված N 2'!G178</f>
        <v>1488479.0999999999</v>
      </c>
      <c r="H46" s="127">
        <f>+'Հավելված N 2'!H178</f>
        <v>6594937.1129999999</v>
      </c>
    </row>
    <row r="47" spans="1:8" ht="104.4">
      <c r="A47" s="48"/>
      <c r="B47" s="36"/>
      <c r="C47" s="48" t="s">
        <v>546</v>
      </c>
      <c r="D47" s="48" t="s">
        <v>436</v>
      </c>
      <c r="E47" s="48" t="s">
        <v>547</v>
      </c>
      <c r="F47" s="48" t="s">
        <v>118</v>
      </c>
      <c r="G47" s="127">
        <f>+'Հավելված N 2'!G201</f>
        <v>3800000</v>
      </c>
      <c r="H47" s="127">
        <f>+'Հավելված N 2'!H201</f>
        <v>9245548.6999999993</v>
      </c>
    </row>
    <row r="48" spans="1:8" ht="121.8">
      <c r="A48" s="48"/>
      <c r="B48" s="36"/>
      <c r="C48" s="364" t="s">
        <v>726</v>
      </c>
      <c r="D48" s="365" t="s">
        <v>663</v>
      </c>
      <c r="E48" s="365" t="s">
        <v>222</v>
      </c>
      <c r="F48" s="365" t="s">
        <v>118</v>
      </c>
      <c r="G48" s="127">
        <f>+'Հավելված N 2'!G219</f>
        <v>-1557638.5000000002</v>
      </c>
      <c r="H48" s="127">
        <f>+'Հավելված N 2'!H219</f>
        <v>-1702872.8</v>
      </c>
    </row>
    <row r="50" spans="1:37" s="62" customFormat="1" ht="18">
      <c r="A50" s="374" t="s">
        <v>731</v>
      </c>
      <c r="B50" s="374"/>
      <c r="C50" s="374"/>
      <c r="D50" s="374"/>
      <c r="E50" s="374"/>
      <c r="F50" s="374"/>
      <c r="G50" s="38">
        <f>+G51</f>
        <v>-2521776</v>
      </c>
      <c r="H50" s="38">
        <f>+H51</f>
        <v>-13214638.112999998</v>
      </c>
      <c r="I50" s="35"/>
      <c r="J50" s="35"/>
      <c r="K50" s="35"/>
      <c r="L50" s="35"/>
      <c r="M50" s="35"/>
      <c r="N50" s="35"/>
      <c r="O50" s="35"/>
      <c r="P50" s="35"/>
      <c r="Q50" s="35"/>
      <c r="R50" s="35"/>
      <c r="S50" s="35"/>
      <c r="T50" s="35"/>
      <c r="U50" s="35"/>
      <c r="V50" s="35"/>
      <c r="W50" s="35"/>
      <c r="X50" s="35"/>
      <c r="Y50" s="35"/>
      <c r="Z50" s="35"/>
      <c r="AA50" s="35"/>
      <c r="AB50" s="35"/>
      <c r="AC50" s="35"/>
      <c r="AD50" s="35"/>
      <c r="AE50" s="35"/>
      <c r="AF50" s="35"/>
      <c r="AG50" s="35"/>
      <c r="AH50" s="35"/>
      <c r="AI50" s="35"/>
      <c r="AJ50" s="35"/>
      <c r="AK50" s="35"/>
    </row>
    <row r="51" spans="1:37" ht="108">
      <c r="A51" s="48"/>
      <c r="B51" s="46">
        <v>1006</v>
      </c>
      <c r="C51" s="57"/>
      <c r="D51" s="57" t="s">
        <v>739</v>
      </c>
      <c r="E51" s="57" t="s">
        <v>740</v>
      </c>
      <c r="F51" s="57" t="s">
        <v>741</v>
      </c>
      <c r="G51" s="307">
        <f>+G52</f>
        <v>-2521776</v>
      </c>
      <c r="H51" s="307">
        <f>+H52</f>
        <v>-13214638.112999998</v>
      </c>
    </row>
    <row r="52" spans="1:37" ht="34.799999999999997">
      <c r="A52" s="48"/>
      <c r="B52" s="36"/>
      <c r="C52" s="48" t="s">
        <v>742</v>
      </c>
      <c r="D52" s="48" t="s">
        <v>743</v>
      </c>
      <c r="E52" s="48" t="s">
        <v>744</v>
      </c>
      <c r="F52" s="48" t="s">
        <v>745</v>
      </c>
      <c r="G52" s="314">
        <f>+'Հավելված N 2'!G424</f>
        <v>-2521776</v>
      </c>
      <c r="H52" s="314">
        <f>+'Հավելված N 2'!H424</f>
        <v>-13214638.112999998</v>
      </c>
    </row>
    <row r="54" spans="1:37" s="62" customFormat="1" ht="18">
      <c r="A54" s="374" t="s">
        <v>123</v>
      </c>
      <c r="B54" s="374"/>
      <c r="C54" s="374"/>
      <c r="D54" s="374"/>
      <c r="E54" s="374"/>
      <c r="F54" s="374"/>
      <c r="G54" s="38">
        <f>+G55</f>
        <v>0</v>
      </c>
      <c r="H54" s="38">
        <f>+H55</f>
        <v>0</v>
      </c>
      <c r="I54" s="35"/>
      <c r="J54" s="35"/>
      <c r="K54" s="35"/>
      <c r="L54" s="35"/>
      <c r="M54" s="35"/>
      <c r="N54" s="35"/>
      <c r="O54" s="35"/>
      <c r="P54" s="35"/>
      <c r="Q54" s="35"/>
      <c r="R54" s="35"/>
      <c r="S54" s="35"/>
      <c r="T54" s="35"/>
      <c r="U54" s="35"/>
      <c r="V54" s="35"/>
      <c r="W54" s="35"/>
      <c r="X54" s="35"/>
      <c r="Y54" s="35"/>
      <c r="Z54" s="35"/>
      <c r="AA54" s="35"/>
      <c r="AB54" s="35"/>
      <c r="AC54" s="35"/>
      <c r="AD54" s="35"/>
      <c r="AE54" s="35"/>
      <c r="AF54" s="35"/>
      <c r="AG54" s="35"/>
      <c r="AH54" s="35"/>
      <c r="AI54" s="35"/>
      <c r="AJ54" s="35"/>
      <c r="AK54" s="35"/>
    </row>
    <row r="55" spans="1:37" ht="72">
      <c r="A55" s="48"/>
      <c r="B55" s="46">
        <v>1139</v>
      </c>
      <c r="C55" s="57"/>
      <c r="D55" s="57" t="s">
        <v>555</v>
      </c>
      <c r="E55" s="57" t="s">
        <v>556</v>
      </c>
      <c r="F55" s="57" t="s">
        <v>557</v>
      </c>
      <c r="G55" s="307">
        <f>+G56+G57</f>
        <v>0</v>
      </c>
      <c r="H55" s="307">
        <f t="shared" ref="H55" si="0">+H56+H57</f>
        <v>0</v>
      </c>
    </row>
    <row r="56" spans="1:37" ht="104.4">
      <c r="A56" s="48"/>
      <c r="B56" s="36"/>
      <c r="C56" s="48" t="s">
        <v>558</v>
      </c>
      <c r="D56" s="48" t="s">
        <v>555</v>
      </c>
      <c r="E56" s="48" t="s">
        <v>559</v>
      </c>
      <c r="F56" s="48" t="s">
        <v>560</v>
      </c>
      <c r="G56" s="314">
        <f>+'Հավելված N 2'!G444</f>
        <v>10883.9</v>
      </c>
      <c r="H56" s="314">
        <f>+'Հավելված N 2'!H444</f>
        <v>23158.400000000001</v>
      </c>
    </row>
    <row r="57" spans="1:37" ht="104.4">
      <c r="A57" s="48"/>
      <c r="B57" s="36"/>
      <c r="C57" s="48" t="s">
        <v>558</v>
      </c>
      <c r="D57" s="48" t="s">
        <v>555</v>
      </c>
      <c r="E57" s="48" t="s">
        <v>559</v>
      </c>
      <c r="F57" s="48" t="s">
        <v>560</v>
      </c>
      <c r="G57" s="314">
        <f>+'Հավելված N 2'!G452</f>
        <v>-10883.9</v>
      </c>
      <c r="H57" s="314">
        <f>+'Հավելված N 2'!H452</f>
        <v>-23158.400000000001</v>
      </c>
    </row>
  </sheetData>
  <mergeCells count="17">
    <mergeCell ref="F1:H1"/>
    <mergeCell ref="F2:H2"/>
    <mergeCell ref="F3:H3"/>
    <mergeCell ref="A6:H6"/>
    <mergeCell ref="A10:A12"/>
    <mergeCell ref="B10:C11"/>
    <mergeCell ref="D10:D12"/>
    <mergeCell ref="E10:E12"/>
    <mergeCell ref="F10:F12"/>
    <mergeCell ref="G10:H10"/>
    <mergeCell ref="A54:F54"/>
    <mergeCell ref="A15:F15"/>
    <mergeCell ref="G11:G12"/>
    <mergeCell ref="H11:H12"/>
    <mergeCell ref="A13:F13"/>
    <mergeCell ref="A14:F14"/>
    <mergeCell ref="A50:F50"/>
  </mergeCells>
  <phoneticPr fontId="91" type="noConversion"/>
  <pageMargins left="0" right="0" top="0" bottom="0" header="0.3" footer="0.3"/>
  <pageSetup paperSize="9" scale="70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92D050"/>
    <pageSetUpPr fitToPage="1"/>
  </sheetPr>
  <dimension ref="A1:I459"/>
  <sheetViews>
    <sheetView tabSelected="1" topLeftCell="A413" zoomScale="81" zoomScaleNormal="74" zoomScaleSheetLayoutView="100" workbookViewId="0">
      <selection activeCell="I427" sqref="I427"/>
    </sheetView>
  </sheetViews>
  <sheetFormatPr defaultColWidth="9.109375" defaultRowHeight="17.399999999999999"/>
  <cols>
    <col min="1" max="3" width="8.109375" style="101" customWidth="1"/>
    <col min="4" max="4" width="11.5546875" style="101" customWidth="1"/>
    <col min="5" max="5" width="13.88671875" style="101" customWidth="1"/>
    <col min="6" max="6" width="62.109375" style="101" customWidth="1"/>
    <col min="7" max="8" width="23.6640625" style="101" customWidth="1"/>
    <col min="9" max="10" width="15" style="101" customWidth="1"/>
    <col min="11" max="16384" width="9.109375" style="101"/>
  </cols>
  <sheetData>
    <row r="1" spans="1:8" s="97" customFormat="1" ht="37.5" customHeight="1">
      <c r="F1" s="377" t="s">
        <v>19</v>
      </c>
      <c r="G1" s="377"/>
      <c r="H1" s="377"/>
    </row>
    <row r="2" spans="1:8" s="20" customFormat="1" ht="17.55" customHeight="1">
      <c r="F2" s="425" t="s">
        <v>97</v>
      </c>
      <c r="G2" s="425"/>
      <c r="H2" s="425"/>
    </row>
    <row r="3" spans="1:8" s="20" customFormat="1" ht="17.55" customHeight="1">
      <c r="F3" s="425" t="s">
        <v>0</v>
      </c>
      <c r="G3" s="425"/>
      <c r="H3" s="425"/>
    </row>
    <row r="4" spans="1:8" ht="13.65" customHeight="1"/>
    <row r="5" spans="1:8" ht="13.65" customHeight="1"/>
    <row r="6" spans="1:8" ht="13.65" customHeight="1"/>
    <row r="7" spans="1:8" s="3" customFormat="1" ht="52.5" customHeight="1">
      <c r="A7" s="426" t="s">
        <v>106</v>
      </c>
      <c r="B7" s="426"/>
      <c r="C7" s="426"/>
      <c r="D7" s="426"/>
      <c r="E7" s="426"/>
      <c r="F7" s="426"/>
      <c r="G7" s="426"/>
      <c r="H7" s="426"/>
    </row>
    <row r="8" spans="1:8" s="3" customFormat="1" ht="18">
      <c r="A8" s="98"/>
      <c r="B8" s="98"/>
      <c r="C8" s="98"/>
      <c r="D8" s="98"/>
      <c r="E8" s="98"/>
      <c r="F8" s="98"/>
      <c r="G8" s="98"/>
      <c r="H8" s="98"/>
    </row>
    <row r="9" spans="1:8" s="3" customFormat="1"/>
    <row r="10" spans="1:8" s="3" customFormat="1">
      <c r="H10" s="20" t="s">
        <v>9</v>
      </c>
    </row>
    <row r="11" spans="1:8" s="10" customFormat="1" ht="53.25" customHeight="1">
      <c r="A11" s="427" t="s">
        <v>10</v>
      </c>
      <c r="B11" s="427"/>
      <c r="C11" s="427"/>
      <c r="D11" s="427" t="s">
        <v>1</v>
      </c>
      <c r="E11" s="427"/>
      <c r="F11" s="427" t="s">
        <v>5</v>
      </c>
      <c r="G11" s="380" t="s">
        <v>26</v>
      </c>
      <c r="H11" s="381"/>
    </row>
    <row r="12" spans="1:8" s="10" customFormat="1" ht="34.799999999999997">
      <c r="A12" s="99" t="s">
        <v>24</v>
      </c>
      <c r="B12" s="99" t="s">
        <v>25</v>
      </c>
      <c r="C12" s="99" t="s">
        <v>11</v>
      </c>
      <c r="D12" s="99" t="s">
        <v>4</v>
      </c>
      <c r="E12" s="99" t="s">
        <v>15</v>
      </c>
      <c r="F12" s="427"/>
      <c r="G12" s="99" t="s">
        <v>2</v>
      </c>
      <c r="H12" s="99" t="s">
        <v>3</v>
      </c>
    </row>
    <row r="13" spans="1:8" s="10" customFormat="1" ht="34.950000000000003" customHeight="1">
      <c r="A13" s="9"/>
      <c r="B13" s="9"/>
      <c r="C13" s="9"/>
      <c r="D13" s="99"/>
      <c r="E13" s="99"/>
      <c r="F13" s="15" t="s">
        <v>8</v>
      </c>
      <c r="G13" s="8">
        <f>+G15+G413+G433</f>
        <v>0</v>
      </c>
      <c r="H13" s="8">
        <f>+H15+H413+H433</f>
        <v>0</v>
      </c>
    </row>
    <row r="14" spans="1:8" s="10" customFormat="1" ht="18">
      <c r="A14" s="9"/>
      <c r="B14" s="9"/>
      <c r="C14" s="9"/>
      <c r="D14" s="99"/>
      <c r="E14" s="99"/>
      <c r="F14" s="9" t="s">
        <v>70</v>
      </c>
      <c r="G14" s="125"/>
      <c r="H14" s="2"/>
    </row>
    <row r="15" spans="1:8" s="10" customFormat="1" ht="36">
      <c r="A15" s="9"/>
      <c r="B15" s="9"/>
      <c r="C15" s="9"/>
      <c r="D15" s="99"/>
      <c r="E15" s="99"/>
      <c r="F15" s="4" t="s">
        <v>17</v>
      </c>
      <c r="G15" s="2">
        <f>+G16+G144</f>
        <v>2521776</v>
      </c>
      <c r="H15" s="2">
        <f>+H16+H144</f>
        <v>13214638.112999998</v>
      </c>
    </row>
    <row r="16" spans="1:8" s="10" customFormat="1" ht="17.55" customHeight="1">
      <c r="A16" s="404" t="s">
        <v>22</v>
      </c>
      <c r="B16" s="420"/>
      <c r="C16" s="25"/>
      <c r="D16" s="28"/>
      <c r="E16" s="25"/>
      <c r="F16" s="16" t="s">
        <v>23</v>
      </c>
      <c r="G16" s="2">
        <f>+G18+G44</f>
        <v>-174905.8</v>
      </c>
      <c r="H16" s="2">
        <f>+H18+H44</f>
        <v>468227.6</v>
      </c>
    </row>
    <row r="17" spans="1:8" s="10" customFormat="1" ht="16.95" customHeight="1">
      <c r="A17" s="405"/>
      <c r="B17" s="422"/>
      <c r="C17" s="26"/>
      <c r="D17" s="29"/>
      <c r="E17" s="26"/>
      <c r="F17" s="17" t="s">
        <v>6</v>
      </c>
      <c r="G17" s="6"/>
      <c r="H17" s="6"/>
    </row>
    <row r="18" spans="1:8" s="10" customFormat="1" ht="18">
      <c r="A18" s="405"/>
      <c r="B18" s="143" t="s">
        <v>83</v>
      </c>
      <c r="C18" s="26"/>
      <c r="D18" s="29"/>
      <c r="E18" s="26"/>
      <c r="F18" s="16" t="s">
        <v>395</v>
      </c>
      <c r="G18" s="6">
        <f>+G20</f>
        <v>-93026.5</v>
      </c>
      <c r="H18" s="6">
        <f>+H20</f>
        <v>-293026.59999999998</v>
      </c>
    </row>
    <row r="19" spans="1:8" s="10" customFormat="1" ht="16.95" customHeight="1">
      <c r="A19" s="405"/>
      <c r="B19" s="144"/>
      <c r="C19" s="26"/>
      <c r="D19" s="29"/>
      <c r="E19" s="26"/>
      <c r="F19" s="17" t="s">
        <v>6</v>
      </c>
      <c r="G19" s="6"/>
      <c r="H19" s="5"/>
    </row>
    <row r="20" spans="1:8" s="10" customFormat="1" ht="18">
      <c r="A20" s="405"/>
      <c r="B20" s="144"/>
      <c r="C20" s="404" t="s">
        <v>83</v>
      </c>
      <c r="D20" s="29"/>
      <c r="E20" s="26"/>
      <c r="F20" s="16" t="s">
        <v>395</v>
      </c>
      <c r="G20" s="6">
        <f>+G22</f>
        <v>-93026.5</v>
      </c>
      <c r="H20" s="6">
        <f>+H22</f>
        <v>-293026.59999999998</v>
      </c>
    </row>
    <row r="21" spans="1:8" s="10" customFormat="1" ht="16.95" customHeight="1">
      <c r="A21" s="405"/>
      <c r="B21" s="144"/>
      <c r="C21" s="405"/>
      <c r="D21" s="29"/>
      <c r="E21" s="26"/>
      <c r="F21" s="17" t="s">
        <v>6</v>
      </c>
      <c r="G21" s="6"/>
      <c r="H21" s="11"/>
    </row>
    <row r="22" spans="1:8" s="10" customFormat="1" ht="34.799999999999997">
      <c r="A22" s="405"/>
      <c r="B22" s="144"/>
      <c r="C22" s="405"/>
      <c r="D22" s="29"/>
      <c r="E22" s="26"/>
      <c r="F22" s="18" t="s">
        <v>12</v>
      </c>
      <c r="G22" s="6">
        <f>+G24</f>
        <v>-93026.5</v>
      </c>
      <c r="H22" s="6">
        <f>+H24</f>
        <v>-293026.59999999998</v>
      </c>
    </row>
    <row r="23" spans="1:8" s="10" customFormat="1" ht="16.95" customHeight="1">
      <c r="A23" s="405"/>
      <c r="B23" s="144"/>
      <c r="C23" s="405"/>
      <c r="D23" s="30"/>
      <c r="E23" s="31"/>
      <c r="F23" s="17" t="s">
        <v>6</v>
      </c>
      <c r="G23" s="6"/>
      <c r="H23" s="11"/>
    </row>
    <row r="24" spans="1:8" s="10" customFormat="1" ht="18" customHeight="1">
      <c r="A24" s="405"/>
      <c r="B24" s="144"/>
      <c r="C24" s="405"/>
      <c r="D24" s="46">
        <v>1163</v>
      </c>
      <c r="E24" s="410" t="s">
        <v>154</v>
      </c>
      <c r="F24" s="394"/>
      <c r="G24" s="2">
        <f>+G26+G35</f>
        <v>-93026.5</v>
      </c>
      <c r="H24" s="2">
        <f>+H26+H35</f>
        <v>-293026.59999999998</v>
      </c>
    </row>
    <row r="25" spans="1:8" s="10" customFormat="1" ht="16.95" customHeight="1">
      <c r="A25" s="405"/>
      <c r="B25" s="144"/>
      <c r="C25" s="405"/>
      <c r="D25" s="417"/>
      <c r="E25" s="49"/>
      <c r="F25" s="37" t="s">
        <v>6</v>
      </c>
      <c r="G25" s="2"/>
      <c r="H25" s="2"/>
    </row>
    <row r="26" spans="1:8" s="10" customFormat="1" ht="36">
      <c r="A26" s="405"/>
      <c r="B26" s="144"/>
      <c r="C26" s="405"/>
      <c r="D26" s="418"/>
      <c r="E26" s="46">
        <v>32003</v>
      </c>
      <c r="F26" s="71" t="s">
        <v>398</v>
      </c>
      <c r="G26" s="12">
        <f>+G28</f>
        <v>-93026.5</v>
      </c>
      <c r="H26" s="12">
        <f>+H28</f>
        <v>-93026.599999999991</v>
      </c>
    </row>
    <row r="27" spans="1:8" s="10" customFormat="1" ht="18">
      <c r="A27" s="405"/>
      <c r="B27" s="144"/>
      <c r="C27" s="405"/>
      <c r="D27" s="418"/>
      <c r="E27" s="139"/>
      <c r="F27" s="37" t="s">
        <v>16</v>
      </c>
      <c r="G27" s="6"/>
      <c r="H27" s="5"/>
    </row>
    <row r="28" spans="1:8" s="13" customFormat="1" ht="36.6" customHeight="1">
      <c r="A28" s="405"/>
      <c r="B28" s="144"/>
      <c r="C28" s="405"/>
      <c r="D28" s="418"/>
      <c r="E28" s="140"/>
      <c r="F28" s="45" t="s">
        <v>12</v>
      </c>
      <c r="G28" s="32">
        <f>+G30</f>
        <v>-93026.5</v>
      </c>
      <c r="H28" s="32">
        <f>+H30</f>
        <v>-93026.599999999991</v>
      </c>
    </row>
    <row r="29" spans="1:8" s="10" customFormat="1" ht="52.2">
      <c r="A29" s="405"/>
      <c r="B29" s="144"/>
      <c r="C29" s="405"/>
      <c r="D29" s="418"/>
      <c r="E29" s="140"/>
      <c r="F29" s="37" t="s">
        <v>13</v>
      </c>
      <c r="G29" s="33"/>
      <c r="H29" s="5"/>
    </row>
    <row r="30" spans="1:8" s="10" customFormat="1" ht="16.95" customHeight="1">
      <c r="A30" s="405"/>
      <c r="B30" s="144"/>
      <c r="C30" s="405"/>
      <c r="D30" s="418"/>
      <c r="E30" s="140"/>
      <c r="F30" s="142" t="s">
        <v>7</v>
      </c>
      <c r="G30" s="6">
        <f t="shared" ref="G30:H33" si="0">+G31</f>
        <v>-93026.5</v>
      </c>
      <c r="H30" s="6">
        <f>+H31</f>
        <v>-93026.599999999991</v>
      </c>
    </row>
    <row r="31" spans="1:8" s="10" customFormat="1" ht="16.95" customHeight="1">
      <c r="A31" s="405"/>
      <c r="B31" s="144"/>
      <c r="C31" s="405"/>
      <c r="D31" s="418"/>
      <c r="E31" s="140"/>
      <c r="F31" s="17" t="s">
        <v>107</v>
      </c>
      <c r="G31" s="7">
        <f t="shared" si="0"/>
        <v>-93026.5</v>
      </c>
      <c r="H31" s="7">
        <f t="shared" si="0"/>
        <v>-93026.599999999991</v>
      </c>
    </row>
    <row r="32" spans="1:8" s="10" customFormat="1" ht="18">
      <c r="A32" s="405"/>
      <c r="B32" s="144"/>
      <c r="C32" s="405"/>
      <c r="D32" s="418"/>
      <c r="E32" s="140"/>
      <c r="F32" s="17" t="s">
        <v>108</v>
      </c>
      <c r="G32" s="7">
        <f>+G33</f>
        <v>-93026.5</v>
      </c>
      <c r="H32" s="7">
        <f>+H33</f>
        <v>-93026.599999999991</v>
      </c>
    </row>
    <row r="33" spans="1:8" s="10" customFormat="1" ht="18">
      <c r="A33" s="405"/>
      <c r="B33" s="144"/>
      <c r="C33" s="405"/>
      <c r="D33" s="418"/>
      <c r="E33" s="140"/>
      <c r="F33" s="17" t="s">
        <v>155</v>
      </c>
      <c r="G33" s="7">
        <f t="shared" si="0"/>
        <v>-93026.5</v>
      </c>
      <c r="H33" s="7">
        <f>+H34</f>
        <v>-93026.599999999991</v>
      </c>
    </row>
    <row r="34" spans="1:8" s="10" customFormat="1" ht="18">
      <c r="A34" s="405"/>
      <c r="B34" s="144"/>
      <c r="C34" s="405"/>
      <c r="D34" s="418"/>
      <c r="E34" s="141"/>
      <c r="F34" s="24" t="s">
        <v>47</v>
      </c>
      <c r="G34" s="7">
        <f>+'Հավելված N 4'!E102</f>
        <v>-93026.5</v>
      </c>
      <c r="H34" s="7">
        <f>+'Հավելված N 4'!F102</f>
        <v>-93026.599999999991</v>
      </c>
    </row>
    <row r="35" spans="1:8" s="10" customFormat="1" ht="54">
      <c r="A35" s="405"/>
      <c r="B35" s="144"/>
      <c r="C35" s="405"/>
      <c r="D35" s="418"/>
      <c r="E35" s="46">
        <v>32006</v>
      </c>
      <c r="F35" s="71" t="s">
        <v>393</v>
      </c>
      <c r="G35" s="12">
        <f>+G37</f>
        <v>0</v>
      </c>
      <c r="H35" s="12">
        <f>+H37</f>
        <v>-200000</v>
      </c>
    </row>
    <row r="36" spans="1:8" s="10" customFormat="1" ht="18">
      <c r="A36" s="405"/>
      <c r="B36" s="144"/>
      <c r="C36" s="405"/>
      <c r="D36" s="418"/>
      <c r="E36" s="139"/>
      <c r="F36" s="37" t="s">
        <v>16</v>
      </c>
      <c r="G36" s="6"/>
      <c r="H36" s="5"/>
    </row>
    <row r="37" spans="1:8" s="13" customFormat="1" ht="36.6" customHeight="1">
      <c r="A37" s="405"/>
      <c r="B37" s="144"/>
      <c r="C37" s="405"/>
      <c r="D37" s="418"/>
      <c r="E37" s="140"/>
      <c r="F37" s="45" t="s">
        <v>168</v>
      </c>
      <c r="G37" s="32">
        <f>+G39</f>
        <v>0</v>
      </c>
      <c r="H37" s="32">
        <f>+H39</f>
        <v>-200000</v>
      </c>
    </row>
    <row r="38" spans="1:8" s="10" customFormat="1" ht="52.2">
      <c r="A38" s="405"/>
      <c r="B38" s="144"/>
      <c r="C38" s="405"/>
      <c r="D38" s="418"/>
      <c r="E38" s="140"/>
      <c r="F38" s="37" t="s">
        <v>13</v>
      </c>
      <c r="G38" s="33"/>
      <c r="H38" s="5"/>
    </row>
    <row r="39" spans="1:8" s="10" customFormat="1" ht="16.95" customHeight="1">
      <c r="A39" s="405"/>
      <c r="B39" s="144"/>
      <c r="C39" s="405"/>
      <c r="D39" s="418"/>
      <c r="E39" s="140"/>
      <c r="F39" s="142" t="s">
        <v>7</v>
      </c>
      <c r="G39" s="6">
        <f t="shared" ref="G39:H42" si="1">+G40</f>
        <v>0</v>
      </c>
      <c r="H39" s="6">
        <f>+H40</f>
        <v>-200000</v>
      </c>
    </row>
    <row r="40" spans="1:8" s="10" customFormat="1" ht="16.95" customHeight="1">
      <c r="A40" s="405"/>
      <c r="B40" s="144"/>
      <c r="C40" s="405"/>
      <c r="D40" s="418"/>
      <c r="E40" s="140"/>
      <c r="F40" s="17" t="s">
        <v>107</v>
      </c>
      <c r="G40" s="7">
        <f t="shared" si="1"/>
        <v>0</v>
      </c>
      <c r="H40" s="7">
        <f t="shared" si="1"/>
        <v>-200000</v>
      </c>
    </row>
    <row r="41" spans="1:8" s="10" customFormat="1" ht="18">
      <c r="A41" s="405"/>
      <c r="B41" s="144"/>
      <c r="C41" s="405"/>
      <c r="D41" s="418"/>
      <c r="E41" s="140"/>
      <c r="F41" s="17" t="s">
        <v>108</v>
      </c>
      <c r="G41" s="7">
        <f>+G42</f>
        <v>0</v>
      </c>
      <c r="H41" s="7">
        <f>+H42</f>
        <v>-200000</v>
      </c>
    </row>
    <row r="42" spans="1:8" s="10" customFormat="1" ht="18">
      <c r="A42" s="405"/>
      <c r="B42" s="144"/>
      <c r="C42" s="405"/>
      <c r="D42" s="418"/>
      <c r="E42" s="140"/>
      <c r="F42" s="17" t="s">
        <v>67</v>
      </c>
      <c r="G42" s="7">
        <f t="shared" si="1"/>
        <v>0</v>
      </c>
      <c r="H42" s="7">
        <f>+H43</f>
        <v>-200000</v>
      </c>
    </row>
    <row r="43" spans="1:8" s="10" customFormat="1" ht="18">
      <c r="A43" s="405"/>
      <c r="B43" s="144"/>
      <c r="C43" s="406"/>
      <c r="D43" s="419"/>
      <c r="E43" s="141"/>
      <c r="F43" s="24" t="s">
        <v>68</v>
      </c>
      <c r="G43" s="7">
        <f>+'Հավելված N 4'!E108</f>
        <v>0</v>
      </c>
      <c r="H43" s="7">
        <f>+'Հավելված N 4'!F108</f>
        <v>-200000</v>
      </c>
    </row>
    <row r="44" spans="1:8" s="10" customFormat="1" ht="18">
      <c r="A44" s="405"/>
      <c r="B44" s="143" t="s">
        <v>65</v>
      </c>
      <c r="C44" s="26"/>
      <c r="D44" s="29"/>
      <c r="E44" s="26"/>
      <c r="F44" s="16" t="s">
        <v>66</v>
      </c>
      <c r="G44" s="6">
        <f>+G46+G77+G92+G122</f>
        <v>-81879.3</v>
      </c>
      <c r="H44" s="6">
        <f>+H46+H77+H92+H122</f>
        <v>761254.2</v>
      </c>
    </row>
    <row r="45" spans="1:8" s="10" customFormat="1" ht="16.95" customHeight="1">
      <c r="A45" s="405"/>
      <c r="B45" s="144"/>
      <c r="C45" s="31"/>
      <c r="D45" s="29"/>
      <c r="E45" s="26"/>
      <c r="F45" s="17" t="s">
        <v>6</v>
      </c>
      <c r="G45" s="6"/>
      <c r="H45" s="5"/>
    </row>
    <row r="46" spans="1:8" s="10" customFormat="1" ht="18">
      <c r="A46" s="405"/>
      <c r="B46" s="144"/>
      <c r="C46" s="143" t="s">
        <v>65</v>
      </c>
      <c r="D46" s="29"/>
      <c r="E46" s="26"/>
      <c r="F46" s="16" t="s">
        <v>310</v>
      </c>
      <c r="G46" s="6">
        <f>+G48</f>
        <v>61063.3</v>
      </c>
      <c r="H46" s="6">
        <f>+H48</f>
        <v>61063.3</v>
      </c>
    </row>
    <row r="47" spans="1:8" s="10" customFormat="1" ht="16.95" customHeight="1">
      <c r="A47" s="405"/>
      <c r="B47" s="144"/>
      <c r="C47" s="144"/>
      <c r="D47" s="29"/>
      <c r="E47" s="26"/>
      <c r="F47" s="17" t="s">
        <v>6</v>
      </c>
      <c r="G47" s="6"/>
      <c r="H47" s="11"/>
    </row>
    <row r="48" spans="1:8" s="10" customFormat="1" ht="34.799999999999997">
      <c r="A48" s="405"/>
      <c r="B48" s="144"/>
      <c r="C48" s="144"/>
      <c r="D48" s="29"/>
      <c r="E48" s="26"/>
      <c r="F48" s="18" t="s">
        <v>12</v>
      </c>
      <c r="G48" s="6">
        <f>+G50</f>
        <v>61063.3</v>
      </c>
      <c r="H48" s="11">
        <f>+H50</f>
        <v>61063.3</v>
      </c>
    </row>
    <row r="49" spans="1:8" s="10" customFormat="1" ht="16.95" customHeight="1">
      <c r="A49" s="405"/>
      <c r="B49" s="144"/>
      <c r="C49" s="144"/>
      <c r="D49" s="30"/>
      <c r="E49" s="31"/>
      <c r="F49" s="17" t="s">
        <v>6</v>
      </c>
      <c r="G49" s="6"/>
      <c r="H49" s="11"/>
    </row>
    <row r="50" spans="1:8" s="10" customFormat="1" ht="18" customHeight="1">
      <c r="A50" s="405"/>
      <c r="B50" s="144"/>
      <c r="C50" s="144"/>
      <c r="D50" s="46">
        <v>1075</v>
      </c>
      <c r="E50" s="410" t="s">
        <v>456</v>
      </c>
      <c r="F50" s="394"/>
      <c r="G50" s="2">
        <f>+G52+G62</f>
        <v>61063.3</v>
      </c>
      <c r="H50" s="2">
        <f>+H52+H62</f>
        <v>61063.3</v>
      </c>
    </row>
    <row r="51" spans="1:8" s="10" customFormat="1" ht="16.95" customHeight="1">
      <c r="A51" s="405"/>
      <c r="B51" s="144"/>
      <c r="C51" s="144"/>
      <c r="D51" s="417"/>
      <c r="E51" s="49"/>
      <c r="F51" s="37" t="s">
        <v>6</v>
      </c>
      <c r="G51" s="2"/>
      <c r="H51" s="2"/>
    </row>
    <row r="52" spans="1:8" s="10" customFormat="1" ht="36">
      <c r="A52" s="405"/>
      <c r="B52" s="144"/>
      <c r="C52" s="144"/>
      <c r="D52" s="418"/>
      <c r="E52" s="46">
        <v>32008</v>
      </c>
      <c r="F52" s="40" t="s">
        <v>466</v>
      </c>
      <c r="G52" s="12">
        <f>+G54</f>
        <v>90113.3</v>
      </c>
      <c r="H52" s="12">
        <f>+H54</f>
        <v>90113.3</v>
      </c>
    </row>
    <row r="53" spans="1:8" s="10" customFormat="1" ht="18">
      <c r="A53" s="405"/>
      <c r="B53" s="144"/>
      <c r="C53" s="144"/>
      <c r="D53" s="418"/>
      <c r="E53" s="139"/>
      <c r="F53" s="37" t="s">
        <v>16</v>
      </c>
      <c r="G53" s="6"/>
      <c r="H53" s="5"/>
    </row>
    <row r="54" spans="1:8" s="13" customFormat="1" ht="36.6" customHeight="1">
      <c r="A54" s="405"/>
      <c r="B54" s="144"/>
      <c r="C54" s="144"/>
      <c r="D54" s="418"/>
      <c r="E54" s="140"/>
      <c r="F54" s="45" t="s">
        <v>12</v>
      </c>
      <c r="G54" s="32">
        <f>+G56</f>
        <v>90113.3</v>
      </c>
      <c r="H54" s="32">
        <f>+H56</f>
        <v>90113.3</v>
      </c>
    </row>
    <row r="55" spans="1:8" s="10" customFormat="1" ht="52.2">
      <c r="A55" s="405"/>
      <c r="B55" s="144"/>
      <c r="C55" s="144"/>
      <c r="D55" s="418"/>
      <c r="E55" s="140"/>
      <c r="F55" s="37" t="s">
        <v>13</v>
      </c>
      <c r="G55" s="33"/>
      <c r="H55" s="5"/>
    </row>
    <row r="56" spans="1:8" s="10" customFormat="1" ht="16.95" customHeight="1">
      <c r="A56" s="405"/>
      <c r="B56" s="144"/>
      <c r="C56" s="144"/>
      <c r="D56" s="418"/>
      <c r="E56" s="140"/>
      <c r="F56" s="142" t="s">
        <v>7</v>
      </c>
      <c r="G56" s="6">
        <f t="shared" ref="G56:H58" si="2">+G57</f>
        <v>90113.3</v>
      </c>
      <c r="H56" s="6">
        <f t="shared" si="2"/>
        <v>90113.3</v>
      </c>
    </row>
    <row r="57" spans="1:8" s="10" customFormat="1" ht="16.95" customHeight="1">
      <c r="A57" s="405"/>
      <c r="B57" s="144"/>
      <c r="C57" s="144"/>
      <c r="D57" s="418"/>
      <c r="E57" s="140"/>
      <c r="F57" s="37" t="s">
        <v>69</v>
      </c>
      <c r="G57" s="292">
        <f t="shared" si="2"/>
        <v>90113.3</v>
      </c>
      <c r="H57" s="292">
        <f t="shared" si="2"/>
        <v>90113.3</v>
      </c>
    </row>
    <row r="58" spans="1:8" s="10" customFormat="1" ht="18">
      <c r="A58" s="405"/>
      <c r="B58" s="144"/>
      <c r="C58" s="144"/>
      <c r="D58" s="418"/>
      <c r="E58" s="140"/>
      <c r="F58" s="37" t="s">
        <v>461</v>
      </c>
      <c r="G58" s="293">
        <f t="shared" si="2"/>
        <v>90113.3</v>
      </c>
      <c r="H58" s="293">
        <f t="shared" si="2"/>
        <v>90113.3</v>
      </c>
    </row>
    <row r="59" spans="1:8" s="10" customFormat="1" ht="34.799999999999997">
      <c r="A59" s="405"/>
      <c r="B59" s="144"/>
      <c r="C59" s="144"/>
      <c r="D59" s="418"/>
      <c r="E59" s="140"/>
      <c r="F59" s="37" t="s">
        <v>467</v>
      </c>
      <c r="G59" s="293">
        <f>+G60+G61</f>
        <v>90113.3</v>
      </c>
      <c r="H59" s="293">
        <f>+H60+H61</f>
        <v>90113.3</v>
      </c>
    </row>
    <row r="60" spans="1:8" s="10" customFormat="1" ht="34.799999999999997">
      <c r="A60" s="405"/>
      <c r="B60" s="144"/>
      <c r="C60" s="144"/>
      <c r="D60" s="418"/>
      <c r="E60" s="140"/>
      <c r="F60" s="291" t="s">
        <v>463</v>
      </c>
      <c r="G60" s="292">
        <f>+H60</f>
        <v>13920</v>
      </c>
      <c r="H60" s="292">
        <f>+'Հավելված N 5'!G23</f>
        <v>13920</v>
      </c>
    </row>
    <row r="61" spans="1:8" s="10" customFormat="1" ht="18">
      <c r="A61" s="405"/>
      <c r="B61" s="144"/>
      <c r="C61" s="144"/>
      <c r="D61" s="418"/>
      <c r="E61" s="140"/>
      <c r="F61" s="291" t="s">
        <v>468</v>
      </c>
      <c r="G61" s="292">
        <f>+H61</f>
        <v>76193.3</v>
      </c>
      <c r="H61" s="292">
        <f>+'Հավելված N 5'!G22</f>
        <v>76193.3</v>
      </c>
    </row>
    <row r="62" spans="1:8" s="10" customFormat="1" ht="18">
      <c r="A62" s="405"/>
      <c r="B62" s="144"/>
      <c r="C62" s="144"/>
      <c r="D62" s="418"/>
      <c r="E62" s="46">
        <v>32012</v>
      </c>
      <c r="F62" s="40" t="s">
        <v>312</v>
      </c>
      <c r="G62" s="12">
        <f>+G64</f>
        <v>-29050</v>
      </c>
      <c r="H62" s="12">
        <f>+H64</f>
        <v>-29050</v>
      </c>
    </row>
    <row r="63" spans="1:8" s="10" customFormat="1" ht="18">
      <c r="A63" s="405"/>
      <c r="B63" s="144"/>
      <c r="C63" s="144"/>
      <c r="D63" s="418"/>
      <c r="E63" s="139"/>
      <c r="F63" s="37" t="s">
        <v>16</v>
      </c>
      <c r="G63" s="6"/>
      <c r="H63" s="5"/>
    </row>
    <row r="64" spans="1:8" s="13" customFormat="1" ht="36.6" customHeight="1">
      <c r="A64" s="405"/>
      <c r="B64" s="144"/>
      <c r="C64" s="144"/>
      <c r="D64" s="418"/>
      <c r="E64" s="140"/>
      <c r="F64" s="45" t="s">
        <v>12</v>
      </c>
      <c r="G64" s="32">
        <f>+G66</f>
        <v>-29050</v>
      </c>
      <c r="H64" s="32">
        <f>+H66</f>
        <v>-29050</v>
      </c>
    </row>
    <row r="65" spans="1:8" s="10" customFormat="1" ht="52.2">
      <c r="A65" s="405"/>
      <c r="B65" s="144"/>
      <c r="C65" s="144"/>
      <c r="D65" s="418"/>
      <c r="E65" s="140"/>
      <c r="F65" s="37" t="s">
        <v>13</v>
      </c>
      <c r="G65" s="33"/>
      <c r="H65" s="5"/>
    </row>
    <row r="66" spans="1:8" s="10" customFormat="1" ht="16.95" customHeight="1">
      <c r="A66" s="405"/>
      <c r="B66" s="144"/>
      <c r="C66" s="144"/>
      <c r="D66" s="418"/>
      <c r="E66" s="140"/>
      <c r="F66" s="142" t="s">
        <v>7</v>
      </c>
      <c r="G66" s="6">
        <f>+G67+G73</f>
        <v>-29050</v>
      </c>
      <c r="H66" s="6">
        <f>+H67+H73</f>
        <v>-29050</v>
      </c>
    </row>
    <row r="67" spans="1:8" s="10" customFormat="1" ht="16.95" customHeight="1">
      <c r="A67" s="405"/>
      <c r="B67" s="144"/>
      <c r="C67" s="144"/>
      <c r="D67" s="418"/>
      <c r="E67" s="140"/>
      <c r="F67" s="37" t="s">
        <v>69</v>
      </c>
      <c r="G67" s="292">
        <f>+G68+G71</f>
        <v>-30010</v>
      </c>
      <c r="H67" s="292">
        <f>+H68+H71</f>
        <v>-30010</v>
      </c>
    </row>
    <row r="68" spans="1:8" s="10" customFormat="1" ht="34.799999999999997">
      <c r="A68" s="405"/>
      <c r="B68" s="144"/>
      <c r="C68" s="144"/>
      <c r="D68" s="418"/>
      <c r="E68" s="140"/>
      <c r="F68" s="118" t="s">
        <v>212</v>
      </c>
      <c r="G68" s="7">
        <f t="shared" ref="G68:H69" si="3">+G69</f>
        <v>-960</v>
      </c>
      <c r="H68" s="7">
        <f t="shared" si="3"/>
        <v>-960</v>
      </c>
    </row>
    <row r="69" spans="1:8" s="10" customFormat="1" ht="34.799999999999997">
      <c r="A69" s="405"/>
      <c r="B69" s="144"/>
      <c r="C69" s="144"/>
      <c r="D69" s="418"/>
      <c r="E69" s="140"/>
      <c r="F69" s="102" t="s">
        <v>213</v>
      </c>
      <c r="G69" s="27">
        <f t="shared" si="3"/>
        <v>-960</v>
      </c>
      <c r="H69" s="27">
        <f t="shared" si="3"/>
        <v>-960</v>
      </c>
    </row>
    <row r="70" spans="1:8" s="10" customFormat="1" ht="18" customHeight="1">
      <c r="A70" s="405"/>
      <c r="B70" s="144"/>
      <c r="C70" s="144"/>
      <c r="D70" s="418"/>
      <c r="E70" s="140"/>
      <c r="F70" s="102" t="s">
        <v>211</v>
      </c>
      <c r="G70" s="27">
        <v>-960</v>
      </c>
      <c r="H70" s="27">
        <v>-960</v>
      </c>
    </row>
    <row r="71" spans="1:8" s="10" customFormat="1" ht="18">
      <c r="A71" s="405"/>
      <c r="B71" s="144"/>
      <c r="C71" s="144"/>
      <c r="D71" s="418"/>
      <c r="E71" s="140"/>
      <c r="F71" s="47" t="s">
        <v>457</v>
      </c>
      <c r="G71" s="293">
        <f t="shared" ref="G71:H71" si="4">+G72</f>
        <v>-29050</v>
      </c>
      <c r="H71" s="292">
        <f t="shared" si="4"/>
        <v>-29050</v>
      </c>
    </row>
    <row r="72" spans="1:8" s="10" customFormat="1" ht="52.2">
      <c r="A72" s="405"/>
      <c r="B72" s="144"/>
      <c r="C72" s="144"/>
      <c r="D72" s="418"/>
      <c r="E72" s="140"/>
      <c r="F72" s="47" t="s">
        <v>458</v>
      </c>
      <c r="G72" s="292">
        <v>-29050</v>
      </c>
      <c r="H72" s="292">
        <v>-29050</v>
      </c>
    </row>
    <row r="73" spans="1:8" s="10" customFormat="1" ht="16.95" customHeight="1">
      <c r="A73" s="405"/>
      <c r="B73" s="144"/>
      <c r="C73" s="144"/>
      <c r="D73" s="418"/>
      <c r="E73" s="140"/>
      <c r="F73" s="17" t="s">
        <v>107</v>
      </c>
      <c r="G73" s="7">
        <f t="shared" ref="G73:H75" si="5">+G74</f>
        <v>960</v>
      </c>
      <c r="H73" s="7">
        <f t="shared" si="5"/>
        <v>960</v>
      </c>
    </row>
    <row r="74" spans="1:8" s="10" customFormat="1" ht="18">
      <c r="A74" s="405"/>
      <c r="B74" s="144"/>
      <c r="C74" s="144"/>
      <c r="D74" s="418"/>
      <c r="E74" s="140"/>
      <c r="F74" s="17" t="s">
        <v>108</v>
      </c>
      <c r="G74" s="7">
        <f>+G75</f>
        <v>960</v>
      </c>
      <c r="H74" s="7">
        <f>+H75</f>
        <v>960</v>
      </c>
    </row>
    <row r="75" spans="1:8" s="10" customFormat="1" ht="18">
      <c r="A75" s="405"/>
      <c r="B75" s="144"/>
      <c r="C75" s="144"/>
      <c r="D75" s="418"/>
      <c r="E75" s="140"/>
      <c r="F75" s="17" t="s">
        <v>67</v>
      </c>
      <c r="G75" s="7">
        <f t="shared" si="5"/>
        <v>960</v>
      </c>
      <c r="H75" s="7">
        <f t="shared" si="5"/>
        <v>960</v>
      </c>
    </row>
    <row r="76" spans="1:8" s="10" customFormat="1" ht="18">
      <c r="A76" s="405"/>
      <c r="B76" s="144"/>
      <c r="C76" s="144"/>
      <c r="D76" s="419"/>
      <c r="E76" s="141"/>
      <c r="F76" s="24" t="s">
        <v>68</v>
      </c>
      <c r="G76" s="7">
        <f>+'Հավելված N 4'!E59</f>
        <v>960</v>
      </c>
      <c r="H76" s="7">
        <f>+'Հավելված N 4'!F59</f>
        <v>960</v>
      </c>
    </row>
    <row r="77" spans="1:8" s="10" customFormat="1" ht="18">
      <c r="A77" s="405"/>
      <c r="B77" s="144"/>
      <c r="C77" s="143" t="s">
        <v>459</v>
      </c>
      <c r="D77" s="29"/>
      <c r="E77" s="26"/>
      <c r="F77" s="16" t="s">
        <v>270</v>
      </c>
      <c r="G77" s="6">
        <f>+G79</f>
        <v>9499.2000000000007</v>
      </c>
      <c r="H77" s="6">
        <f>+H79</f>
        <v>47495.9</v>
      </c>
    </row>
    <row r="78" spans="1:8" s="10" customFormat="1" ht="16.95" customHeight="1">
      <c r="A78" s="405"/>
      <c r="B78" s="144"/>
      <c r="C78" s="144"/>
      <c r="D78" s="29"/>
      <c r="E78" s="26"/>
      <c r="F78" s="17" t="s">
        <v>6</v>
      </c>
      <c r="G78" s="6"/>
      <c r="H78" s="11"/>
    </row>
    <row r="79" spans="1:8" s="10" customFormat="1" ht="34.799999999999997">
      <c r="A79" s="405"/>
      <c r="B79" s="144"/>
      <c r="C79" s="144"/>
      <c r="D79" s="29"/>
      <c r="E79" s="26"/>
      <c r="F79" s="18" t="s">
        <v>12</v>
      </c>
      <c r="G79" s="6">
        <f>+G81</f>
        <v>9499.2000000000007</v>
      </c>
      <c r="H79" s="11">
        <f>+H81</f>
        <v>47495.9</v>
      </c>
    </row>
    <row r="80" spans="1:8" s="10" customFormat="1" ht="16.95" customHeight="1">
      <c r="A80" s="405"/>
      <c r="B80" s="144"/>
      <c r="C80" s="144"/>
      <c r="D80" s="30"/>
      <c r="E80" s="31"/>
      <c r="F80" s="17" t="s">
        <v>6</v>
      </c>
      <c r="G80" s="6"/>
      <c r="H80" s="11"/>
    </row>
    <row r="81" spans="1:8" s="10" customFormat="1" ht="18" customHeight="1">
      <c r="A81" s="405"/>
      <c r="B81" s="144"/>
      <c r="C81" s="144"/>
      <c r="D81" s="46">
        <v>1196</v>
      </c>
      <c r="E81" s="410" t="s">
        <v>460</v>
      </c>
      <c r="F81" s="394"/>
      <c r="G81" s="2">
        <f>+G83</f>
        <v>9499.2000000000007</v>
      </c>
      <c r="H81" s="2">
        <f t="shared" ref="H81" si="6">+H83</f>
        <v>47495.9</v>
      </c>
    </row>
    <row r="82" spans="1:8" s="10" customFormat="1" ht="16.95" customHeight="1">
      <c r="A82" s="405"/>
      <c r="B82" s="144"/>
      <c r="C82" s="144"/>
      <c r="D82" s="417"/>
      <c r="E82" s="49"/>
      <c r="F82" s="37" t="s">
        <v>6</v>
      </c>
      <c r="G82" s="2"/>
      <c r="H82" s="2"/>
    </row>
    <row r="83" spans="1:8" s="10" customFormat="1" ht="54">
      <c r="A83" s="405"/>
      <c r="B83" s="144"/>
      <c r="C83" s="144"/>
      <c r="D83" s="418"/>
      <c r="E83" s="46">
        <v>12001</v>
      </c>
      <c r="F83" s="40" t="s">
        <v>272</v>
      </c>
      <c r="G83" s="12">
        <f>+G85</f>
        <v>9499.2000000000007</v>
      </c>
      <c r="H83" s="12">
        <f>+H85</f>
        <v>47495.9</v>
      </c>
    </row>
    <row r="84" spans="1:8" s="10" customFormat="1" ht="18">
      <c r="A84" s="405"/>
      <c r="B84" s="144"/>
      <c r="C84" s="144"/>
      <c r="D84" s="418"/>
      <c r="E84" s="397"/>
      <c r="F84" s="37" t="s">
        <v>16</v>
      </c>
      <c r="G84" s="6"/>
      <c r="H84" s="5"/>
    </row>
    <row r="85" spans="1:8" s="13" customFormat="1" ht="36.6" customHeight="1">
      <c r="A85" s="405"/>
      <c r="B85" s="144"/>
      <c r="C85" s="144"/>
      <c r="D85" s="418"/>
      <c r="E85" s="398"/>
      <c r="F85" s="45" t="s">
        <v>12</v>
      </c>
      <c r="G85" s="32">
        <f>+G87</f>
        <v>9499.2000000000007</v>
      </c>
      <c r="H85" s="32">
        <f>+H87</f>
        <v>47495.9</v>
      </c>
    </row>
    <row r="86" spans="1:8" s="10" customFormat="1" ht="52.2">
      <c r="A86" s="405"/>
      <c r="B86" s="144"/>
      <c r="C86" s="144"/>
      <c r="D86" s="418"/>
      <c r="E86" s="398"/>
      <c r="F86" s="37" t="s">
        <v>13</v>
      </c>
      <c r="G86" s="33"/>
      <c r="H86" s="5"/>
    </row>
    <row r="87" spans="1:8" s="10" customFormat="1" ht="16.95" customHeight="1">
      <c r="A87" s="405"/>
      <c r="B87" s="144"/>
      <c r="C87" s="144"/>
      <c r="D87" s="418"/>
      <c r="E87" s="398"/>
      <c r="F87" s="142" t="s">
        <v>7</v>
      </c>
      <c r="G87" s="6">
        <f>+G88</f>
        <v>9499.2000000000007</v>
      </c>
      <c r="H87" s="6">
        <f>+H88</f>
        <v>47495.9</v>
      </c>
    </row>
    <row r="88" spans="1:8" s="10" customFormat="1" ht="16.95" customHeight="1">
      <c r="A88" s="405"/>
      <c r="B88" s="144"/>
      <c r="C88" s="144"/>
      <c r="D88" s="418"/>
      <c r="E88" s="398"/>
      <c r="F88" s="17" t="s">
        <v>107</v>
      </c>
      <c r="G88" s="7">
        <f t="shared" ref="G88:H90" si="7">+G89</f>
        <v>9499.2000000000007</v>
      </c>
      <c r="H88" s="7">
        <f t="shared" si="7"/>
        <v>47495.9</v>
      </c>
    </row>
    <row r="89" spans="1:8" s="10" customFormat="1" ht="18">
      <c r="A89" s="405"/>
      <c r="B89" s="144"/>
      <c r="C89" s="144"/>
      <c r="D89" s="418"/>
      <c r="E89" s="398"/>
      <c r="F89" s="17" t="s">
        <v>108</v>
      </c>
      <c r="G89" s="7">
        <f>+G90</f>
        <v>9499.2000000000007</v>
      </c>
      <c r="H89" s="7">
        <f>+H90</f>
        <v>47495.9</v>
      </c>
    </row>
    <row r="90" spans="1:8" s="10" customFormat="1" ht="18">
      <c r="A90" s="405"/>
      <c r="B90" s="144"/>
      <c r="C90" s="144"/>
      <c r="D90" s="418"/>
      <c r="E90" s="398"/>
      <c r="F90" s="17" t="s">
        <v>155</v>
      </c>
      <c r="G90" s="7">
        <f t="shared" si="7"/>
        <v>9499.2000000000007</v>
      </c>
      <c r="H90" s="7">
        <f t="shared" si="7"/>
        <v>47495.9</v>
      </c>
    </row>
    <row r="91" spans="1:8" s="10" customFormat="1" ht="18">
      <c r="A91" s="405"/>
      <c r="B91" s="144"/>
      <c r="C91" s="144"/>
      <c r="D91" s="419"/>
      <c r="E91" s="430"/>
      <c r="F91" s="24" t="s">
        <v>95</v>
      </c>
      <c r="G91" s="7">
        <f>+'Հավելված N 4'!E153</f>
        <v>9499.2000000000007</v>
      </c>
      <c r="H91" s="7">
        <f>+'Հավելված N 4'!F153</f>
        <v>47495.9</v>
      </c>
    </row>
    <row r="92" spans="1:8" s="10" customFormat="1" ht="18">
      <c r="A92" s="405"/>
      <c r="B92" s="144"/>
      <c r="C92" s="143" t="s">
        <v>156</v>
      </c>
      <c r="D92" s="29"/>
      <c r="E92" s="26"/>
      <c r="F92" s="16" t="s">
        <v>150</v>
      </c>
      <c r="G92" s="6">
        <f>+G94</f>
        <v>-171579</v>
      </c>
      <c r="H92" s="6">
        <f>+H94</f>
        <v>692111.3</v>
      </c>
    </row>
    <row r="93" spans="1:8" s="10" customFormat="1" ht="16.95" customHeight="1">
      <c r="A93" s="405"/>
      <c r="B93" s="144"/>
      <c r="C93" s="144"/>
      <c r="D93" s="29"/>
      <c r="E93" s="26"/>
      <c r="F93" s="17" t="s">
        <v>6</v>
      </c>
      <c r="G93" s="6"/>
      <c r="H93" s="11"/>
    </row>
    <row r="94" spans="1:8" s="10" customFormat="1" ht="34.799999999999997">
      <c r="A94" s="405"/>
      <c r="B94" s="144"/>
      <c r="C94" s="144"/>
      <c r="D94" s="29"/>
      <c r="E94" s="26"/>
      <c r="F94" s="18" t="s">
        <v>12</v>
      </c>
      <c r="G94" s="6">
        <f>+G96</f>
        <v>-171579</v>
      </c>
      <c r="H94" s="11">
        <f>+H96</f>
        <v>692111.3</v>
      </c>
    </row>
    <row r="95" spans="1:8" s="10" customFormat="1" ht="16.95" customHeight="1">
      <c r="A95" s="405"/>
      <c r="B95" s="144"/>
      <c r="C95" s="144"/>
      <c r="D95" s="30"/>
      <c r="E95" s="31"/>
      <c r="F95" s="17" t="s">
        <v>6</v>
      </c>
      <c r="G95" s="6"/>
      <c r="H95" s="11"/>
    </row>
    <row r="96" spans="1:8" s="10" customFormat="1" ht="18" customHeight="1">
      <c r="A96" s="405"/>
      <c r="B96" s="144"/>
      <c r="C96" s="144"/>
      <c r="D96" s="46">
        <v>1168</v>
      </c>
      <c r="E96" s="410" t="s">
        <v>153</v>
      </c>
      <c r="F96" s="394"/>
      <c r="G96" s="2">
        <f>+G98+G113</f>
        <v>-171579</v>
      </c>
      <c r="H96" s="2">
        <f>+H98+H113</f>
        <v>692111.3</v>
      </c>
    </row>
    <row r="97" spans="1:8" s="10" customFormat="1" ht="16.95" customHeight="1">
      <c r="A97" s="405"/>
      <c r="B97" s="144"/>
      <c r="C97" s="144"/>
      <c r="D97" s="417"/>
      <c r="E97" s="49"/>
      <c r="F97" s="37" t="s">
        <v>6</v>
      </c>
      <c r="G97" s="2"/>
      <c r="H97" s="2"/>
    </row>
    <row r="98" spans="1:8" s="10" customFormat="1" ht="54">
      <c r="A98" s="405"/>
      <c r="B98" s="144"/>
      <c r="C98" s="144"/>
      <c r="D98" s="418"/>
      <c r="E98" s="46">
        <v>32001</v>
      </c>
      <c r="F98" s="40" t="s">
        <v>152</v>
      </c>
      <c r="G98" s="12">
        <f>+G100</f>
        <v>-171579</v>
      </c>
      <c r="H98" s="12">
        <f>+H100</f>
        <v>-111991.09999999999</v>
      </c>
    </row>
    <row r="99" spans="1:8" s="10" customFormat="1" ht="18">
      <c r="A99" s="405"/>
      <c r="B99" s="144"/>
      <c r="C99" s="144"/>
      <c r="D99" s="418"/>
      <c r="E99" s="397"/>
      <c r="F99" s="37" t="s">
        <v>16</v>
      </c>
      <c r="G99" s="6"/>
      <c r="H99" s="5"/>
    </row>
    <row r="100" spans="1:8" s="13" customFormat="1" ht="36.6" customHeight="1">
      <c r="A100" s="405"/>
      <c r="B100" s="144"/>
      <c r="C100" s="144"/>
      <c r="D100" s="418"/>
      <c r="E100" s="398"/>
      <c r="F100" s="45" t="s">
        <v>12</v>
      </c>
      <c r="G100" s="32">
        <f>+G102</f>
        <v>-171579</v>
      </c>
      <c r="H100" s="32">
        <f>+H102</f>
        <v>-111991.09999999999</v>
      </c>
    </row>
    <row r="101" spans="1:8" s="10" customFormat="1" ht="52.2">
      <c r="A101" s="405"/>
      <c r="B101" s="144"/>
      <c r="C101" s="144"/>
      <c r="D101" s="418"/>
      <c r="E101" s="398"/>
      <c r="F101" s="37" t="s">
        <v>13</v>
      </c>
      <c r="G101" s="33"/>
      <c r="H101" s="5"/>
    </row>
    <row r="102" spans="1:8" s="10" customFormat="1" ht="16.95" customHeight="1">
      <c r="A102" s="405"/>
      <c r="B102" s="144"/>
      <c r="C102" s="144"/>
      <c r="D102" s="418"/>
      <c r="E102" s="398"/>
      <c r="F102" s="142" t="s">
        <v>7</v>
      </c>
      <c r="G102" s="6">
        <f>+G103+G107</f>
        <v>-171579</v>
      </c>
      <c r="H102" s="6">
        <f>+H103+H107</f>
        <v>-111991.09999999999</v>
      </c>
    </row>
    <row r="103" spans="1:8" s="10" customFormat="1" ht="16.95" customHeight="1">
      <c r="A103" s="405"/>
      <c r="B103" s="144"/>
      <c r="C103" s="144"/>
      <c r="D103" s="418"/>
      <c r="E103" s="398"/>
      <c r="F103" s="37" t="s">
        <v>69</v>
      </c>
      <c r="G103" s="293">
        <f>+G104</f>
        <v>16049.300000000001</v>
      </c>
      <c r="H103" s="292">
        <f t="shared" ref="G103:H105" si="8">+H104</f>
        <v>16049.300000000001</v>
      </c>
    </row>
    <row r="104" spans="1:8" s="10" customFormat="1" ht="18">
      <c r="A104" s="405"/>
      <c r="B104" s="144"/>
      <c r="C104" s="144"/>
      <c r="D104" s="418"/>
      <c r="E104" s="398"/>
      <c r="F104" s="37" t="s">
        <v>461</v>
      </c>
      <c r="G104" s="293">
        <f>+G105</f>
        <v>16049.300000000001</v>
      </c>
      <c r="H104" s="292">
        <f>+H105</f>
        <v>16049.300000000001</v>
      </c>
    </row>
    <row r="105" spans="1:8" s="10" customFormat="1" ht="34.799999999999997">
      <c r="A105" s="405"/>
      <c r="B105" s="144"/>
      <c r="C105" s="144"/>
      <c r="D105" s="418"/>
      <c r="E105" s="398"/>
      <c r="F105" s="37" t="s">
        <v>462</v>
      </c>
      <c r="G105" s="293">
        <f t="shared" si="8"/>
        <v>16049.300000000001</v>
      </c>
      <c r="H105" s="292">
        <f t="shared" si="8"/>
        <v>16049.300000000001</v>
      </c>
    </row>
    <row r="106" spans="1:8" s="10" customFormat="1" ht="34.799999999999997">
      <c r="A106" s="405"/>
      <c r="B106" s="144"/>
      <c r="C106" s="144"/>
      <c r="D106" s="418"/>
      <c r="E106" s="398"/>
      <c r="F106" s="291" t="s">
        <v>463</v>
      </c>
      <c r="G106" s="292">
        <f>+H106</f>
        <v>16049.300000000001</v>
      </c>
      <c r="H106" s="292">
        <f>+'Հավելված N 5'!G38</f>
        <v>16049.300000000001</v>
      </c>
    </row>
    <row r="107" spans="1:8" s="10" customFormat="1" ht="16.95" customHeight="1">
      <c r="A107" s="405"/>
      <c r="B107" s="144"/>
      <c r="C107" s="144"/>
      <c r="D107" s="418"/>
      <c r="E107" s="398"/>
      <c r="F107" s="17" t="s">
        <v>107</v>
      </c>
      <c r="G107" s="7">
        <f>+G108</f>
        <v>-187628.3</v>
      </c>
      <c r="H107" s="7">
        <f t="shared" ref="G107:H111" si="9">+H108</f>
        <v>-128040.4</v>
      </c>
    </row>
    <row r="108" spans="1:8" s="10" customFormat="1" ht="18">
      <c r="A108" s="405"/>
      <c r="B108" s="144"/>
      <c r="C108" s="144"/>
      <c r="D108" s="418"/>
      <c r="E108" s="398"/>
      <c r="F108" s="17" t="s">
        <v>108</v>
      </c>
      <c r="G108" s="7">
        <f>+G109+G111</f>
        <v>-187628.3</v>
      </c>
      <c r="H108" s="7">
        <f>+H109+H111</f>
        <v>-128040.4</v>
      </c>
    </row>
    <row r="109" spans="1:8" s="10" customFormat="1" ht="18">
      <c r="A109" s="405"/>
      <c r="B109" s="144"/>
      <c r="C109" s="144"/>
      <c r="D109" s="418"/>
      <c r="E109" s="398"/>
      <c r="F109" s="17" t="s">
        <v>155</v>
      </c>
      <c r="G109" s="7">
        <f t="shared" si="9"/>
        <v>-187628.3</v>
      </c>
      <c r="H109" s="7">
        <f t="shared" si="9"/>
        <v>-148040.4</v>
      </c>
    </row>
    <row r="110" spans="1:8" s="10" customFormat="1" ht="18">
      <c r="A110" s="405"/>
      <c r="B110" s="144"/>
      <c r="C110" s="144"/>
      <c r="D110" s="418"/>
      <c r="E110" s="398"/>
      <c r="F110" s="24" t="s">
        <v>95</v>
      </c>
      <c r="G110" s="7">
        <f>+'Հավելված N 4'!E117+'Հավելված N 4'!E120</f>
        <v>-187628.3</v>
      </c>
      <c r="H110" s="7">
        <f>+'Հավելված N 4'!F117+'Հավելված N 4'!F120</f>
        <v>-148040.4</v>
      </c>
    </row>
    <row r="111" spans="1:8" s="10" customFormat="1" ht="18">
      <c r="A111" s="405"/>
      <c r="B111" s="144"/>
      <c r="C111" s="144"/>
      <c r="D111" s="418"/>
      <c r="E111" s="398"/>
      <c r="F111" s="17" t="s">
        <v>67</v>
      </c>
      <c r="G111" s="7">
        <f t="shared" si="9"/>
        <v>0</v>
      </c>
      <c r="H111" s="7">
        <f t="shared" si="9"/>
        <v>20000</v>
      </c>
    </row>
    <row r="112" spans="1:8" s="10" customFormat="1" ht="18">
      <c r="A112" s="405"/>
      <c r="B112" s="144"/>
      <c r="C112" s="144"/>
      <c r="D112" s="418"/>
      <c r="E112" s="430"/>
      <c r="F112" s="24" t="s">
        <v>68</v>
      </c>
      <c r="G112" s="7">
        <f>+'Հավելված N 4'!E118</f>
        <v>0</v>
      </c>
      <c r="H112" s="7">
        <f>+'Հավելված N 4'!F118</f>
        <v>20000</v>
      </c>
    </row>
    <row r="113" spans="1:8" s="10" customFormat="1" ht="36">
      <c r="A113" s="405"/>
      <c r="B113" s="144"/>
      <c r="C113" s="144"/>
      <c r="D113" s="418"/>
      <c r="E113" s="46">
        <v>32007</v>
      </c>
      <c r="F113" s="57" t="s">
        <v>250</v>
      </c>
      <c r="G113" s="12">
        <f>+G115</f>
        <v>0</v>
      </c>
      <c r="H113" s="12">
        <f>+H115</f>
        <v>804102.4</v>
      </c>
    </row>
    <row r="114" spans="1:8" s="10" customFormat="1" ht="18">
      <c r="A114" s="405"/>
      <c r="B114" s="144"/>
      <c r="C114" s="144"/>
      <c r="D114" s="418"/>
      <c r="E114" s="397"/>
      <c r="F114" s="37" t="s">
        <v>16</v>
      </c>
      <c r="G114" s="6"/>
      <c r="H114" s="5"/>
    </row>
    <row r="115" spans="1:8" s="13" customFormat="1" ht="36.6" customHeight="1">
      <c r="A115" s="405"/>
      <c r="B115" s="144"/>
      <c r="C115" s="144"/>
      <c r="D115" s="418"/>
      <c r="E115" s="398"/>
      <c r="F115" s="45" t="s">
        <v>12</v>
      </c>
      <c r="G115" s="32">
        <f>+G117</f>
        <v>0</v>
      </c>
      <c r="H115" s="32">
        <f>+H117</f>
        <v>804102.4</v>
      </c>
    </row>
    <row r="116" spans="1:8" s="10" customFormat="1" ht="52.2">
      <c r="A116" s="405"/>
      <c r="B116" s="144"/>
      <c r="C116" s="144"/>
      <c r="D116" s="418"/>
      <c r="E116" s="398"/>
      <c r="F116" s="37" t="s">
        <v>13</v>
      </c>
      <c r="G116" s="33"/>
      <c r="H116" s="5"/>
    </row>
    <row r="117" spans="1:8" s="10" customFormat="1" ht="16.95" customHeight="1">
      <c r="A117" s="405"/>
      <c r="B117" s="144"/>
      <c r="C117" s="144"/>
      <c r="D117" s="418"/>
      <c r="E117" s="398"/>
      <c r="F117" s="142" t="s">
        <v>7</v>
      </c>
      <c r="G117" s="6">
        <f t="shared" ref="G117:H119" si="10">+G118</f>
        <v>0</v>
      </c>
      <c r="H117" s="6">
        <f t="shared" si="10"/>
        <v>804102.4</v>
      </c>
    </row>
    <row r="118" spans="1:8" s="10" customFormat="1" ht="16.95" customHeight="1">
      <c r="A118" s="405"/>
      <c r="B118" s="144"/>
      <c r="C118" s="144"/>
      <c r="D118" s="418"/>
      <c r="E118" s="398"/>
      <c r="F118" s="17" t="s">
        <v>107</v>
      </c>
      <c r="G118" s="7">
        <f t="shared" si="10"/>
        <v>0</v>
      </c>
      <c r="H118" s="7">
        <f t="shared" si="10"/>
        <v>804102.4</v>
      </c>
    </row>
    <row r="119" spans="1:8" s="10" customFormat="1" ht="18">
      <c r="A119" s="405"/>
      <c r="B119" s="144"/>
      <c r="C119" s="144"/>
      <c r="D119" s="418"/>
      <c r="E119" s="398"/>
      <c r="F119" s="17" t="s">
        <v>108</v>
      </c>
      <c r="G119" s="7">
        <f t="shared" si="10"/>
        <v>0</v>
      </c>
      <c r="H119" s="7">
        <f t="shared" si="10"/>
        <v>804102.4</v>
      </c>
    </row>
    <row r="120" spans="1:8" s="10" customFormat="1" ht="18">
      <c r="A120" s="405"/>
      <c r="B120" s="144"/>
      <c r="C120" s="144"/>
      <c r="D120" s="418"/>
      <c r="E120" s="398"/>
      <c r="F120" s="102" t="s">
        <v>464</v>
      </c>
      <c r="G120" s="7">
        <f t="shared" ref="G120:H120" si="11">+G121</f>
        <v>0</v>
      </c>
      <c r="H120" s="7">
        <f t="shared" si="11"/>
        <v>804102.4</v>
      </c>
    </row>
    <row r="121" spans="1:8" s="10" customFormat="1" ht="18">
      <c r="A121" s="405"/>
      <c r="B121" s="144"/>
      <c r="C121" s="144"/>
      <c r="D121" s="419"/>
      <c r="E121" s="430"/>
      <c r="F121" s="102" t="s">
        <v>465</v>
      </c>
      <c r="G121" s="7">
        <f>+'Հավելված N 4'!E123</f>
        <v>0</v>
      </c>
      <c r="H121" s="7">
        <f>+'Հավելված N 4'!F123</f>
        <v>804102.4</v>
      </c>
    </row>
    <row r="122" spans="1:8" s="10" customFormat="1" ht="36">
      <c r="A122" s="405"/>
      <c r="B122" s="144"/>
      <c r="C122" s="143" t="s">
        <v>472</v>
      </c>
      <c r="D122" s="29"/>
      <c r="E122" s="26"/>
      <c r="F122" s="16" t="s">
        <v>346</v>
      </c>
      <c r="G122" s="6">
        <f>+G124</f>
        <v>19137.199999999997</v>
      </c>
      <c r="H122" s="6">
        <f>+H124</f>
        <v>-39416.300000000003</v>
      </c>
    </row>
    <row r="123" spans="1:8" s="10" customFormat="1" ht="16.95" customHeight="1">
      <c r="A123" s="405"/>
      <c r="B123" s="144"/>
      <c r="C123" s="144"/>
      <c r="D123" s="29"/>
      <c r="E123" s="26"/>
      <c r="F123" s="17" t="s">
        <v>6</v>
      </c>
      <c r="G123" s="6"/>
      <c r="H123" s="11"/>
    </row>
    <row r="124" spans="1:8" s="10" customFormat="1" ht="34.799999999999997">
      <c r="A124" s="405"/>
      <c r="B124" s="144"/>
      <c r="C124" s="144"/>
      <c r="D124" s="29"/>
      <c r="E124" s="26"/>
      <c r="F124" s="18" t="s">
        <v>12</v>
      </c>
      <c r="G124" s="6">
        <f>+G126</f>
        <v>19137.199999999997</v>
      </c>
      <c r="H124" s="11">
        <f>+H126</f>
        <v>-39416.300000000003</v>
      </c>
    </row>
    <row r="125" spans="1:8" s="10" customFormat="1" ht="16.95" customHeight="1">
      <c r="A125" s="405"/>
      <c r="B125" s="144"/>
      <c r="C125" s="144"/>
      <c r="D125" s="30"/>
      <c r="E125" s="31"/>
      <c r="F125" s="17" t="s">
        <v>6</v>
      </c>
      <c r="G125" s="6"/>
      <c r="H125" s="11"/>
    </row>
    <row r="126" spans="1:8" s="10" customFormat="1" ht="18" customHeight="1">
      <c r="A126" s="405"/>
      <c r="B126" s="144"/>
      <c r="C126" s="144"/>
      <c r="D126" s="46">
        <v>1075</v>
      </c>
      <c r="E126" s="410" t="s">
        <v>456</v>
      </c>
      <c r="F126" s="394"/>
      <c r="G126" s="2">
        <f>+G128</f>
        <v>19137.199999999997</v>
      </c>
      <c r="H126" s="2">
        <f t="shared" ref="H126" si="12">+H128</f>
        <v>-39416.300000000003</v>
      </c>
    </row>
    <row r="127" spans="1:8" s="10" customFormat="1" ht="16.95" customHeight="1">
      <c r="A127" s="405"/>
      <c r="B127" s="144"/>
      <c r="C127" s="144"/>
      <c r="D127" s="417"/>
      <c r="E127" s="49"/>
      <c r="F127" s="37" t="s">
        <v>6</v>
      </c>
      <c r="G127" s="2"/>
      <c r="H127" s="2"/>
    </row>
    <row r="128" spans="1:8" s="10" customFormat="1" ht="36">
      <c r="A128" s="405"/>
      <c r="B128" s="144"/>
      <c r="C128" s="144"/>
      <c r="D128" s="418"/>
      <c r="E128" s="46">
        <v>21001</v>
      </c>
      <c r="F128" s="71" t="s">
        <v>298</v>
      </c>
      <c r="G128" s="12">
        <f>+G130</f>
        <v>19137.199999999997</v>
      </c>
      <c r="H128" s="12">
        <f>+H130</f>
        <v>-39416.300000000003</v>
      </c>
    </row>
    <row r="129" spans="1:8" s="10" customFormat="1" ht="18">
      <c r="A129" s="405"/>
      <c r="B129" s="144"/>
      <c r="C129" s="144"/>
      <c r="D129" s="418"/>
      <c r="E129" s="397"/>
      <c r="F129" s="37" t="s">
        <v>16</v>
      </c>
      <c r="G129" s="6"/>
      <c r="H129" s="5"/>
    </row>
    <row r="130" spans="1:8" s="13" customFormat="1" ht="36.6" customHeight="1">
      <c r="A130" s="405"/>
      <c r="B130" s="144"/>
      <c r="C130" s="144"/>
      <c r="D130" s="418"/>
      <c r="E130" s="398"/>
      <c r="F130" s="45" t="s">
        <v>12</v>
      </c>
      <c r="G130" s="32">
        <f>+G132</f>
        <v>19137.199999999997</v>
      </c>
      <c r="H130" s="32">
        <f>+H132</f>
        <v>-39416.300000000003</v>
      </c>
    </row>
    <row r="131" spans="1:8" s="10" customFormat="1" ht="52.2">
      <c r="A131" s="405"/>
      <c r="B131" s="144"/>
      <c r="C131" s="144"/>
      <c r="D131" s="418"/>
      <c r="E131" s="398"/>
      <c r="F131" s="37" t="s">
        <v>13</v>
      </c>
      <c r="G131" s="33"/>
      <c r="H131" s="5"/>
    </row>
    <row r="132" spans="1:8" s="10" customFormat="1" ht="16.95" customHeight="1">
      <c r="A132" s="405"/>
      <c r="B132" s="144"/>
      <c r="C132" s="144"/>
      <c r="D132" s="418"/>
      <c r="E132" s="398"/>
      <c r="F132" s="142" t="s">
        <v>7</v>
      </c>
      <c r="G132" s="6">
        <f>+G133+G138</f>
        <v>19137.199999999997</v>
      </c>
      <c r="H132" s="6">
        <f>+H133+H138</f>
        <v>-39416.300000000003</v>
      </c>
    </row>
    <row r="133" spans="1:8" s="10" customFormat="1" ht="16.95" customHeight="1">
      <c r="A133" s="405"/>
      <c r="B133" s="144"/>
      <c r="C133" s="144"/>
      <c r="D133" s="418"/>
      <c r="E133" s="398"/>
      <c r="F133" s="37" t="s">
        <v>69</v>
      </c>
      <c r="G133" s="293">
        <f>+G134</f>
        <v>71950.7</v>
      </c>
      <c r="H133" s="292">
        <f t="shared" ref="H133" si="13">+H134</f>
        <v>71950.7</v>
      </c>
    </row>
    <row r="134" spans="1:8" s="10" customFormat="1" ht="18">
      <c r="A134" s="405"/>
      <c r="B134" s="144"/>
      <c r="C134" s="144"/>
      <c r="D134" s="418"/>
      <c r="E134" s="398"/>
      <c r="F134" s="37" t="s">
        <v>461</v>
      </c>
      <c r="G134" s="293">
        <f>+G135</f>
        <v>71950.7</v>
      </c>
      <c r="H134" s="292">
        <f>+H135</f>
        <v>71950.7</v>
      </c>
    </row>
    <row r="135" spans="1:8" s="10" customFormat="1" ht="34.799999999999997">
      <c r="A135" s="405"/>
      <c r="B135" s="144"/>
      <c r="C135" s="144"/>
      <c r="D135" s="418"/>
      <c r="E135" s="398"/>
      <c r="F135" s="37" t="s">
        <v>462</v>
      </c>
      <c r="G135" s="293">
        <f>+G136+G137</f>
        <v>71950.7</v>
      </c>
      <c r="H135" s="293">
        <f>+H136+H137</f>
        <v>71950.7</v>
      </c>
    </row>
    <row r="136" spans="1:8" s="10" customFormat="1" ht="34.799999999999997">
      <c r="A136" s="405"/>
      <c r="B136" s="144"/>
      <c r="C136" s="144"/>
      <c r="D136" s="418"/>
      <c r="E136" s="398"/>
      <c r="F136" s="291" t="s">
        <v>463</v>
      </c>
      <c r="G136" s="292">
        <f>+H136</f>
        <v>45700</v>
      </c>
      <c r="H136" s="292">
        <f>+'Հավելված N 5'!G16</f>
        <v>45700</v>
      </c>
    </row>
    <row r="137" spans="1:8" s="10" customFormat="1" ht="18">
      <c r="A137" s="405"/>
      <c r="B137" s="144"/>
      <c r="C137" s="144"/>
      <c r="D137" s="418"/>
      <c r="E137" s="398"/>
      <c r="F137" s="291" t="s">
        <v>468</v>
      </c>
      <c r="G137" s="292">
        <f>+H137</f>
        <v>26250.699999999997</v>
      </c>
      <c r="H137" s="292">
        <f>+'Հավելված N 5'!G15</f>
        <v>26250.699999999997</v>
      </c>
    </row>
    <row r="138" spans="1:8" s="10" customFormat="1" ht="16.95" customHeight="1">
      <c r="A138" s="405"/>
      <c r="B138" s="144"/>
      <c r="C138" s="144"/>
      <c r="D138" s="418"/>
      <c r="E138" s="398"/>
      <c r="F138" s="17" t="s">
        <v>107</v>
      </c>
      <c r="G138" s="7">
        <f t="shared" ref="G138:H142" si="14">+G139</f>
        <v>-52813.5</v>
      </c>
      <c r="H138" s="7">
        <f t="shared" si="14"/>
        <v>-111367</v>
      </c>
    </row>
    <row r="139" spans="1:8" s="10" customFormat="1" ht="18">
      <c r="A139" s="405"/>
      <c r="B139" s="144"/>
      <c r="C139" s="144"/>
      <c r="D139" s="418"/>
      <c r="E139" s="398"/>
      <c r="F139" s="17" t="s">
        <v>108</v>
      </c>
      <c r="G139" s="7">
        <f>+G140+G142</f>
        <v>-52813.5</v>
      </c>
      <c r="H139" s="7">
        <f>+H140+H142</f>
        <v>-111367</v>
      </c>
    </row>
    <row r="140" spans="1:8" s="10" customFormat="1" ht="18">
      <c r="A140" s="405"/>
      <c r="B140" s="144"/>
      <c r="C140" s="144"/>
      <c r="D140" s="418"/>
      <c r="E140" s="398"/>
      <c r="F140" s="17" t="s">
        <v>155</v>
      </c>
      <c r="G140" s="7">
        <f t="shared" si="14"/>
        <v>-37813.5</v>
      </c>
      <c r="H140" s="7">
        <f t="shared" si="14"/>
        <v>-82692</v>
      </c>
    </row>
    <row r="141" spans="1:8" s="10" customFormat="1" ht="18">
      <c r="A141" s="405"/>
      <c r="B141" s="144"/>
      <c r="C141" s="144"/>
      <c r="D141" s="418"/>
      <c r="E141" s="398"/>
      <c r="F141" s="24" t="s">
        <v>95</v>
      </c>
      <c r="G141" s="7">
        <f>+'Հավելված N 4'!E41</f>
        <v>-37813.5</v>
      </c>
      <c r="H141" s="7">
        <f>+'Հավելված N 4'!F41</f>
        <v>-82692</v>
      </c>
    </row>
    <row r="142" spans="1:8" s="10" customFormat="1" ht="18">
      <c r="A142" s="405"/>
      <c r="B142" s="144"/>
      <c r="C142" s="144"/>
      <c r="D142" s="418"/>
      <c r="E142" s="398"/>
      <c r="F142" s="17" t="s">
        <v>67</v>
      </c>
      <c r="G142" s="7">
        <f t="shared" si="14"/>
        <v>-15000</v>
      </c>
      <c r="H142" s="7">
        <f t="shared" si="14"/>
        <v>-28675</v>
      </c>
    </row>
    <row r="143" spans="1:8" s="10" customFormat="1" ht="18">
      <c r="A143" s="406"/>
      <c r="B143" s="144"/>
      <c r="C143" s="144"/>
      <c r="D143" s="419"/>
      <c r="E143" s="430"/>
      <c r="F143" s="24" t="s">
        <v>68</v>
      </c>
      <c r="G143" s="7">
        <f>+'Հավելված N 4'!E49</f>
        <v>-15000</v>
      </c>
      <c r="H143" s="7">
        <f>+'Հավելված N 4'!F49</f>
        <v>-28675</v>
      </c>
    </row>
    <row r="144" spans="1:8" s="10" customFormat="1" ht="17.55" customHeight="1">
      <c r="A144" s="404" t="s">
        <v>81</v>
      </c>
      <c r="B144" s="389"/>
      <c r="C144" s="389"/>
      <c r="D144" s="390"/>
      <c r="E144" s="420"/>
      <c r="F144" s="39" t="s">
        <v>85</v>
      </c>
      <c r="G144" s="38">
        <f>+G146+G170+G241+G262+G395</f>
        <v>2696681.8</v>
      </c>
      <c r="H144" s="38">
        <f>+H146+H170+H241+H262+H395</f>
        <v>12746410.512999998</v>
      </c>
    </row>
    <row r="145" spans="1:8" s="10" customFormat="1" ht="16.95" customHeight="1">
      <c r="A145" s="405"/>
      <c r="B145" s="389"/>
      <c r="C145" s="389"/>
      <c r="D145" s="391"/>
      <c r="E145" s="421"/>
      <c r="F145" s="37" t="s">
        <v>6</v>
      </c>
      <c r="G145" s="44"/>
      <c r="H145" s="306"/>
    </row>
    <row r="146" spans="1:8" s="10" customFormat="1" ht="36">
      <c r="A146" s="405"/>
      <c r="B146" s="382" t="s">
        <v>83</v>
      </c>
      <c r="C146" s="389"/>
      <c r="D146" s="391"/>
      <c r="E146" s="421"/>
      <c r="F146" s="39" t="s">
        <v>210</v>
      </c>
      <c r="G146" s="44">
        <f>+G148</f>
        <v>-252336.89999999997</v>
      </c>
      <c r="H146" s="44">
        <f>+H148</f>
        <v>-168168.4</v>
      </c>
    </row>
    <row r="147" spans="1:8" s="10" customFormat="1" ht="16.95" customHeight="1">
      <c r="A147" s="405"/>
      <c r="B147" s="382"/>
      <c r="C147" s="389"/>
      <c r="D147" s="391"/>
      <c r="E147" s="421"/>
      <c r="F147" s="37" t="s">
        <v>6</v>
      </c>
      <c r="G147" s="44"/>
      <c r="H147" s="44"/>
    </row>
    <row r="148" spans="1:8" s="10" customFormat="1" ht="18">
      <c r="A148" s="405"/>
      <c r="B148" s="382"/>
      <c r="C148" s="382" t="s">
        <v>83</v>
      </c>
      <c r="D148" s="391"/>
      <c r="E148" s="421"/>
      <c r="F148" s="39" t="s">
        <v>182</v>
      </c>
      <c r="G148" s="44">
        <f>+G150</f>
        <v>-252336.89999999997</v>
      </c>
      <c r="H148" s="44">
        <f>+H150</f>
        <v>-168168.4</v>
      </c>
    </row>
    <row r="149" spans="1:8" s="10" customFormat="1" ht="16.95" customHeight="1">
      <c r="A149" s="405"/>
      <c r="B149" s="382"/>
      <c r="C149" s="382"/>
      <c r="D149" s="391"/>
      <c r="E149" s="421"/>
      <c r="F149" s="37" t="s">
        <v>6</v>
      </c>
      <c r="G149" s="44"/>
      <c r="H149" s="44"/>
    </row>
    <row r="150" spans="1:8" s="10" customFormat="1" ht="34.799999999999997">
      <c r="A150" s="405"/>
      <c r="B150" s="382"/>
      <c r="C150" s="382"/>
      <c r="D150" s="391"/>
      <c r="E150" s="421"/>
      <c r="F150" s="43" t="s">
        <v>12</v>
      </c>
      <c r="G150" s="44">
        <f>+G152</f>
        <v>-252336.89999999997</v>
      </c>
      <c r="H150" s="44">
        <f t="shared" ref="H150" si="15">+H152</f>
        <v>-168168.4</v>
      </c>
    </row>
    <row r="151" spans="1:8" s="10" customFormat="1" ht="16.95" customHeight="1">
      <c r="A151" s="405"/>
      <c r="B151" s="382"/>
      <c r="C151" s="382"/>
      <c r="D151" s="400"/>
      <c r="E151" s="422"/>
      <c r="F151" s="37" t="s">
        <v>6</v>
      </c>
      <c r="G151" s="44"/>
      <c r="H151" s="44"/>
    </row>
    <row r="152" spans="1:8" s="10" customFormat="1" ht="39.450000000000003" customHeight="1">
      <c r="A152" s="405"/>
      <c r="B152" s="382"/>
      <c r="C152" s="382"/>
      <c r="D152" s="96">
        <v>1236</v>
      </c>
      <c r="E152" s="395" t="s">
        <v>86</v>
      </c>
      <c r="F152" s="395"/>
      <c r="G152" s="38">
        <f>+G154</f>
        <v>-252336.89999999997</v>
      </c>
      <c r="H152" s="38">
        <f>+H154</f>
        <v>-168168.4</v>
      </c>
    </row>
    <row r="153" spans="1:8" s="10" customFormat="1" ht="16.95" customHeight="1">
      <c r="A153" s="405"/>
      <c r="B153" s="382"/>
      <c r="C153" s="382"/>
      <c r="D153" s="429"/>
      <c r="E153" s="49"/>
      <c r="F153" s="37" t="s">
        <v>6</v>
      </c>
      <c r="G153" s="38"/>
      <c r="H153" s="38"/>
    </row>
    <row r="154" spans="1:8" s="10" customFormat="1" ht="18">
      <c r="A154" s="405"/>
      <c r="B154" s="382"/>
      <c r="C154" s="382"/>
      <c r="D154" s="429"/>
      <c r="E154" s="46">
        <v>32001</v>
      </c>
      <c r="F154" s="40" t="s">
        <v>169</v>
      </c>
      <c r="G154" s="307">
        <f>+G156+G163</f>
        <v>-252336.89999999997</v>
      </c>
      <c r="H154" s="307">
        <f>+H156+H163</f>
        <v>-168168.4</v>
      </c>
    </row>
    <row r="155" spans="1:8" s="10" customFormat="1" ht="18" customHeight="1">
      <c r="A155" s="405"/>
      <c r="B155" s="382"/>
      <c r="C155" s="382"/>
      <c r="D155" s="429"/>
      <c r="E155" s="429"/>
      <c r="F155" s="37" t="s">
        <v>16</v>
      </c>
      <c r="G155" s="44"/>
      <c r="H155" s="306"/>
    </row>
    <row r="156" spans="1:8" s="13" customFormat="1" ht="36.6" customHeight="1">
      <c r="A156" s="405"/>
      <c r="B156" s="382"/>
      <c r="C156" s="382"/>
      <c r="D156" s="429"/>
      <c r="E156" s="429"/>
      <c r="F156" s="45" t="s">
        <v>12</v>
      </c>
      <c r="G156" s="308">
        <f>+G158</f>
        <v>29138</v>
      </c>
      <c r="H156" s="308">
        <f>+H158</f>
        <v>29138</v>
      </c>
    </row>
    <row r="157" spans="1:8" s="10" customFormat="1" ht="52.2">
      <c r="A157" s="405"/>
      <c r="B157" s="382"/>
      <c r="C157" s="382"/>
      <c r="D157" s="429"/>
      <c r="E157" s="429"/>
      <c r="F157" s="37" t="s">
        <v>13</v>
      </c>
      <c r="G157" s="293"/>
      <c r="H157" s="306"/>
    </row>
    <row r="158" spans="1:8" s="10" customFormat="1" ht="16.95" customHeight="1">
      <c r="A158" s="405"/>
      <c r="B158" s="382"/>
      <c r="C158" s="382"/>
      <c r="D158" s="429"/>
      <c r="E158" s="429"/>
      <c r="F158" s="142" t="s">
        <v>7</v>
      </c>
      <c r="G158" s="44">
        <f>+G159</f>
        <v>29138</v>
      </c>
      <c r="H158" s="44">
        <f>+H159</f>
        <v>29138</v>
      </c>
    </row>
    <row r="159" spans="1:8" s="10" customFormat="1" ht="16.95" customHeight="1">
      <c r="A159" s="405"/>
      <c r="B159" s="382"/>
      <c r="C159" s="382"/>
      <c r="D159" s="429"/>
      <c r="E159" s="429"/>
      <c r="F159" s="37" t="s">
        <v>107</v>
      </c>
      <c r="G159" s="293">
        <f t="shared" ref="G159:H161" si="16">+G160</f>
        <v>29138</v>
      </c>
      <c r="H159" s="292">
        <f t="shared" si="16"/>
        <v>29138</v>
      </c>
    </row>
    <row r="160" spans="1:8" s="10" customFormat="1" ht="18" customHeight="1">
      <c r="A160" s="405"/>
      <c r="B160" s="382"/>
      <c r="C160" s="382"/>
      <c r="D160" s="429"/>
      <c r="E160" s="429"/>
      <c r="F160" s="37" t="s">
        <v>108</v>
      </c>
      <c r="G160" s="292">
        <f>+G161</f>
        <v>29138</v>
      </c>
      <c r="H160" s="292">
        <f t="shared" si="16"/>
        <v>29138</v>
      </c>
    </row>
    <row r="161" spans="1:8" s="10" customFormat="1" ht="18" customHeight="1">
      <c r="A161" s="405"/>
      <c r="B161" s="382"/>
      <c r="C161" s="382"/>
      <c r="D161" s="429"/>
      <c r="E161" s="429"/>
      <c r="F161" s="37" t="s">
        <v>155</v>
      </c>
      <c r="G161" s="292">
        <f t="shared" si="16"/>
        <v>29138</v>
      </c>
      <c r="H161" s="292">
        <f t="shared" si="16"/>
        <v>29138</v>
      </c>
    </row>
    <row r="162" spans="1:8" s="10" customFormat="1" ht="18" customHeight="1">
      <c r="A162" s="405"/>
      <c r="B162" s="382"/>
      <c r="C162" s="382"/>
      <c r="D162" s="429"/>
      <c r="E162" s="429"/>
      <c r="F162" s="291" t="s">
        <v>47</v>
      </c>
      <c r="G162" s="292">
        <f>+'Հավելված N 4'!E159</f>
        <v>29138</v>
      </c>
      <c r="H162" s="292">
        <f>+'Հավելված N 4'!F159</f>
        <v>29138</v>
      </c>
    </row>
    <row r="163" spans="1:8" s="13" customFormat="1" ht="36.6" customHeight="1">
      <c r="A163" s="405"/>
      <c r="B163" s="382"/>
      <c r="C163" s="382"/>
      <c r="D163" s="429"/>
      <c r="E163" s="429"/>
      <c r="F163" s="45" t="s">
        <v>168</v>
      </c>
      <c r="G163" s="308">
        <f>+G165</f>
        <v>-281474.89999999997</v>
      </c>
      <c r="H163" s="308">
        <f>+H165</f>
        <v>-197306.4</v>
      </c>
    </row>
    <row r="164" spans="1:8" s="10" customFormat="1" ht="52.2">
      <c r="A164" s="405"/>
      <c r="B164" s="382"/>
      <c r="C164" s="382"/>
      <c r="D164" s="429"/>
      <c r="E164" s="429"/>
      <c r="F164" s="37" t="s">
        <v>13</v>
      </c>
      <c r="G164" s="293"/>
      <c r="H164" s="306"/>
    </row>
    <row r="165" spans="1:8" s="10" customFormat="1" ht="16.95" customHeight="1">
      <c r="A165" s="405"/>
      <c r="B165" s="382"/>
      <c r="C165" s="382"/>
      <c r="D165" s="429"/>
      <c r="E165" s="429"/>
      <c r="F165" s="142" t="s">
        <v>7</v>
      </c>
      <c r="G165" s="44">
        <f>+G166</f>
        <v>-281474.89999999997</v>
      </c>
      <c r="H165" s="44">
        <f>+H166</f>
        <v>-197306.4</v>
      </c>
    </row>
    <row r="166" spans="1:8" s="10" customFormat="1" ht="16.95" customHeight="1">
      <c r="A166" s="405"/>
      <c r="B166" s="382"/>
      <c r="C166" s="382"/>
      <c r="D166" s="429"/>
      <c r="E166" s="429"/>
      <c r="F166" s="37" t="s">
        <v>107</v>
      </c>
      <c r="G166" s="293">
        <f t="shared" ref="G166:H168" si="17">+G167</f>
        <v>-281474.89999999997</v>
      </c>
      <c r="H166" s="292">
        <f t="shared" si="17"/>
        <v>-197306.4</v>
      </c>
    </row>
    <row r="167" spans="1:8" s="10" customFormat="1" ht="18" customHeight="1">
      <c r="A167" s="405"/>
      <c r="B167" s="382"/>
      <c r="C167" s="382"/>
      <c r="D167" s="429"/>
      <c r="E167" s="429"/>
      <c r="F167" s="37" t="s">
        <v>108</v>
      </c>
      <c r="G167" s="292">
        <f>+G168</f>
        <v>-281474.89999999997</v>
      </c>
      <c r="H167" s="292">
        <f t="shared" si="17"/>
        <v>-197306.4</v>
      </c>
    </row>
    <row r="168" spans="1:8" s="10" customFormat="1" ht="18" customHeight="1">
      <c r="A168" s="405"/>
      <c r="B168" s="382"/>
      <c r="C168" s="382"/>
      <c r="D168" s="429"/>
      <c r="E168" s="429"/>
      <c r="F168" s="37" t="s">
        <v>155</v>
      </c>
      <c r="G168" s="292">
        <f t="shared" si="17"/>
        <v>-281474.89999999997</v>
      </c>
      <c r="H168" s="292">
        <f t="shared" si="17"/>
        <v>-197306.4</v>
      </c>
    </row>
    <row r="169" spans="1:8" s="10" customFormat="1" ht="18" customHeight="1">
      <c r="A169" s="405"/>
      <c r="B169" s="382"/>
      <c r="C169" s="382"/>
      <c r="D169" s="429"/>
      <c r="E169" s="429"/>
      <c r="F169" s="291" t="s">
        <v>47</v>
      </c>
      <c r="G169" s="292">
        <f>+'Հավելված N 4'!E163</f>
        <v>-281474.89999999997</v>
      </c>
      <c r="H169" s="292">
        <f>+'Հավելված N 4'!F163</f>
        <v>-197306.4</v>
      </c>
    </row>
    <row r="170" spans="1:8" s="10" customFormat="1" ht="18">
      <c r="A170" s="405"/>
      <c r="B170" s="404" t="s">
        <v>65</v>
      </c>
      <c r="C170" s="382"/>
      <c r="D170" s="429"/>
      <c r="E170" s="429"/>
      <c r="F170" s="39" t="s">
        <v>96</v>
      </c>
      <c r="G170" s="44">
        <f>+G172</f>
        <v>3730840.5999999996</v>
      </c>
      <c r="H170" s="44">
        <f>+H172</f>
        <v>14137613.012999998</v>
      </c>
    </row>
    <row r="171" spans="1:8" s="10" customFormat="1" ht="16.95" customHeight="1">
      <c r="A171" s="405"/>
      <c r="B171" s="405"/>
      <c r="C171" s="382"/>
      <c r="D171" s="429"/>
      <c r="E171" s="429"/>
      <c r="F171" s="37" t="s">
        <v>6</v>
      </c>
      <c r="G171" s="44"/>
      <c r="H171" s="44"/>
    </row>
    <row r="172" spans="1:8" s="10" customFormat="1" ht="18">
      <c r="A172" s="405"/>
      <c r="B172" s="405"/>
      <c r="C172" s="404" t="s">
        <v>83</v>
      </c>
      <c r="D172" s="429"/>
      <c r="E172" s="429"/>
      <c r="F172" s="39" t="s">
        <v>94</v>
      </c>
      <c r="G172" s="44">
        <f>+G174</f>
        <v>3730840.5999999996</v>
      </c>
      <c r="H172" s="44">
        <f>+H174</f>
        <v>14137613.012999998</v>
      </c>
    </row>
    <row r="173" spans="1:8" s="10" customFormat="1" ht="16.95" customHeight="1">
      <c r="A173" s="405"/>
      <c r="B173" s="405"/>
      <c r="C173" s="405"/>
      <c r="D173" s="429"/>
      <c r="E173" s="429"/>
      <c r="F173" s="37" t="s">
        <v>6</v>
      </c>
      <c r="G173" s="44"/>
      <c r="H173" s="44"/>
    </row>
    <row r="174" spans="1:8" s="10" customFormat="1" ht="34.799999999999997">
      <c r="A174" s="405"/>
      <c r="B174" s="405"/>
      <c r="C174" s="405"/>
      <c r="D174" s="429"/>
      <c r="E174" s="429"/>
      <c r="F174" s="43" t="s">
        <v>12</v>
      </c>
      <c r="G174" s="44">
        <f>+G176</f>
        <v>3730840.5999999996</v>
      </c>
      <c r="H174" s="44">
        <f>+H176</f>
        <v>14137613.012999998</v>
      </c>
    </row>
    <row r="175" spans="1:8" s="10" customFormat="1" ht="16.95" customHeight="1">
      <c r="A175" s="405"/>
      <c r="B175" s="405"/>
      <c r="C175" s="405"/>
      <c r="D175" s="429"/>
      <c r="E175" s="429"/>
      <c r="F175" s="37" t="s">
        <v>6</v>
      </c>
      <c r="G175" s="44"/>
      <c r="H175" s="44"/>
    </row>
    <row r="176" spans="1:8" s="10" customFormat="1" ht="39.450000000000003" customHeight="1">
      <c r="A176" s="405"/>
      <c r="B176" s="405"/>
      <c r="C176" s="405"/>
      <c r="D176" s="96">
        <v>1236</v>
      </c>
      <c r="E176" s="395" t="s">
        <v>86</v>
      </c>
      <c r="F176" s="395"/>
      <c r="G176" s="38">
        <f>+G178+G201+G219+G228</f>
        <v>3730840.5999999996</v>
      </c>
      <c r="H176" s="38">
        <f>+H178+H201+H219+H228</f>
        <v>14137613.012999998</v>
      </c>
    </row>
    <row r="177" spans="1:8" s="10" customFormat="1" ht="16.95" customHeight="1">
      <c r="A177" s="405"/>
      <c r="B177" s="405"/>
      <c r="C177" s="405"/>
      <c r="D177" s="417"/>
      <c r="E177" s="49"/>
      <c r="F177" s="37" t="s">
        <v>6</v>
      </c>
      <c r="G177" s="38"/>
      <c r="H177" s="38"/>
    </row>
    <row r="178" spans="1:8" s="10" customFormat="1" ht="18">
      <c r="A178" s="405"/>
      <c r="B178" s="405"/>
      <c r="C178" s="405"/>
      <c r="D178" s="418"/>
      <c r="E178" s="46">
        <v>32003</v>
      </c>
      <c r="F178" s="68" t="s">
        <v>187</v>
      </c>
      <c r="G178" s="307">
        <f>+G180+G192</f>
        <v>1488479.0999999999</v>
      </c>
      <c r="H178" s="307">
        <f>+H180+H192</f>
        <v>6594937.1129999999</v>
      </c>
    </row>
    <row r="179" spans="1:8" s="10" customFormat="1" ht="17.55" customHeight="1">
      <c r="A179" s="405"/>
      <c r="B179" s="405"/>
      <c r="C179" s="405"/>
      <c r="D179" s="418"/>
      <c r="E179" s="423"/>
      <c r="F179" s="37" t="s">
        <v>16</v>
      </c>
      <c r="G179" s="44"/>
      <c r="H179" s="306"/>
    </row>
    <row r="180" spans="1:8" s="13" customFormat="1" ht="36.6" customHeight="1">
      <c r="A180" s="405"/>
      <c r="B180" s="405"/>
      <c r="C180" s="405"/>
      <c r="D180" s="418"/>
      <c r="E180" s="423"/>
      <c r="F180" s="45" t="s">
        <v>12</v>
      </c>
      <c r="G180" s="309">
        <f>+G182</f>
        <v>497662.39999999991</v>
      </c>
      <c r="H180" s="309">
        <f>+H182</f>
        <v>5576939.8130000001</v>
      </c>
    </row>
    <row r="181" spans="1:8" s="10" customFormat="1" ht="52.2">
      <c r="A181" s="405"/>
      <c r="B181" s="405"/>
      <c r="C181" s="405"/>
      <c r="D181" s="418"/>
      <c r="E181" s="423"/>
      <c r="F181" s="37" t="s">
        <v>13</v>
      </c>
      <c r="G181" s="293"/>
      <c r="H181" s="306"/>
    </row>
    <row r="182" spans="1:8" s="10" customFormat="1" ht="16.95" customHeight="1">
      <c r="A182" s="405"/>
      <c r="B182" s="405"/>
      <c r="C182" s="405"/>
      <c r="D182" s="418"/>
      <c r="E182" s="423"/>
      <c r="F182" s="142" t="s">
        <v>7</v>
      </c>
      <c r="G182" s="44">
        <f>+G183+G186</f>
        <v>497662.39999999991</v>
      </c>
      <c r="H182" s="44">
        <f>+H183+H186</f>
        <v>5576939.8130000001</v>
      </c>
    </row>
    <row r="183" spans="1:8" s="10" customFormat="1" ht="16.95" customHeight="1">
      <c r="A183" s="405"/>
      <c r="B183" s="405"/>
      <c r="C183" s="405"/>
      <c r="D183" s="418"/>
      <c r="E183" s="423"/>
      <c r="F183" s="37" t="s">
        <v>69</v>
      </c>
      <c r="G183" s="293">
        <f>+G184</f>
        <v>15005.5</v>
      </c>
      <c r="H183" s="293">
        <f>+H184</f>
        <v>15005.5</v>
      </c>
    </row>
    <row r="184" spans="1:8" s="10" customFormat="1" ht="17.55" customHeight="1">
      <c r="A184" s="405"/>
      <c r="B184" s="405"/>
      <c r="C184" s="405"/>
      <c r="D184" s="418"/>
      <c r="E184" s="423"/>
      <c r="F184" s="47" t="s">
        <v>457</v>
      </c>
      <c r="G184" s="293">
        <f t="shared" ref="G184:H184" si="18">+G185</f>
        <v>15005.5</v>
      </c>
      <c r="H184" s="292">
        <f t="shared" si="18"/>
        <v>15005.5</v>
      </c>
    </row>
    <row r="185" spans="1:8" s="10" customFormat="1" ht="52.2">
      <c r="A185" s="405"/>
      <c r="B185" s="405"/>
      <c r="C185" s="405"/>
      <c r="D185" s="418"/>
      <c r="E185" s="423"/>
      <c r="F185" s="47" t="s">
        <v>458</v>
      </c>
      <c r="G185" s="292">
        <f>+H185</f>
        <v>15005.5</v>
      </c>
      <c r="H185" s="292">
        <v>15005.5</v>
      </c>
    </row>
    <row r="186" spans="1:8" s="10" customFormat="1" ht="16.95" customHeight="1">
      <c r="A186" s="405"/>
      <c r="B186" s="405"/>
      <c r="C186" s="405"/>
      <c r="D186" s="418"/>
      <c r="E186" s="423"/>
      <c r="F186" s="37" t="s">
        <v>107</v>
      </c>
      <c r="G186" s="293">
        <f t="shared" ref="G186:H190" si="19">+G187</f>
        <v>482656.89999999991</v>
      </c>
      <c r="H186" s="292">
        <f t="shared" si="19"/>
        <v>5561934.3130000001</v>
      </c>
    </row>
    <row r="187" spans="1:8" s="10" customFormat="1" ht="18" customHeight="1">
      <c r="A187" s="405"/>
      <c r="B187" s="405"/>
      <c r="C187" s="405"/>
      <c r="D187" s="418"/>
      <c r="E187" s="423"/>
      <c r="F187" s="37" t="s">
        <v>108</v>
      </c>
      <c r="G187" s="292">
        <f>+G188+G190</f>
        <v>482656.89999999991</v>
      </c>
      <c r="H187" s="292">
        <f>+H188+H190</f>
        <v>5561934.3130000001</v>
      </c>
    </row>
    <row r="188" spans="1:8" s="10" customFormat="1" ht="18" customHeight="1">
      <c r="A188" s="405"/>
      <c r="B188" s="405"/>
      <c r="C188" s="405"/>
      <c r="D188" s="418"/>
      <c r="E188" s="423"/>
      <c r="F188" s="37" t="s">
        <v>155</v>
      </c>
      <c r="G188" s="292">
        <f t="shared" si="19"/>
        <v>481056.89999999991</v>
      </c>
      <c r="H188" s="292">
        <f t="shared" si="19"/>
        <v>5560334.3130000001</v>
      </c>
    </row>
    <row r="189" spans="1:8" s="10" customFormat="1" ht="18" customHeight="1">
      <c r="A189" s="405"/>
      <c r="B189" s="405"/>
      <c r="C189" s="405"/>
      <c r="D189" s="418"/>
      <c r="E189" s="423"/>
      <c r="F189" s="291" t="s">
        <v>47</v>
      </c>
      <c r="G189" s="292">
        <f>+'Հավելված N 4'!E174-'Հավելված N 4'!E178</f>
        <v>481056.89999999991</v>
      </c>
      <c r="H189" s="292">
        <f>+'Հավելված N 4'!F174-'Հավելված N 4'!F178</f>
        <v>5560334.3130000001</v>
      </c>
    </row>
    <row r="190" spans="1:8" s="10" customFormat="1" ht="18" customHeight="1">
      <c r="A190" s="405"/>
      <c r="B190" s="405"/>
      <c r="C190" s="405"/>
      <c r="D190" s="418"/>
      <c r="E190" s="423"/>
      <c r="F190" s="37" t="s">
        <v>67</v>
      </c>
      <c r="G190" s="292">
        <f t="shared" si="19"/>
        <v>1600</v>
      </c>
      <c r="H190" s="292">
        <f t="shared" si="19"/>
        <v>1600</v>
      </c>
    </row>
    <row r="191" spans="1:8" s="10" customFormat="1" ht="18" customHeight="1">
      <c r="A191" s="405"/>
      <c r="B191" s="405"/>
      <c r="C191" s="405"/>
      <c r="D191" s="418"/>
      <c r="E191" s="423"/>
      <c r="F191" s="291" t="s">
        <v>68</v>
      </c>
      <c r="G191" s="292">
        <f>+'Հավելված N 4'!E178</f>
        <v>1600</v>
      </c>
      <c r="H191" s="292">
        <f>+'Հավելված N 4'!F178</f>
        <v>1600</v>
      </c>
    </row>
    <row r="192" spans="1:8" s="13" customFormat="1" ht="36.6" customHeight="1">
      <c r="A192" s="405"/>
      <c r="B192" s="405"/>
      <c r="C192" s="405"/>
      <c r="D192" s="418"/>
      <c r="E192" s="423"/>
      <c r="F192" s="45" t="s">
        <v>168</v>
      </c>
      <c r="G192" s="309">
        <f>+G194</f>
        <v>990816.7</v>
      </c>
      <c r="H192" s="309">
        <f>+H194</f>
        <v>1017997.3</v>
      </c>
    </row>
    <row r="193" spans="1:8" s="10" customFormat="1" ht="52.2">
      <c r="A193" s="405"/>
      <c r="B193" s="405"/>
      <c r="C193" s="405"/>
      <c r="D193" s="418"/>
      <c r="E193" s="423"/>
      <c r="F193" s="37" t="s">
        <v>13</v>
      </c>
      <c r="G193" s="293"/>
      <c r="H193" s="306"/>
    </row>
    <row r="194" spans="1:8" s="10" customFormat="1" ht="16.95" customHeight="1">
      <c r="A194" s="405"/>
      <c r="B194" s="405"/>
      <c r="C194" s="405"/>
      <c r="D194" s="418"/>
      <c r="E194" s="423"/>
      <c r="F194" s="142" t="s">
        <v>7</v>
      </c>
      <c r="G194" s="44">
        <f>+G195</f>
        <v>990816.7</v>
      </c>
      <c r="H194" s="44">
        <f>+H195</f>
        <v>1017997.3</v>
      </c>
    </row>
    <row r="195" spans="1:8" s="10" customFormat="1" ht="16.95" customHeight="1">
      <c r="A195" s="405"/>
      <c r="B195" s="405"/>
      <c r="C195" s="405"/>
      <c r="D195" s="418"/>
      <c r="E195" s="423"/>
      <c r="F195" s="37" t="s">
        <v>107</v>
      </c>
      <c r="G195" s="293">
        <f t="shared" ref="G195:H199" si="20">+G196</f>
        <v>990816.7</v>
      </c>
      <c r="H195" s="292">
        <f t="shared" si="20"/>
        <v>1017997.3</v>
      </c>
    </row>
    <row r="196" spans="1:8" s="10" customFormat="1" ht="18" customHeight="1">
      <c r="A196" s="405"/>
      <c r="B196" s="405"/>
      <c r="C196" s="405"/>
      <c r="D196" s="418"/>
      <c r="E196" s="423"/>
      <c r="F196" s="37" t="s">
        <v>108</v>
      </c>
      <c r="G196" s="292">
        <f t="shared" ref="G196:H196" si="21">+G197+G199</f>
        <v>990816.7</v>
      </c>
      <c r="H196" s="292">
        <f t="shared" si="21"/>
        <v>1017997.3</v>
      </c>
    </row>
    <row r="197" spans="1:8" s="10" customFormat="1" ht="18" customHeight="1">
      <c r="A197" s="405"/>
      <c r="B197" s="405"/>
      <c r="C197" s="405"/>
      <c r="D197" s="418"/>
      <c r="E197" s="423"/>
      <c r="F197" s="37" t="s">
        <v>155</v>
      </c>
      <c r="G197" s="292">
        <f t="shared" si="20"/>
        <v>990816.7</v>
      </c>
      <c r="H197" s="292">
        <f t="shared" si="20"/>
        <v>1006897.3</v>
      </c>
    </row>
    <row r="198" spans="1:8" s="10" customFormat="1" ht="18" customHeight="1">
      <c r="A198" s="405"/>
      <c r="B198" s="405"/>
      <c r="C198" s="405"/>
      <c r="D198" s="418"/>
      <c r="E198" s="423"/>
      <c r="F198" s="291" t="s">
        <v>47</v>
      </c>
      <c r="G198" s="292">
        <f>+'Հավելված N 4'!E204+'Հավելված N 4'!E208+'Հավելված N 4'!E210+'Հավելված N 4'!E212</f>
        <v>990816.7</v>
      </c>
      <c r="H198" s="292">
        <f>+'Հավելված N 4'!F204+'Հավելված N 4'!F208+'Հավելված N 4'!F210+'Հավելված N 4'!F212</f>
        <v>1006897.3</v>
      </c>
    </row>
    <row r="199" spans="1:8" s="10" customFormat="1" ht="18" customHeight="1">
      <c r="A199" s="405"/>
      <c r="B199" s="405"/>
      <c r="C199" s="405"/>
      <c r="D199" s="418"/>
      <c r="E199" s="423"/>
      <c r="F199" s="37" t="s">
        <v>67</v>
      </c>
      <c r="G199" s="292">
        <f t="shared" si="20"/>
        <v>0</v>
      </c>
      <c r="H199" s="292">
        <f t="shared" si="20"/>
        <v>11100</v>
      </c>
    </row>
    <row r="200" spans="1:8" s="10" customFormat="1" ht="18" customHeight="1">
      <c r="A200" s="405"/>
      <c r="B200" s="405"/>
      <c r="C200" s="405"/>
      <c r="D200" s="418"/>
      <c r="E200" s="423"/>
      <c r="F200" s="291" t="s">
        <v>68</v>
      </c>
      <c r="G200" s="292">
        <f>+'Հավելված N 4'!E206</f>
        <v>0</v>
      </c>
      <c r="H200" s="292">
        <f>+'Հավելված N 4'!F206</f>
        <v>11100</v>
      </c>
    </row>
    <row r="201" spans="1:8" s="10" customFormat="1" ht="36">
      <c r="A201" s="405"/>
      <c r="B201" s="405"/>
      <c r="C201" s="405"/>
      <c r="D201" s="418"/>
      <c r="E201" s="46">
        <v>32004</v>
      </c>
      <c r="F201" s="71" t="s">
        <v>436</v>
      </c>
      <c r="G201" s="307">
        <f>+G203+G210</f>
        <v>3800000</v>
      </c>
      <c r="H201" s="307">
        <f>+H203+H210</f>
        <v>9245548.6999999993</v>
      </c>
    </row>
    <row r="202" spans="1:8" s="10" customFormat="1" ht="18" customHeight="1">
      <c r="A202" s="405"/>
      <c r="B202" s="405"/>
      <c r="C202" s="405"/>
      <c r="D202" s="418"/>
      <c r="E202" s="423"/>
      <c r="F202" s="37" t="s">
        <v>16</v>
      </c>
      <c r="G202" s="44"/>
      <c r="H202" s="306"/>
    </row>
    <row r="203" spans="1:8" s="13" customFormat="1" ht="36.6" customHeight="1">
      <c r="A203" s="405"/>
      <c r="B203" s="405"/>
      <c r="C203" s="405"/>
      <c r="D203" s="418"/>
      <c r="E203" s="423"/>
      <c r="F203" s="45" t="s">
        <v>12</v>
      </c>
      <c r="G203" s="309">
        <f>+G205</f>
        <v>3200000</v>
      </c>
      <c r="H203" s="309">
        <f>+H205</f>
        <v>8000000</v>
      </c>
    </row>
    <row r="204" spans="1:8" s="10" customFormat="1" ht="52.2">
      <c r="A204" s="405"/>
      <c r="B204" s="405"/>
      <c r="C204" s="405"/>
      <c r="D204" s="418"/>
      <c r="E204" s="423"/>
      <c r="F204" s="37" t="s">
        <v>13</v>
      </c>
      <c r="G204" s="293"/>
      <c r="H204" s="306"/>
    </row>
    <row r="205" spans="1:8" s="10" customFormat="1" ht="16.95" customHeight="1">
      <c r="A205" s="405"/>
      <c r="B205" s="405"/>
      <c r="C205" s="405"/>
      <c r="D205" s="418"/>
      <c r="E205" s="423"/>
      <c r="F205" s="142" t="s">
        <v>7</v>
      </c>
      <c r="G205" s="44">
        <f t="shared" ref="G205:H208" si="22">+G206</f>
        <v>3200000</v>
      </c>
      <c r="H205" s="44">
        <f t="shared" si="22"/>
        <v>8000000</v>
      </c>
    </row>
    <row r="206" spans="1:8" s="10" customFormat="1" ht="16.95" customHeight="1">
      <c r="A206" s="405"/>
      <c r="B206" s="405"/>
      <c r="C206" s="405"/>
      <c r="D206" s="418"/>
      <c r="E206" s="423"/>
      <c r="F206" s="37" t="s">
        <v>107</v>
      </c>
      <c r="G206" s="293">
        <f t="shared" si="22"/>
        <v>3200000</v>
      </c>
      <c r="H206" s="292">
        <f t="shared" si="22"/>
        <v>8000000</v>
      </c>
    </row>
    <row r="207" spans="1:8" s="10" customFormat="1" ht="18" customHeight="1">
      <c r="A207" s="405"/>
      <c r="B207" s="405"/>
      <c r="C207" s="405"/>
      <c r="D207" s="418"/>
      <c r="E207" s="423"/>
      <c r="F207" s="37" t="s">
        <v>108</v>
      </c>
      <c r="G207" s="292">
        <f>+G208</f>
        <v>3200000</v>
      </c>
      <c r="H207" s="292">
        <f>+H208</f>
        <v>8000000</v>
      </c>
    </row>
    <row r="208" spans="1:8" s="10" customFormat="1" ht="18" customHeight="1">
      <c r="A208" s="405"/>
      <c r="B208" s="405"/>
      <c r="C208" s="405"/>
      <c r="D208" s="418"/>
      <c r="E208" s="423"/>
      <c r="F208" s="37" t="s">
        <v>155</v>
      </c>
      <c r="G208" s="292">
        <f t="shared" si="22"/>
        <v>3200000</v>
      </c>
      <c r="H208" s="292">
        <f t="shared" si="22"/>
        <v>8000000</v>
      </c>
    </row>
    <row r="209" spans="1:8" s="10" customFormat="1" ht="18" customHeight="1">
      <c r="A209" s="405"/>
      <c r="B209" s="405"/>
      <c r="C209" s="405"/>
      <c r="D209" s="418"/>
      <c r="E209" s="423"/>
      <c r="F209" s="291" t="s">
        <v>95</v>
      </c>
      <c r="G209" s="292">
        <f>+'Հավելված N 4'!E215</f>
        <v>3200000</v>
      </c>
      <c r="H209" s="292">
        <f>+'Հավելված N 4'!F215</f>
        <v>8000000</v>
      </c>
    </row>
    <row r="210" spans="1:8" s="13" customFormat="1" ht="36.6" customHeight="1">
      <c r="A210" s="405"/>
      <c r="B210" s="405"/>
      <c r="C210" s="405"/>
      <c r="D210" s="418"/>
      <c r="E210" s="423"/>
      <c r="F210" s="45" t="s">
        <v>168</v>
      </c>
      <c r="G210" s="309">
        <f>+G212</f>
        <v>600000</v>
      </c>
      <c r="H210" s="309">
        <f>+H212</f>
        <v>1245548.7</v>
      </c>
    </row>
    <row r="211" spans="1:8" s="10" customFormat="1" ht="52.2">
      <c r="A211" s="405"/>
      <c r="B211" s="405"/>
      <c r="C211" s="405"/>
      <c r="D211" s="418"/>
      <c r="E211" s="423"/>
      <c r="F211" s="37" t="s">
        <v>13</v>
      </c>
      <c r="G211" s="293"/>
      <c r="H211" s="306"/>
    </row>
    <row r="212" spans="1:8" s="10" customFormat="1" ht="16.95" customHeight="1">
      <c r="A212" s="405"/>
      <c r="B212" s="405"/>
      <c r="C212" s="405"/>
      <c r="D212" s="418"/>
      <c r="E212" s="423"/>
      <c r="F212" s="142" t="s">
        <v>7</v>
      </c>
      <c r="G212" s="44">
        <f t="shared" ref="G212" si="23">+G213</f>
        <v>600000</v>
      </c>
      <c r="H212" s="44">
        <f t="shared" ref="H212" si="24">+H213</f>
        <v>1245548.7</v>
      </c>
    </row>
    <row r="213" spans="1:8" s="10" customFormat="1" ht="16.95" customHeight="1">
      <c r="A213" s="405"/>
      <c r="B213" s="405"/>
      <c r="C213" s="405"/>
      <c r="D213" s="418"/>
      <c r="E213" s="423"/>
      <c r="F213" s="37" t="s">
        <v>107</v>
      </c>
      <c r="G213" s="293">
        <f t="shared" ref="G213:H217" si="25">+G214</f>
        <v>600000</v>
      </c>
      <c r="H213" s="292">
        <f t="shared" si="25"/>
        <v>1245548.7</v>
      </c>
    </row>
    <row r="214" spans="1:8" s="10" customFormat="1" ht="18" customHeight="1">
      <c r="A214" s="405"/>
      <c r="B214" s="405"/>
      <c r="C214" s="405"/>
      <c r="D214" s="418"/>
      <c r="E214" s="423"/>
      <c r="F214" s="37" t="s">
        <v>108</v>
      </c>
      <c r="G214" s="292">
        <f>+G215+G217</f>
        <v>600000</v>
      </c>
      <c r="H214" s="292">
        <f>+H215+H217</f>
        <v>1245548.7</v>
      </c>
    </row>
    <row r="215" spans="1:8" s="10" customFormat="1" ht="18" customHeight="1">
      <c r="A215" s="405"/>
      <c r="B215" s="405"/>
      <c r="C215" s="405"/>
      <c r="D215" s="418"/>
      <c r="E215" s="423"/>
      <c r="F215" s="37" t="s">
        <v>155</v>
      </c>
      <c r="G215" s="292">
        <f t="shared" si="25"/>
        <v>600000</v>
      </c>
      <c r="H215" s="292">
        <f t="shared" si="25"/>
        <v>1300000</v>
      </c>
    </row>
    <row r="216" spans="1:8" s="10" customFormat="1" ht="18" customHeight="1">
      <c r="A216" s="405"/>
      <c r="B216" s="405"/>
      <c r="C216" s="405"/>
      <c r="D216" s="418"/>
      <c r="E216" s="423"/>
      <c r="F216" s="291" t="s">
        <v>95</v>
      </c>
      <c r="G216" s="292">
        <f>+'Հավելված N 4'!E220</f>
        <v>600000</v>
      </c>
      <c r="H216" s="292">
        <f>+'Հավելված N 4'!F220</f>
        <v>1300000</v>
      </c>
    </row>
    <row r="217" spans="1:8" s="10" customFormat="1" ht="18" customHeight="1">
      <c r="A217" s="405"/>
      <c r="B217" s="405"/>
      <c r="C217" s="405"/>
      <c r="D217" s="418"/>
      <c r="E217" s="423"/>
      <c r="F217" s="37" t="s">
        <v>67</v>
      </c>
      <c r="G217" s="292">
        <f t="shared" si="25"/>
        <v>0</v>
      </c>
      <c r="H217" s="292">
        <f t="shared" si="25"/>
        <v>-54451.3</v>
      </c>
    </row>
    <row r="218" spans="1:8" s="10" customFormat="1" ht="18" customHeight="1">
      <c r="A218" s="405"/>
      <c r="B218" s="405"/>
      <c r="C218" s="405"/>
      <c r="D218" s="418"/>
      <c r="E218" s="423"/>
      <c r="F218" s="291" t="s">
        <v>68</v>
      </c>
      <c r="G218" s="292">
        <f>+'Հավելված N 4'!E222</f>
        <v>0</v>
      </c>
      <c r="H218" s="292">
        <f>+'Հավելված N 4'!F222</f>
        <v>-54451.3</v>
      </c>
    </row>
    <row r="219" spans="1:8" s="10" customFormat="1" ht="18">
      <c r="A219" s="405"/>
      <c r="B219" s="405"/>
      <c r="C219" s="405"/>
      <c r="D219" s="418"/>
      <c r="E219" s="46">
        <v>32005</v>
      </c>
      <c r="F219" s="71" t="s">
        <v>663</v>
      </c>
      <c r="G219" s="307">
        <f>+G221</f>
        <v>-1557638.5000000002</v>
      </c>
      <c r="H219" s="307">
        <f>+H221</f>
        <v>-1702872.8</v>
      </c>
    </row>
    <row r="220" spans="1:8" s="10" customFormat="1" ht="17.55" customHeight="1">
      <c r="A220" s="405"/>
      <c r="B220" s="405"/>
      <c r="C220" s="405"/>
      <c r="D220" s="418"/>
      <c r="E220" s="414"/>
      <c r="F220" s="37" t="s">
        <v>16</v>
      </c>
      <c r="G220" s="44"/>
      <c r="H220" s="306"/>
    </row>
    <row r="221" spans="1:8" s="13" customFormat="1" ht="36.6" customHeight="1">
      <c r="A221" s="405"/>
      <c r="B221" s="405"/>
      <c r="C221" s="405"/>
      <c r="D221" s="418"/>
      <c r="E221" s="415"/>
      <c r="F221" s="45" t="s">
        <v>12</v>
      </c>
      <c r="G221" s="309">
        <f>+G223</f>
        <v>-1557638.5000000002</v>
      </c>
      <c r="H221" s="309">
        <f>+H223</f>
        <v>-1702872.8</v>
      </c>
    </row>
    <row r="222" spans="1:8" s="10" customFormat="1" ht="52.2">
      <c r="A222" s="405"/>
      <c r="B222" s="405"/>
      <c r="C222" s="405"/>
      <c r="D222" s="418"/>
      <c r="E222" s="415"/>
      <c r="F222" s="37" t="s">
        <v>13</v>
      </c>
      <c r="G222" s="293"/>
      <c r="H222" s="306"/>
    </row>
    <row r="223" spans="1:8" s="10" customFormat="1" ht="16.95" customHeight="1">
      <c r="A223" s="405"/>
      <c r="B223" s="405"/>
      <c r="C223" s="405"/>
      <c r="D223" s="418"/>
      <c r="E223" s="415"/>
      <c r="F223" s="142" t="s">
        <v>7</v>
      </c>
      <c r="G223" s="44">
        <f>+G224</f>
        <v>-1557638.5000000002</v>
      </c>
      <c r="H223" s="44">
        <f>+H224</f>
        <v>-1702872.8</v>
      </c>
    </row>
    <row r="224" spans="1:8" s="10" customFormat="1" ht="16.95" customHeight="1">
      <c r="A224" s="405"/>
      <c r="B224" s="405"/>
      <c r="C224" s="405"/>
      <c r="D224" s="418"/>
      <c r="E224" s="415"/>
      <c r="F224" s="37" t="s">
        <v>107</v>
      </c>
      <c r="G224" s="293">
        <f t="shared" ref="G224:H226" si="26">+G225</f>
        <v>-1557638.5000000002</v>
      </c>
      <c r="H224" s="292">
        <f t="shared" si="26"/>
        <v>-1702872.8</v>
      </c>
    </row>
    <row r="225" spans="1:8" s="10" customFormat="1" ht="18" customHeight="1">
      <c r="A225" s="405"/>
      <c r="B225" s="405"/>
      <c r="C225" s="405"/>
      <c r="D225" s="418"/>
      <c r="E225" s="415"/>
      <c r="F225" s="37" t="s">
        <v>108</v>
      </c>
      <c r="G225" s="292">
        <f>+G226+G228</f>
        <v>-1557638.5000000002</v>
      </c>
      <c r="H225" s="292">
        <f>+H226+H228</f>
        <v>-1702872.8</v>
      </c>
    </row>
    <row r="226" spans="1:8" s="10" customFormat="1" ht="18" customHeight="1">
      <c r="A226" s="405"/>
      <c r="B226" s="405"/>
      <c r="C226" s="405"/>
      <c r="D226" s="418"/>
      <c r="E226" s="415"/>
      <c r="F226" s="37" t="s">
        <v>155</v>
      </c>
      <c r="G226" s="292">
        <f t="shared" si="26"/>
        <v>-1557638.5000000002</v>
      </c>
      <c r="H226" s="292">
        <f t="shared" si="26"/>
        <v>-1702872.8</v>
      </c>
    </row>
    <row r="227" spans="1:8" s="10" customFormat="1" ht="18" customHeight="1">
      <c r="A227" s="405"/>
      <c r="B227" s="405"/>
      <c r="C227" s="405"/>
      <c r="D227" s="418"/>
      <c r="E227" s="416"/>
      <c r="F227" s="291" t="s">
        <v>47</v>
      </c>
      <c r="G227" s="292">
        <f>+'Հավելված N 4'!E225</f>
        <v>-1557638.5000000002</v>
      </c>
      <c r="H227" s="292">
        <f>+'Հավելված N 4'!F225</f>
        <v>-1702872.8</v>
      </c>
    </row>
    <row r="228" spans="1:8" s="10" customFormat="1" ht="54">
      <c r="A228" s="405"/>
      <c r="B228" s="405"/>
      <c r="C228" s="405"/>
      <c r="D228" s="418"/>
      <c r="E228" s="46">
        <v>32006</v>
      </c>
      <c r="F228" s="71" t="s">
        <v>480</v>
      </c>
      <c r="G228" s="307">
        <f>+G230</f>
        <v>0</v>
      </c>
      <c r="H228" s="307">
        <f>+H230</f>
        <v>0</v>
      </c>
    </row>
    <row r="229" spans="1:8" s="10" customFormat="1" ht="17.55" customHeight="1">
      <c r="A229" s="405"/>
      <c r="B229" s="405"/>
      <c r="C229" s="405"/>
      <c r="D229" s="418"/>
      <c r="E229" s="414"/>
      <c r="F229" s="37" t="s">
        <v>16</v>
      </c>
      <c r="G229" s="44"/>
      <c r="H229" s="306"/>
    </row>
    <row r="230" spans="1:8" s="13" customFormat="1" ht="36.6" customHeight="1">
      <c r="A230" s="405"/>
      <c r="B230" s="405"/>
      <c r="C230" s="405"/>
      <c r="D230" s="418"/>
      <c r="E230" s="415"/>
      <c r="F230" s="45" t="s">
        <v>12</v>
      </c>
      <c r="G230" s="309">
        <f>+G232</f>
        <v>0</v>
      </c>
      <c r="H230" s="309">
        <f>+H232</f>
        <v>0</v>
      </c>
    </row>
    <row r="231" spans="1:8" s="10" customFormat="1" ht="52.2">
      <c r="A231" s="405"/>
      <c r="B231" s="405"/>
      <c r="C231" s="405"/>
      <c r="D231" s="418"/>
      <c r="E231" s="415"/>
      <c r="F231" s="37" t="s">
        <v>13</v>
      </c>
      <c r="G231" s="293"/>
      <c r="H231" s="306"/>
    </row>
    <row r="232" spans="1:8" s="10" customFormat="1" ht="16.95" customHeight="1">
      <c r="A232" s="405"/>
      <c r="B232" s="405"/>
      <c r="C232" s="405"/>
      <c r="D232" s="418"/>
      <c r="E232" s="415"/>
      <c r="F232" s="142" t="s">
        <v>7</v>
      </c>
      <c r="G232" s="44">
        <f>+G233+G237</f>
        <v>0</v>
      </c>
      <c r="H232" s="44">
        <f>+H233+H237</f>
        <v>0</v>
      </c>
    </row>
    <row r="233" spans="1:8" s="10" customFormat="1" ht="16.95" customHeight="1">
      <c r="A233" s="405"/>
      <c r="B233" s="405"/>
      <c r="C233" s="405"/>
      <c r="D233" s="418"/>
      <c r="E233" s="415"/>
      <c r="F233" s="37" t="s">
        <v>69</v>
      </c>
      <c r="G233" s="293">
        <f>+G234</f>
        <v>690.5</v>
      </c>
      <c r="H233" s="293">
        <f>+H234</f>
        <v>690.5</v>
      </c>
    </row>
    <row r="234" spans="1:8" s="10" customFormat="1" ht="17.55" customHeight="1">
      <c r="A234" s="405"/>
      <c r="B234" s="405"/>
      <c r="C234" s="405"/>
      <c r="D234" s="418"/>
      <c r="E234" s="415"/>
      <c r="F234" s="37" t="s">
        <v>461</v>
      </c>
      <c r="G234" s="293">
        <f t="shared" ref="G234:H235" si="27">+G235</f>
        <v>690.5</v>
      </c>
      <c r="H234" s="293">
        <f t="shared" si="27"/>
        <v>690.5</v>
      </c>
    </row>
    <row r="235" spans="1:8" s="10" customFormat="1" ht="34.799999999999997">
      <c r="A235" s="405"/>
      <c r="B235" s="405"/>
      <c r="C235" s="405"/>
      <c r="D235" s="418"/>
      <c r="E235" s="415"/>
      <c r="F235" s="37" t="s">
        <v>467</v>
      </c>
      <c r="G235" s="293">
        <f t="shared" si="27"/>
        <v>690.5</v>
      </c>
      <c r="H235" s="293">
        <f t="shared" si="27"/>
        <v>690.5</v>
      </c>
    </row>
    <row r="236" spans="1:8" s="10" customFormat="1" ht="34.799999999999997">
      <c r="A236" s="405"/>
      <c r="B236" s="405"/>
      <c r="C236" s="405"/>
      <c r="D236" s="418"/>
      <c r="E236" s="415"/>
      <c r="F236" s="291" t="s">
        <v>463</v>
      </c>
      <c r="G236" s="292">
        <f>+H236</f>
        <v>690.5</v>
      </c>
      <c r="H236" s="292">
        <f>+'Հավելված N 5'!G55</f>
        <v>690.5</v>
      </c>
    </row>
    <row r="237" spans="1:8" s="10" customFormat="1" ht="16.95" customHeight="1">
      <c r="A237" s="405"/>
      <c r="B237" s="405"/>
      <c r="C237" s="405"/>
      <c r="D237" s="418"/>
      <c r="E237" s="415"/>
      <c r="F237" s="37" t="s">
        <v>107</v>
      </c>
      <c r="G237" s="293">
        <f t="shared" ref="G237:H239" si="28">+G238</f>
        <v>-690.5</v>
      </c>
      <c r="H237" s="292">
        <f t="shared" si="28"/>
        <v>-690.5</v>
      </c>
    </row>
    <row r="238" spans="1:8" s="10" customFormat="1" ht="18" customHeight="1">
      <c r="A238" s="405"/>
      <c r="B238" s="405"/>
      <c r="C238" s="405"/>
      <c r="D238" s="418"/>
      <c r="E238" s="415"/>
      <c r="F238" s="37" t="s">
        <v>108</v>
      </c>
      <c r="G238" s="292">
        <f t="shared" si="28"/>
        <v>-690.5</v>
      </c>
      <c r="H238" s="292">
        <f t="shared" si="28"/>
        <v>-690.5</v>
      </c>
    </row>
    <row r="239" spans="1:8" s="10" customFormat="1" ht="18" customHeight="1">
      <c r="A239" s="405"/>
      <c r="B239" s="405"/>
      <c r="C239" s="405"/>
      <c r="D239" s="418"/>
      <c r="E239" s="415"/>
      <c r="F239" s="37" t="s">
        <v>464</v>
      </c>
      <c r="G239" s="292">
        <f t="shared" si="28"/>
        <v>-690.5</v>
      </c>
      <c r="H239" s="292">
        <f t="shared" si="28"/>
        <v>-690.5</v>
      </c>
    </row>
    <row r="240" spans="1:8" s="10" customFormat="1" ht="18" customHeight="1">
      <c r="A240" s="405"/>
      <c r="B240" s="406"/>
      <c r="C240" s="406"/>
      <c r="D240" s="419"/>
      <c r="E240" s="416"/>
      <c r="F240" s="291" t="s">
        <v>465</v>
      </c>
      <c r="G240" s="292">
        <f>+'Հավելված N 4'!E268</f>
        <v>-690.5</v>
      </c>
      <c r="H240" s="292">
        <f>+'Հավելված N 4'!F268</f>
        <v>-690.5</v>
      </c>
    </row>
    <row r="241" spans="1:8" s="10" customFormat="1" ht="18">
      <c r="A241" s="405"/>
      <c r="B241" s="382" t="s">
        <v>156</v>
      </c>
      <c r="C241" s="382"/>
      <c r="D241" s="429"/>
      <c r="E241" s="429"/>
      <c r="F241" s="39" t="s">
        <v>473</v>
      </c>
      <c r="G241" s="44">
        <f>+G243</f>
        <v>8486.9</v>
      </c>
      <c r="H241" s="44">
        <f>+H243</f>
        <v>20761.400000000001</v>
      </c>
    </row>
    <row r="242" spans="1:8" s="10" customFormat="1" ht="16.95" customHeight="1">
      <c r="A242" s="405"/>
      <c r="B242" s="382"/>
      <c r="C242" s="382"/>
      <c r="D242" s="429"/>
      <c r="E242" s="429"/>
      <c r="F242" s="37" t="s">
        <v>6</v>
      </c>
      <c r="G242" s="44"/>
      <c r="H242" s="44"/>
    </row>
    <row r="243" spans="1:8" s="10" customFormat="1" ht="18">
      <c r="A243" s="405"/>
      <c r="B243" s="382"/>
      <c r="C243" s="382" t="s">
        <v>83</v>
      </c>
      <c r="D243" s="429"/>
      <c r="E243" s="429"/>
      <c r="F243" s="39" t="s">
        <v>281</v>
      </c>
      <c r="G243" s="44">
        <f>+G245</f>
        <v>8486.9</v>
      </c>
      <c r="H243" s="44">
        <f>+H245</f>
        <v>20761.400000000001</v>
      </c>
    </row>
    <row r="244" spans="1:8" s="10" customFormat="1" ht="16.95" customHeight="1">
      <c r="A244" s="405"/>
      <c r="B244" s="382"/>
      <c r="C244" s="382"/>
      <c r="D244" s="429"/>
      <c r="E244" s="429"/>
      <c r="F244" s="37" t="s">
        <v>6</v>
      </c>
      <c r="G244" s="44"/>
      <c r="H244" s="44"/>
    </row>
    <row r="245" spans="1:8" s="10" customFormat="1" ht="34.799999999999997">
      <c r="A245" s="405"/>
      <c r="B245" s="382"/>
      <c r="C245" s="382"/>
      <c r="D245" s="429"/>
      <c r="E245" s="429"/>
      <c r="F245" s="43" t="s">
        <v>12</v>
      </c>
      <c r="G245" s="44">
        <f t="shared" ref="G245" si="29">+G247</f>
        <v>8486.9</v>
      </c>
      <c r="H245" s="44">
        <f>+H247</f>
        <v>20761.400000000001</v>
      </c>
    </row>
    <row r="246" spans="1:8" s="10" customFormat="1" ht="16.95" customHeight="1">
      <c r="A246" s="405"/>
      <c r="B246" s="382"/>
      <c r="C246" s="382"/>
      <c r="D246" s="429"/>
      <c r="E246" s="429"/>
      <c r="F246" s="37" t="s">
        <v>6</v>
      </c>
      <c r="G246" s="44"/>
      <c r="H246" s="44"/>
    </row>
    <row r="247" spans="1:8" s="10" customFormat="1" ht="39.450000000000003" customHeight="1">
      <c r="A247" s="405"/>
      <c r="B247" s="382"/>
      <c r="C247" s="382"/>
      <c r="D247" s="96">
        <v>1148</v>
      </c>
      <c r="E247" s="395" t="s">
        <v>474</v>
      </c>
      <c r="F247" s="395"/>
      <c r="G247" s="38">
        <f>+G249+G290</f>
        <v>8486.9</v>
      </c>
      <c r="H247" s="38">
        <f>+H249+H290</f>
        <v>20761.400000000001</v>
      </c>
    </row>
    <row r="248" spans="1:8" s="10" customFormat="1" ht="16.95" customHeight="1">
      <c r="A248" s="405"/>
      <c r="B248" s="382"/>
      <c r="C248" s="382"/>
      <c r="D248" s="428"/>
      <c r="E248" s="49"/>
      <c r="F248" s="37" t="s">
        <v>6</v>
      </c>
      <c r="G248" s="38"/>
      <c r="H248" s="38"/>
    </row>
    <row r="249" spans="1:8" s="10" customFormat="1" ht="54">
      <c r="A249" s="405"/>
      <c r="B249" s="382"/>
      <c r="C249" s="382"/>
      <c r="D249" s="428"/>
      <c r="E249" s="46">
        <v>32005</v>
      </c>
      <c r="F249" s="68" t="s">
        <v>475</v>
      </c>
      <c r="G249" s="307">
        <f>+G251</f>
        <v>8486.9</v>
      </c>
      <c r="H249" s="307">
        <f>+H251</f>
        <v>20761.400000000001</v>
      </c>
    </row>
    <row r="250" spans="1:8" s="10" customFormat="1" ht="17.55" customHeight="1">
      <c r="A250" s="405"/>
      <c r="B250" s="382"/>
      <c r="C250" s="382"/>
      <c r="D250" s="428"/>
      <c r="E250" s="423"/>
      <c r="F250" s="37" t="s">
        <v>16</v>
      </c>
      <c r="G250" s="44"/>
      <c r="H250" s="306"/>
    </row>
    <row r="251" spans="1:8" s="13" customFormat="1" ht="36.6" customHeight="1">
      <c r="A251" s="405"/>
      <c r="B251" s="382"/>
      <c r="C251" s="382"/>
      <c r="D251" s="428"/>
      <c r="E251" s="423"/>
      <c r="F251" s="45" t="s">
        <v>12</v>
      </c>
      <c r="G251" s="309">
        <f>+G253</f>
        <v>8486.9</v>
      </c>
      <c r="H251" s="309">
        <f>+H253</f>
        <v>20761.400000000001</v>
      </c>
    </row>
    <row r="252" spans="1:8" s="10" customFormat="1" ht="52.2">
      <c r="A252" s="405"/>
      <c r="B252" s="382"/>
      <c r="C252" s="382"/>
      <c r="D252" s="428"/>
      <c r="E252" s="423"/>
      <c r="F252" s="37" t="s">
        <v>13</v>
      </c>
      <c r="G252" s="293"/>
      <c r="H252" s="306"/>
    </row>
    <row r="253" spans="1:8" s="10" customFormat="1" ht="16.95" customHeight="1">
      <c r="A253" s="405"/>
      <c r="B253" s="382"/>
      <c r="C253" s="382"/>
      <c r="D253" s="428"/>
      <c r="E253" s="423"/>
      <c r="F253" s="142" t="s">
        <v>7</v>
      </c>
      <c r="G253" s="44">
        <f>+G254+G258</f>
        <v>8486.9</v>
      </c>
      <c r="H253" s="44">
        <f>+H254+H258</f>
        <v>20761.400000000001</v>
      </c>
    </row>
    <row r="254" spans="1:8" s="10" customFormat="1" ht="16.95" customHeight="1">
      <c r="A254" s="405"/>
      <c r="B254" s="382"/>
      <c r="C254" s="382"/>
      <c r="D254" s="428"/>
      <c r="E254" s="423"/>
      <c r="F254" s="37" t="s">
        <v>69</v>
      </c>
      <c r="G254" s="293">
        <f t="shared" ref="G254:H256" si="30">+G255</f>
        <v>8486.9</v>
      </c>
      <c r="H254" s="293">
        <f t="shared" si="30"/>
        <v>8486.9</v>
      </c>
    </row>
    <row r="255" spans="1:8" s="10" customFormat="1" ht="17.55" customHeight="1">
      <c r="A255" s="405"/>
      <c r="B255" s="382"/>
      <c r="C255" s="382"/>
      <c r="D255" s="428"/>
      <c r="E255" s="423"/>
      <c r="F255" s="37" t="s">
        <v>461</v>
      </c>
      <c r="G255" s="293">
        <f t="shared" si="30"/>
        <v>8486.9</v>
      </c>
      <c r="H255" s="293">
        <f t="shared" si="30"/>
        <v>8486.9</v>
      </c>
    </row>
    <row r="256" spans="1:8" s="10" customFormat="1" ht="34.799999999999997">
      <c r="A256" s="405"/>
      <c r="B256" s="382"/>
      <c r="C256" s="382"/>
      <c r="D256" s="428"/>
      <c r="E256" s="423"/>
      <c r="F256" s="37" t="s">
        <v>467</v>
      </c>
      <c r="G256" s="293">
        <f t="shared" si="30"/>
        <v>8486.9</v>
      </c>
      <c r="H256" s="293">
        <f t="shared" si="30"/>
        <v>8486.9</v>
      </c>
    </row>
    <row r="257" spans="1:8" s="10" customFormat="1" ht="34.799999999999997">
      <c r="A257" s="405"/>
      <c r="B257" s="382"/>
      <c r="C257" s="382"/>
      <c r="D257" s="428"/>
      <c r="E257" s="423"/>
      <c r="F257" s="291" t="s">
        <v>463</v>
      </c>
      <c r="G257" s="292">
        <f>+H257</f>
        <v>8486.9</v>
      </c>
      <c r="H257" s="292">
        <f>+'Հավելված N 5'!G34</f>
        <v>8486.9</v>
      </c>
    </row>
    <row r="258" spans="1:8" s="10" customFormat="1" ht="16.95" customHeight="1">
      <c r="A258" s="405"/>
      <c r="B258" s="382"/>
      <c r="C258" s="382"/>
      <c r="D258" s="428"/>
      <c r="E258" s="423"/>
      <c r="F258" s="37" t="s">
        <v>107</v>
      </c>
      <c r="G258" s="293">
        <f t="shared" ref="G258:H260" si="31">+G259</f>
        <v>0</v>
      </c>
      <c r="H258" s="292">
        <f t="shared" si="31"/>
        <v>12274.5</v>
      </c>
    </row>
    <row r="259" spans="1:8" s="10" customFormat="1" ht="18" customHeight="1">
      <c r="A259" s="405"/>
      <c r="B259" s="382"/>
      <c r="C259" s="382"/>
      <c r="D259" s="428"/>
      <c r="E259" s="423"/>
      <c r="F259" s="37" t="s">
        <v>108</v>
      </c>
      <c r="G259" s="292">
        <f t="shared" si="31"/>
        <v>0</v>
      </c>
      <c r="H259" s="292">
        <f t="shared" si="31"/>
        <v>12274.5</v>
      </c>
    </row>
    <row r="260" spans="1:8" s="10" customFormat="1" ht="18" customHeight="1">
      <c r="A260" s="405"/>
      <c r="B260" s="382"/>
      <c r="C260" s="382"/>
      <c r="D260" s="428"/>
      <c r="E260" s="423"/>
      <c r="F260" s="37" t="s">
        <v>67</v>
      </c>
      <c r="G260" s="292">
        <f t="shared" si="31"/>
        <v>0</v>
      </c>
      <c r="H260" s="292">
        <f t="shared" si="31"/>
        <v>12274.5</v>
      </c>
    </row>
    <row r="261" spans="1:8" s="10" customFormat="1" ht="18" customHeight="1">
      <c r="A261" s="405"/>
      <c r="B261" s="382"/>
      <c r="C261" s="382"/>
      <c r="D261" s="428"/>
      <c r="E261" s="423"/>
      <c r="F261" s="291" t="s">
        <v>68</v>
      </c>
      <c r="G261" s="292">
        <f>+'Հավելված N 4'!E68</f>
        <v>0</v>
      </c>
      <c r="H261" s="292">
        <f>+'Հավելված N 4'!F68</f>
        <v>12274.5</v>
      </c>
    </row>
    <row r="262" spans="1:8" s="10" customFormat="1" ht="36">
      <c r="A262" s="405"/>
      <c r="B262" s="404" t="s">
        <v>82</v>
      </c>
      <c r="C262" s="389"/>
      <c r="D262" s="390"/>
      <c r="E262" s="420"/>
      <c r="F262" s="39" t="s">
        <v>84</v>
      </c>
      <c r="G262" s="44">
        <f>+G264</f>
        <v>-790308.8</v>
      </c>
      <c r="H262" s="44">
        <f>+H264</f>
        <v>-1248835.5</v>
      </c>
    </row>
    <row r="263" spans="1:8" s="10" customFormat="1" ht="16.95" customHeight="1">
      <c r="A263" s="405"/>
      <c r="B263" s="405"/>
      <c r="C263" s="389"/>
      <c r="D263" s="391"/>
      <c r="E263" s="421"/>
      <c r="F263" s="37" t="s">
        <v>6</v>
      </c>
      <c r="G263" s="44"/>
      <c r="H263" s="306"/>
    </row>
    <row r="264" spans="1:8" s="10" customFormat="1" ht="36">
      <c r="A264" s="405"/>
      <c r="B264" s="405"/>
      <c r="C264" s="407" t="s">
        <v>83</v>
      </c>
      <c r="D264" s="391"/>
      <c r="E264" s="421"/>
      <c r="F264" s="39" t="s">
        <v>84</v>
      </c>
      <c r="G264" s="44">
        <f>+G266</f>
        <v>-790308.8</v>
      </c>
      <c r="H264" s="44">
        <f>+H266</f>
        <v>-1248835.5</v>
      </c>
    </row>
    <row r="265" spans="1:8" s="10" customFormat="1" ht="16.95" customHeight="1">
      <c r="A265" s="405"/>
      <c r="B265" s="405"/>
      <c r="C265" s="408"/>
      <c r="D265" s="391"/>
      <c r="E265" s="421"/>
      <c r="F265" s="37" t="s">
        <v>6</v>
      </c>
      <c r="G265" s="44"/>
      <c r="H265" s="310"/>
    </row>
    <row r="266" spans="1:8" s="10" customFormat="1" ht="34.799999999999997">
      <c r="A266" s="405"/>
      <c r="B266" s="405"/>
      <c r="C266" s="408"/>
      <c r="D266" s="391"/>
      <c r="E266" s="421"/>
      <c r="F266" s="43" t="s">
        <v>12</v>
      </c>
      <c r="G266" s="44">
        <f>+G268+G298+G319+G348</f>
        <v>-790308.8</v>
      </c>
      <c r="H266" s="44">
        <f>+H268+H298+H319+H348</f>
        <v>-1248835.5</v>
      </c>
    </row>
    <row r="267" spans="1:8" s="10" customFormat="1" ht="16.95" customHeight="1">
      <c r="A267" s="405"/>
      <c r="B267" s="405"/>
      <c r="C267" s="408"/>
      <c r="D267" s="400"/>
      <c r="E267" s="422"/>
      <c r="F267" s="37" t="s">
        <v>6</v>
      </c>
      <c r="G267" s="44"/>
      <c r="H267" s="44"/>
    </row>
    <row r="268" spans="1:8" s="10" customFormat="1" ht="18">
      <c r="A268" s="405"/>
      <c r="B268" s="405"/>
      <c r="C268" s="408"/>
      <c r="D268" s="96">
        <v>1045</v>
      </c>
      <c r="E268" s="395" t="s">
        <v>110</v>
      </c>
      <c r="F268" s="395"/>
      <c r="G268" s="38">
        <f>+G270+G289</f>
        <v>-358486</v>
      </c>
      <c r="H268" s="38">
        <f>+H270+H289</f>
        <v>-468197.3</v>
      </c>
    </row>
    <row r="269" spans="1:8" s="10" customFormat="1" ht="16.95" customHeight="1">
      <c r="A269" s="405"/>
      <c r="B269" s="405"/>
      <c r="C269" s="408"/>
      <c r="D269" s="434"/>
      <c r="E269" s="49"/>
      <c r="F269" s="37" t="s">
        <v>6</v>
      </c>
      <c r="G269" s="38"/>
      <c r="H269" s="38"/>
    </row>
    <row r="270" spans="1:8" s="10" customFormat="1" ht="54">
      <c r="A270" s="405"/>
      <c r="B270" s="405"/>
      <c r="C270" s="408"/>
      <c r="D270" s="435"/>
      <c r="E270" s="46">
        <v>32001</v>
      </c>
      <c r="F270" s="71" t="s">
        <v>379</v>
      </c>
      <c r="G270" s="307">
        <f>+G272+G282</f>
        <v>-231819.6</v>
      </c>
      <c r="H270" s="307">
        <f>+H272+H282</f>
        <v>-207065</v>
      </c>
    </row>
    <row r="271" spans="1:8" s="10" customFormat="1" ht="18" customHeight="1">
      <c r="A271" s="405"/>
      <c r="B271" s="405"/>
      <c r="C271" s="408"/>
      <c r="D271" s="435"/>
      <c r="E271" s="424"/>
      <c r="F271" s="37" t="s">
        <v>16</v>
      </c>
      <c r="G271" s="44"/>
      <c r="H271" s="306"/>
    </row>
    <row r="272" spans="1:8" s="13" customFormat="1" ht="36.6" customHeight="1">
      <c r="A272" s="405"/>
      <c r="B272" s="405"/>
      <c r="C272" s="408"/>
      <c r="D272" s="435"/>
      <c r="E272" s="424"/>
      <c r="F272" s="45" t="s">
        <v>12</v>
      </c>
      <c r="G272" s="309">
        <f>+G274</f>
        <v>-144795.6</v>
      </c>
      <c r="H272" s="309">
        <f>+H274</f>
        <v>-107065</v>
      </c>
    </row>
    <row r="273" spans="1:8" s="10" customFormat="1" ht="52.2">
      <c r="A273" s="405"/>
      <c r="B273" s="405"/>
      <c r="C273" s="408"/>
      <c r="D273" s="435"/>
      <c r="E273" s="424"/>
      <c r="F273" s="37" t="s">
        <v>13</v>
      </c>
      <c r="G273" s="293"/>
      <c r="H273" s="306"/>
    </row>
    <row r="274" spans="1:8" s="10" customFormat="1" ht="16.95" customHeight="1">
      <c r="A274" s="405"/>
      <c r="B274" s="405"/>
      <c r="C274" s="408"/>
      <c r="D274" s="435"/>
      <c r="E274" s="424"/>
      <c r="F274" s="142" t="s">
        <v>7</v>
      </c>
      <c r="G274" s="44">
        <f>+G275+G278</f>
        <v>-144795.6</v>
      </c>
      <c r="H274" s="44">
        <f>+H275+H278</f>
        <v>-107065</v>
      </c>
    </row>
    <row r="275" spans="1:8" s="10" customFormat="1" ht="16.95" customHeight="1">
      <c r="A275" s="405"/>
      <c r="B275" s="405"/>
      <c r="C275" s="408"/>
      <c r="D275" s="435"/>
      <c r="E275" s="424"/>
      <c r="F275" s="37" t="s">
        <v>69</v>
      </c>
      <c r="G275" s="292">
        <f>+G276</f>
        <v>500</v>
      </c>
      <c r="H275" s="292">
        <f>+H276</f>
        <v>500</v>
      </c>
    </row>
    <row r="276" spans="1:8" s="10" customFormat="1" ht="18" customHeight="1">
      <c r="A276" s="405"/>
      <c r="B276" s="405"/>
      <c r="C276" s="408"/>
      <c r="D276" s="435"/>
      <c r="E276" s="424"/>
      <c r="F276" s="47" t="s">
        <v>457</v>
      </c>
      <c r="G276" s="293">
        <f t="shared" ref="G276:H276" si="32">+G277</f>
        <v>500</v>
      </c>
      <c r="H276" s="292">
        <f t="shared" si="32"/>
        <v>500</v>
      </c>
    </row>
    <row r="277" spans="1:8" s="10" customFormat="1" ht="52.2">
      <c r="A277" s="405"/>
      <c r="B277" s="405"/>
      <c r="C277" s="408"/>
      <c r="D277" s="435"/>
      <c r="E277" s="424"/>
      <c r="F277" s="47" t="s">
        <v>458</v>
      </c>
      <c r="G277" s="292">
        <f>+H277</f>
        <v>500</v>
      </c>
      <c r="H277" s="292">
        <v>500</v>
      </c>
    </row>
    <row r="278" spans="1:8" s="10" customFormat="1" ht="16.95" customHeight="1">
      <c r="A278" s="405"/>
      <c r="B278" s="405"/>
      <c r="C278" s="408"/>
      <c r="D278" s="435"/>
      <c r="E278" s="424"/>
      <c r="F278" s="37" t="s">
        <v>56</v>
      </c>
      <c r="G278" s="293">
        <f t="shared" ref="G278:H280" si="33">+G279</f>
        <v>-145295.6</v>
      </c>
      <c r="H278" s="292">
        <f t="shared" si="33"/>
        <v>-107565</v>
      </c>
    </row>
    <row r="279" spans="1:8" s="10" customFormat="1" ht="18" customHeight="1">
      <c r="A279" s="405"/>
      <c r="B279" s="405"/>
      <c r="C279" s="408"/>
      <c r="D279" s="435"/>
      <c r="E279" s="424"/>
      <c r="F279" s="37" t="s">
        <v>57</v>
      </c>
      <c r="G279" s="292">
        <f>+G280</f>
        <v>-145295.6</v>
      </c>
      <c r="H279" s="292">
        <f>+H280</f>
        <v>-107565</v>
      </c>
    </row>
    <row r="280" spans="1:8" s="10" customFormat="1" ht="18" customHeight="1">
      <c r="A280" s="405"/>
      <c r="B280" s="405"/>
      <c r="C280" s="408"/>
      <c r="D280" s="435"/>
      <c r="E280" s="424"/>
      <c r="F280" s="47" t="s">
        <v>58</v>
      </c>
      <c r="G280" s="292">
        <f t="shared" si="33"/>
        <v>-145295.6</v>
      </c>
      <c r="H280" s="292">
        <f t="shared" si="33"/>
        <v>-107565</v>
      </c>
    </row>
    <row r="281" spans="1:8" s="10" customFormat="1" ht="18" customHeight="1">
      <c r="A281" s="405"/>
      <c r="B281" s="405"/>
      <c r="C281" s="408"/>
      <c r="D281" s="435"/>
      <c r="E281" s="424"/>
      <c r="F281" s="47" t="s">
        <v>95</v>
      </c>
      <c r="G281" s="292">
        <f>+'Հավելված N 4'!E15</f>
        <v>-145295.6</v>
      </c>
      <c r="H281" s="292">
        <f>+'Հավելված N 4'!F15</f>
        <v>-107565</v>
      </c>
    </row>
    <row r="282" spans="1:8" s="13" customFormat="1" ht="36.6" customHeight="1">
      <c r="A282" s="405"/>
      <c r="B282" s="405"/>
      <c r="C282" s="408"/>
      <c r="D282" s="435"/>
      <c r="E282" s="424"/>
      <c r="F282" s="45" t="s">
        <v>168</v>
      </c>
      <c r="G282" s="309">
        <f>+G284</f>
        <v>-87024</v>
      </c>
      <c r="H282" s="309">
        <f>+H284</f>
        <v>-100000</v>
      </c>
    </row>
    <row r="283" spans="1:8" s="10" customFormat="1" ht="52.2">
      <c r="A283" s="405"/>
      <c r="B283" s="405"/>
      <c r="C283" s="408"/>
      <c r="D283" s="435"/>
      <c r="E283" s="424"/>
      <c r="F283" s="37" t="s">
        <v>13</v>
      </c>
      <c r="G283" s="293"/>
      <c r="H283" s="306"/>
    </row>
    <row r="284" spans="1:8" s="10" customFormat="1" ht="16.95" customHeight="1">
      <c r="A284" s="405"/>
      <c r="B284" s="405"/>
      <c r="C284" s="408"/>
      <c r="D284" s="435"/>
      <c r="E284" s="424"/>
      <c r="F284" s="142" t="s">
        <v>7</v>
      </c>
      <c r="G284" s="44">
        <f>G285</f>
        <v>-87024</v>
      </c>
      <c r="H284" s="44">
        <f>H285</f>
        <v>-100000</v>
      </c>
    </row>
    <row r="285" spans="1:8" s="10" customFormat="1" ht="16.95" customHeight="1">
      <c r="A285" s="405"/>
      <c r="B285" s="405"/>
      <c r="C285" s="408"/>
      <c r="D285" s="435"/>
      <c r="E285" s="424"/>
      <c r="F285" s="37" t="s">
        <v>56</v>
      </c>
      <c r="G285" s="293">
        <f t="shared" ref="G285:H287" si="34">+G286</f>
        <v>-87024</v>
      </c>
      <c r="H285" s="292">
        <f t="shared" si="34"/>
        <v>-100000</v>
      </c>
    </row>
    <row r="286" spans="1:8" s="10" customFormat="1" ht="18" customHeight="1">
      <c r="A286" s="405"/>
      <c r="B286" s="405"/>
      <c r="C286" s="408"/>
      <c r="D286" s="435"/>
      <c r="E286" s="424"/>
      <c r="F286" s="37" t="s">
        <v>57</v>
      </c>
      <c r="G286" s="292">
        <f>+G287</f>
        <v>-87024</v>
      </c>
      <c r="H286" s="292">
        <f>+H287</f>
        <v>-100000</v>
      </c>
    </row>
    <row r="287" spans="1:8" s="10" customFormat="1" ht="18" customHeight="1">
      <c r="A287" s="405"/>
      <c r="B287" s="405"/>
      <c r="C287" s="408"/>
      <c r="D287" s="435"/>
      <c r="E287" s="424"/>
      <c r="F287" s="47" t="s">
        <v>58</v>
      </c>
      <c r="G287" s="292">
        <f t="shared" si="34"/>
        <v>-87024</v>
      </c>
      <c r="H287" s="292">
        <f t="shared" si="34"/>
        <v>-100000</v>
      </c>
    </row>
    <row r="288" spans="1:8" s="10" customFormat="1" ht="18" customHeight="1">
      <c r="A288" s="405"/>
      <c r="B288" s="405"/>
      <c r="C288" s="408"/>
      <c r="D288" s="435"/>
      <c r="E288" s="424"/>
      <c r="F288" s="47" t="s">
        <v>95</v>
      </c>
      <c r="G288" s="292">
        <f>+'Հավելված N 4'!E21</f>
        <v>-87024</v>
      </c>
      <c r="H288" s="292">
        <f>+'Հավելված N 4'!F21</f>
        <v>-100000</v>
      </c>
    </row>
    <row r="289" spans="1:8" s="10" customFormat="1" ht="36">
      <c r="A289" s="405"/>
      <c r="B289" s="405"/>
      <c r="C289" s="408"/>
      <c r="D289" s="435"/>
      <c r="E289" s="46">
        <v>32005</v>
      </c>
      <c r="F289" s="71" t="s">
        <v>201</v>
      </c>
      <c r="G289" s="307">
        <f>+G291</f>
        <v>-126666.4</v>
      </c>
      <c r="H289" s="307">
        <f>+H291</f>
        <v>-261132.3</v>
      </c>
    </row>
    <row r="290" spans="1:8" s="10" customFormat="1" ht="18" customHeight="1">
      <c r="A290" s="405"/>
      <c r="B290" s="405"/>
      <c r="C290" s="408"/>
      <c r="D290" s="435"/>
      <c r="E290" s="424"/>
      <c r="F290" s="37" t="s">
        <v>16</v>
      </c>
      <c r="G290" s="44"/>
      <c r="H290" s="306"/>
    </row>
    <row r="291" spans="1:8" s="13" customFormat="1" ht="36.6" customHeight="1">
      <c r="A291" s="405"/>
      <c r="B291" s="405"/>
      <c r="C291" s="408"/>
      <c r="D291" s="435"/>
      <c r="E291" s="424"/>
      <c r="F291" s="45" t="s">
        <v>168</v>
      </c>
      <c r="G291" s="309">
        <f>+G293</f>
        <v>-126666.4</v>
      </c>
      <c r="H291" s="309">
        <f>+H293</f>
        <v>-261132.3</v>
      </c>
    </row>
    <row r="292" spans="1:8" s="10" customFormat="1" ht="52.2">
      <c r="A292" s="405"/>
      <c r="B292" s="405"/>
      <c r="C292" s="408"/>
      <c r="D292" s="435"/>
      <c r="E292" s="424"/>
      <c r="F292" s="37" t="s">
        <v>13</v>
      </c>
      <c r="G292" s="293"/>
      <c r="H292" s="306"/>
    </row>
    <row r="293" spans="1:8" s="10" customFormat="1" ht="16.95" customHeight="1">
      <c r="A293" s="405"/>
      <c r="B293" s="405"/>
      <c r="C293" s="408"/>
      <c r="D293" s="435"/>
      <c r="E293" s="424"/>
      <c r="F293" s="142" t="s">
        <v>7</v>
      </c>
      <c r="G293" s="44">
        <f>G294</f>
        <v>-126666.4</v>
      </c>
      <c r="H293" s="44">
        <f>H294</f>
        <v>-261132.3</v>
      </c>
    </row>
    <row r="294" spans="1:8" s="10" customFormat="1" ht="16.95" customHeight="1">
      <c r="A294" s="405"/>
      <c r="B294" s="405"/>
      <c r="C294" s="408"/>
      <c r="D294" s="435"/>
      <c r="E294" s="424"/>
      <c r="F294" s="37" t="s">
        <v>56</v>
      </c>
      <c r="G294" s="293">
        <f t="shared" ref="G294:H296" si="35">+G295</f>
        <v>-126666.4</v>
      </c>
      <c r="H294" s="292">
        <f t="shared" si="35"/>
        <v>-261132.3</v>
      </c>
    </row>
    <row r="295" spans="1:8" s="10" customFormat="1" ht="18" customHeight="1">
      <c r="A295" s="405"/>
      <c r="B295" s="405"/>
      <c r="C295" s="408"/>
      <c r="D295" s="435"/>
      <c r="E295" s="424"/>
      <c r="F295" s="37" t="s">
        <v>57</v>
      </c>
      <c r="G295" s="292">
        <f>+G296</f>
        <v>-126666.4</v>
      </c>
      <c r="H295" s="292">
        <f>+H296</f>
        <v>-261132.3</v>
      </c>
    </row>
    <row r="296" spans="1:8" s="10" customFormat="1" ht="18" customHeight="1">
      <c r="A296" s="405"/>
      <c r="B296" s="405"/>
      <c r="C296" s="408"/>
      <c r="D296" s="435"/>
      <c r="E296" s="424"/>
      <c r="F296" s="47" t="s">
        <v>58</v>
      </c>
      <c r="G296" s="292">
        <f t="shared" si="35"/>
        <v>-126666.4</v>
      </c>
      <c r="H296" s="292">
        <f t="shared" si="35"/>
        <v>-261132.3</v>
      </c>
    </row>
    <row r="297" spans="1:8" s="10" customFormat="1" ht="18" customHeight="1">
      <c r="A297" s="405"/>
      <c r="B297" s="405"/>
      <c r="C297" s="408"/>
      <c r="D297" s="436"/>
      <c r="E297" s="424"/>
      <c r="F297" s="47" t="s">
        <v>47</v>
      </c>
      <c r="G297" s="292">
        <f>+'Հավելված N 4'!E27</f>
        <v>-126666.4</v>
      </c>
      <c r="H297" s="292">
        <f>+'Հավելված N 4'!F27</f>
        <v>-261132.3</v>
      </c>
    </row>
    <row r="298" spans="1:8" s="10" customFormat="1" ht="39.450000000000003" customHeight="1">
      <c r="A298" s="405"/>
      <c r="B298" s="405"/>
      <c r="C298" s="408"/>
      <c r="D298" s="96">
        <v>1111</v>
      </c>
      <c r="E298" s="395" t="s">
        <v>476</v>
      </c>
      <c r="F298" s="395"/>
      <c r="G298" s="38">
        <f>+G300+G310</f>
        <v>166383.40000000002</v>
      </c>
      <c r="H298" s="38">
        <f>+H300+H310</f>
        <v>166383.40000000002</v>
      </c>
    </row>
    <row r="299" spans="1:8" s="10" customFormat="1" ht="16.95" customHeight="1">
      <c r="A299" s="405"/>
      <c r="B299" s="405"/>
      <c r="C299" s="408"/>
      <c r="D299" s="434"/>
      <c r="E299" s="49"/>
      <c r="F299" s="37" t="s">
        <v>6</v>
      </c>
      <c r="G299" s="38"/>
      <c r="H299" s="38"/>
    </row>
    <row r="300" spans="1:8" s="10" customFormat="1" ht="54">
      <c r="A300" s="405"/>
      <c r="B300" s="405"/>
      <c r="C300" s="408"/>
      <c r="D300" s="435"/>
      <c r="E300" s="46">
        <v>32001</v>
      </c>
      <c r="F300" s="68" t="s">
        <v>477</v>
      </c>
      <c r="G300" s="307">
        <f>+G302</f>
        <v>163986.40000000002</v>
      </c>
      <c r="H300" s="307">
        <f>+H302</f>
        <v>163986.40000000002</v>
      </c>
    </row>
    <row r="301" spans="1:8" s="10" customFormat="1" ht="17.55" customHeight="1">
      <c r="A301" s="405"/>
      <c r="B301" s="405"/>
      <c r="C301" s="408"/>
      <c r="D301" s="435"/>
      <c r="E301" s="411"/>
      <c r="F301" s="37" t="s">
        <v>16</v>
      </c>
      <c r="G301" s="44"/>
      <c r="H301" s="306"/>
    </row>
    <row r="302" spans="1:8" s="13" customFormat="1" ht="36.6" customHeight="1">
      <c r="A302" s="405"/>
      <c r="B302" s="405"/>
      <c r="C302" s="408"/>
      <c r="D302" s="435"/>
      <c r="E302" s="412"/>
      <c r="F302" s="45" t="s">
        <v>12</v>
      </c>
      <c r="G302" s="309">
        <f>+G304</f>
        <v>163986.40000000002</v>
      </c>
      <c r="H302" s="309">
        <f>+H304</f>
        <v>163986.40000000002</v>
      </c>
    </row>
    <row r="303" spans="1:8" s="10" customFormat="1" ht="52.2">
      <c r="A303" s="405"/>
      <c r="B303" s="405"/>
      <c r="C303" s="408"/>
      <c r="D303" s="435"/>
      <c r="E303" s="412"/>
      <c r="F303" s="37" t="s">
        <v>13</v>
      </c>
      <c r="G303" s="293"/>
      <c r="H303" s="306"/>
    </row>
    <row r="304" spans="1:8" s="10" customFormat="1" ht="16.95" customHeight="1">
      <c r="A304" s="405"/>
      <c r="B304" s="405"/>
      <c r="C304" s="408"/>
      <c r="D304" s="435"/>
      <c r="E304" s="412"/>
      <c r="F304" s="142" t="s">
        <v>7</v>
      </c>
      <c r="G304" s="44">
        <f t="shared" ref="G304:H306" si="36">+G305</f>
        <v>163986.40000000002</v>
      </c>
      <c r="H304" s="44">
        <f t="shared" si="36"/>
        <v>163986.40000000002</v>
      </c>
    </row>
    <row r="305" spans="1:8" s="10" customFormat="1" ht="16.95" customHeight="1">
      <c r="A305" s="405"/>
      <c r="B305" s="405"/>
      <c r="C305" s="408"/>
      <c r="D305" s="435"/>
      <c r="E305" s="412"/>
      <c r="F305" s="37" t="s">
        <v>69</v>
      </c>
      <c r="G305" s="293">
        <f t="shared" si="36"/>
        <v>163986.40000000002</v>
      </c>
      <c r="H305" s="293">
        <f t="shared" si="36"/>
        <v>163986.40000000002</v>
      </c>
    </row>
    <row r="306" spans="1:8" s="10" customFormat="1" ht="18" customHeight="1">
      <c r="A306" s="405"/>
      <c r="B306" s="405"/>
      <c r="C306" s="408"/>
      <c r="D306" s="435"/>
      <c r="E306" s="412"/>
      <c r="F306" s="37" t="s">
        <v>461</v>
      </c>
      <c r="G306" s="293">
        <f t="shared" si="36"/>
        <v>163986.40000000002</v>
      </c>
      <c r="H306" s="293">
        <f t="shared" si="36"/>
        <v>163986.40000000002</v>
      </c>
    </row>
    <row r="307" spans="1:8" s="10" customFormat="1" ht="34.799999999999997">
      <c r="A307" s="405"/>
      <c r="B307" s="405"/>
      <c r="C307" s="408"/>
      <c r="D307" s="435"/>
      <c r="E307" s="412"/>
      <c r="F307" s="37" t="s">
        <v>467</v>
      </c>
      <c r="G307" s="293">
        <f>+G308+G309</f>
        <v>163986.40000000002</v>
      </c>
      <c r="H307" s="293">
        <f>+H308+H309</f>
        <v>163986.40000000002</v>
      </c>
    </row>
    <row r="308" spans="1:8" s="10" customFormat="1" ht="34.799999999999997">
      <c r="A308" s="405"/>
      <c r="B308" s="405"/>
      <c r="C308" s="408"/>
      <c r="D308" s="435"/>
      <c r="E308" s="412"/>
      <c r="F308" s="291" t="s">
        <v>463</v>
      </c>
      <c r="G308" s="292">
        <f>+H308</f>
        <v>17074.2</v>
      </c>
      <c r="H308" s="292">
        <f>+'Հավելված N 5'!G28</f>
        <v>17074.2</v>
      </c>
    </row>
    <row r="309" spans="1:8" s="10" customFormat="1" ht="18" customHeight="1">
      <c r="A309" s="405"/>
      <c r="B309" s="405"/>
      <c r="C309" s="408"/>
      <c r="D309" s="435"/>
      <c r="E309" s="413"/>
      <c r="F309" s="291" t="s">
        <v>468</v>
      </c>
      <c r="G309" s="292">
        <f>+H309</f>
        <v>146912.20000000001</v>
      </c>
      <c r="H309" s="292">
        <f>+'Հավելված N 5'!G27</f>
        <v>146912.20000000001</v>
      </c>
    </row>
    <row r="310" spans="1:8" s="10" customFormat="1" ht="72">
      <c r="A310" s="405"/>
      <c r="B310" s="405"/>
      <c r="C310" s="408"/>
      <c r="D310" s="435"/>
      <c r="E310" s="46">
        <v>32003</v>
      </c>
      <c r="F310" s="68" t="s">
        <v>478</v>
      </c>
      <c r="G310" s="307">
        <f>+G312</f>
        <v>2397</v>
      </c>
      <c r="H310" s="307">
        <f>+H312</f>
        <v>2397</v>
      </c>
    </row>
    <row r="311" spans="1:8" s="10" customFormat="1" ht="17.55" customHeight="1">
      <c r="A311" s="405"/>
      <c r="B311" s="405"/>
      <c r="C311" s="408"/>
      <c r="D311" s="435"/>
      <c r="E311" s="49"/>
      <c r="F311" s="37" t="s">
        <v>16</v>
      </c>
      <c r="G311" s="44"/>
      <c r="H311" s="306"/>
    </row>
    <row r="312" spans="1:8" s="13" customFormat="1" ht="36.6" customHeight="1">
      <c r="A312" s="405"/>
      <c r="B312" s="405"/>
      <c r="C312" s="408"/>
      <c r="D312" s="435"/>
      <c r="E312" s="411"/>
      <c r="F312" s="45" t="s">
        <v>12</v>
      </c>
      <c r="G312" s="309">
        <f>+G314</f>
        <v>2397</v>
      </c>
      <c r="H312" s="309">
        <f>+H314</f>
        <v>2397</v>
      </c>
    </row>
    <row r="313" spans="1:8" s="10" customFormat="1" ht="52.2">
      <c r="A313" s="405"/>
      <c r="B313" s="405"/>
      <c r="C313" s="408"/>
      <c r="D313" s="435"/>
      <c r="E313" s="412"/>
      <c r="F313" s="37" t="s">
        <v>13</v>
      </c>
      <c r="G313" s="293"/>
      <c r="H313" s="306"/>
    </row>
    <row r="314" spans="1:8" s="10" customFormat="1" ht="16.95" customHeight="1">
      <c r="A314" s="405"/>
      <c r="B314" s="405"/>
      <c r="C314" s="408"/>
      <c r="D314" s="435"/>
      <c r="E314" s="412"/>
      <c r="F314" s="142" t="s">
        <v>7</v>
      </c>
      <c r="G314" s="44">
        <f t="shared" ref="G314:H317" si="37">+G315</f>
        <v>2397</v>
      </c>
      <c r="H314" s="44">
        <f t="shared" si="37"/>
        <v>2397</v>
      </c>
    </row>
    <row r="315" spans="1:8" s="10" customFormat="1" ht="16.95" customHeight="1">
      <c r="A315" s="405"/>
      <c r="B315" s="405"/>
      <c r="C315" s="408"/>
      <c r="D315" s="435"/>
      <c r="E315" s="412"/>
      <c r="F315" s="37" t="s">
        <v>69</v>
      </c>
      <c r="G315" s="293">
        <f t="shared" si="37"/>
        <v>2397</v>
      </c>
      <c r="H315" s="293">
        <f t="shared" si="37"/>
        <v>2397</v>
      </c>
    </row>
    <row r="316" spans="1:8" s="10" customFormat="1" ht="18" customHeight="1">
      <c r="A316" s="405"/>
      <c r="B316" s="405"/>
      <c r="C316" s="408"/>
      <c r="D316" s="435"/>
      <c r="E316" s="412"/>
      <c r="F316" s="37" t="s">
        <v>461</v>
      </c>
      <c r="G316" s="293">
        <f t="shared" si="37"/>
        <v>2397</v>
      </c>
      <c r="H316" s="293">
        <f t="shared" si="37"/>
        <v>2397</v>
      </c>
    </row>
    <row r="317" spans="1:8" s="10" customFormat="1" ht="34.799999999999997">
      <c r="A317" s="405"/>
      <c r="B317" s="405"/>
      <c r="C317" s="408"/>
      <c r="D317" s="435"/>
      <c r="E317" s="412"/>
      <c r="F317" s="37" t="s">
        <v>467</v>
      </c>
      <c r="G317" s="293">
        <f t="shared" si="37"/>
        <v>2397</v>
      </c>
      <c r="H317" s="293">
        <f t="shared" si="37"/>
        <v>2397</v>
      </c>
    </row>
    <row r="318" spans="1:8" s="10" customFormat="1" ht="34.799999999999997">
      <c r="A318" s="405"/>
      <c r="B318" s="405"/>
      <c r="C318" s="408"/>
      <c r="D318" s="436"/>
      <c r="E318" s="413"/>
      <c r="F318" s="291" t="s">
        <v>463</v>
      </c>
      <c r="G318" s="292">
        <f>+H318</f>
        <v>2397</v>
      </c>
      <c r="H318" s="292">
        <f>+'Հավելված N 5'!G30</f>
        <v>2397</v>
      </c>
    </row>
    <row r="319" spans="1:8" s="10" customFormat="1" ht="18">
      <c r="A319" s="405"/>
      <c r="B319" s="405"/>
      <c r="C319" s="408"/>
      <c r="D319" s="96">
        <v>1163</v>
      </c>
      <c r="E319" s="395" t="s">
        <v>154</v>
      </c>
      <c r="F319" s="395"/>
      <c r="G319" s="38">
        <f>+G321+G337</f>
        <v>-779148.1</v>
      </c>
      <c r="H319" s="38">
        <f>+H321+H337</f>
        <v>-1172223.7000000002</v>
      </c>
    </row>
    <row r="320" spans="1:8" s="10" customFormat="1" ht="16.95" customHeight="1">
      <c r="A320" s="405"/>
      <c r="B320" s="405"/>
      <c r="C320" s="408"/>
      <c r="D320" s="434"/>
      <c r="E320" s="49"/>
      <c r="F320" s="37" t="s">
        <v>6</v>
      </c>
      <c r="G320" s="38"/>
      <c r="H320" s="38"/>
    </row>
    <row r="321" spans="1:8" s="10" customFormat="1" ht="54">
      <c r="A321" s="405"/>
      <c r="B321" s="405"/>
      <c r="C321" s="408"/>
      <c r="D321" s="435"/>
      <c r="E321" s="46">
        <v>12001</v>
      </c>
      <c r="F321" s="71" t="s">
        <v>289</v>
      </c>
      <c r="G321" s="307">
        <f>+G323+G330</f>
        <v>-239793.5</v>
      </c>
      <c r="H321" s="307">
        <f>+H323+H330</f>
        <v>-550936.90000000014</v>
      </c>
    </row>
    <row r="322" spans="1:8" s="10" customFormat="1" ht="18" customHeight="1">
      <c r="A322" s="405"/>
      <c r="B322" s="405"/>
      <c r="C322" s="408"/>
      <c r="D322" s="435"/>
      <c r="E322" s="424"/>
      <c r="F322" s="37" t="s">
        <v>16</v>
      </c>
      <c r="G322" s="44"/>
      <c r="H322" s="306"/>
    </row>
    <row r="323" spans="1:8" s="13" customFormat="1" ht="36.6" customHeight="1">
      <c r="A323" s="405"/>
      <c r="B323" s="405"/>
      <c r="C323" s="408"/>
      <c r="D323" s="435"/>
      <c r="E323" s="424"/>
      <c r="F323" s="45" t="s">
        <v>12</v>
      </c>
      <c r="G323" s="309">
        <f>+G325</f>
        <v>0</v>
      </c>
      <c r="H323" s="309">
        <f>+H325</f>
        <v>16138</v>
      </c>
    </row>
    <row r="324" spans="1:8" s="10" customFormat="1" ht="52.2">
      <c r="A324" s="405"/>
      <c r="B324" s="405"/>
      <c r="C324" s="408"/>
      <c r="D324" s="435"/>
      <c r="E324" s="424"/>
      <c r="F324" s="37" t="s">
        <v>13</v>
      </c>
      <c r="G324" s="293"/>
      <c r="H324" s="306"/>
    </row>
    <row r="325" spans="1:8" s="10" customFormat="1" ht="16.95" customHeight="1">
      <c r="A325" s="405"/>
      <c r="B325" s="405"/>
      <c r="C325" s="408"/>
      <c r="D325" s="435"/>
      <c r="E325" s="424"/>
      <c r="F325" s="142" t="s">
        <v>7</v>
      </c>
      <c r="G325" s="44">
        <f>G326</f>
        <v>0</v>
      </c>
      <c r="H325" s="44">
        <f>H326</f>
        <v>16138</v>
      </c>
    </row>
    <row r="326" spans="1:8" s="10" customFormat="1" ht="16.95" customHeight="1">
      <c r="A326" s="405"/>
      <c r="B326" s="405"/>
      <c r="C326" s="408"/>
      <c r="D326" s="435"/>
      <c r="E326" s="424"/>
      <c r="F326" s="37" t="s">
        <v>56</v>
      </c>
      <c r="G326" s="292">
        <f t="shared" ref="G326:H328" si="38">+G327</f>
        <v>0</v>
      </c>
      <c r="H326" s="292">
        <f t="shared" si="38"/>
        <v>16138</v>
      </c>
    </row>
    <row r="327" spans="1:8" s="10" customFormat="1" ht="18" customHeight="1">
      <c r="A327" s="405"/>
      <c r="B327" s="405"/>
      <c r="C327" s="408"/>
      <c r="D327" s="435"/>
      <c r="E327" s="424"/>
      <c r="F327" s="37" t="s">
        <v>57</v>
      </c>
      <c r="G327" s="292">
        <f t="shared" si="38"/>
        <v>0</v>
      </c>
      <c r="H327" s="292">
        <f t="shared" si="38"/>
        <v>16138</v>
      </c>
    </row>
    <row r="328" spans="1:8" s="10" customFormat="1" ht="18" customHeight="1">
      <c r="A328" s="405"/>
      <c r="B328" s="405"/>
      <c r="C328" s="408"/>
      <c r="D328" s="435"/>
      <c r="E328" s="424"/>
      <c r="F328" s="47" t="s">
        <v>67</v>
      </c>
      <c r="G328" s="292">
        <f t="shared" si="38"/>
        <v>0</v>
      </c>
      <c r="H328" s="292">
        <f t="shared" si="38"/>
        <v>16138</v>
      </c>
    </row>
    <row r="329" spans="1:8" s="10" customFormat="1" ht="18" customHeight="1">
      <c r="A329" s="405"/>
      <c r="B329" s="405"/>
      <c r="C329" s="408"/>
      <c r="D329" s="435"/>
      <c r="E329" s="424"/>
      <c r="F329" s="47" t="s">
        <v>68</v>
      </c>
      <c r="G329" s="292">
        <f>+'Հավելված N 4'!E74</f>
        <v>0</v>
      </c>
      <c r="H329" s="292">
        <f>+'Հավելված N 4'!F74</f>
        <v>16138</v>
      </c>
    </row>
    <row r="330" spans="1:8" s="13" customFormat="1" ht="36.6" customHeight="1">
      <c r="A330" s="405"/>
      <c r="B330" s="405"/>
      <c r="C330" s="408"/>
      <c r="D330" s="435"/>
      <c r="E330" s="424"/>
      <c r="F330" s="45" t="s">
        <v>168</v>
      </c>
      <c r="G330" s="309">
        <f>+G332</f>
        <v>-239793.5</v>
      </c>
      <c r="H330" s="309">
        <f>+H332</f>
        <v>-567074.90000000014</v>
      </c>
    </row>
    <row r="331" spans="1:8" s="10" customFormat="1" ht="52.2">
      <c r="A331" s="405"/>
      <c r="B331" s="405"/>
      <c r="C331" s="408"/>
      <c r="D331" s="435"/>
      <c r="E331" s="424"/>
      <c r="F331" s="37" t="s">
        <v>13</v>
      </c>
      <c r="G331" s="293"/>
      <c r="H331" s="306"/>
    </row>
    <row r="332" spans="1:8" s="10" customFormat="1" ht="16.95" customHeight="1">
      <c r="A332" s="405"/>
      <c r="B332" s="405"/>
      <c r="C332" s="408"/>
      <c r="D332" s="435"/>
      <c r="E332" s="424"/>
      <c r="F332" s="142" t="s">
        <v>7</v>
      </c>
      <c r="G332" s="44">
        <f>G333</f>
        <v>-239793.5</v>
      </c>
      <c r="H332" s="44">
        <f>H333</f>
        <v>-567074.90000000014</v>
      </c>
    </row>
    <row r="333" spans="1:8" s="10" customFormat="1" ht="16.95" customHeight="1">
      <c r="A333" s="405"/>
      <c r="B333" s="405"/>
      <c r="C333" s="408"/>
      <c r="D333" s="435"/>
      <c r="E333" s="424"/>
      <c r="F333" s="37" t="s">
        <v>56</v>
      </c>
      <c r="G333" s="292">
        <f t="shared" ref="G333:H335" si="39">+G334</f>
        <v>-239793.5</v>
      </c>
      <c r="H333" s="292">
        <f t="shared" si="39"/>
        <v>-567074.90000000014</v>
      </c>
    </row>
    <row r="334" spans="1:8" s="10" customFormat="1" ht="18" customHeight="1">
      <c r="A334" s="405"/>
      <c r="B334" s="405"/>
      <c r="C334" s="408"/>
      <c r="D334" s="435"/>
      <c r="E334" s="424"/>
      <c r="F334" s="37" t="s">
        <v>57</v>
      </c>
      <c r="G334" s="292">
        <f t="shared" si="39"/>
        <v>-239793.5</v>
      </c>
      <c r="H334" s="292">
        <f t="shared" si="39"/>
        <v>-567074.90000000014</v>
      </c>
    </row>
    <row r="335" spans="1:8" s="10" customFormat="1" ht="18" customHeight="1">
      <c r="A335" s="405"/>
      <c r="B335" s="405"/>
      <c r="C335" s="408"/>
      <c r="D335" s="435"/>
      <c r="E335" s="424"/>
      <c r="F335" s="47" t="s">
        <v>58</v>
      </c>
      <c r="G335" s="292">
        <f t="shared" si="39"/>
        <v>-239793.5</v>
      </c>
      <c r="H335" s="292">
        <f t="shared" si="39"/>
        <v>-567074.90000000014</v>
      </c>
    </row>
    <row r="336" spans="1:8" s="10" customFormat="1" ht="18" customHeight="1">
      <c r="A336" s="405"/>
      <c r="B336" s="405"/>
      <c r="C336" s="408"/>
      <c r="D336" s="435"/>
      <c r="E336" s="424"/>
      <c r="F336" s="47" t="s">
        <v>47</v>
      </c>
      <c r="G336" s="292">
        <f>+'Հավելված N 4'!E78</f>
        <v>-239793.5</v>
      </c>
      <c r="H336" s="292">
        <f>+'Հավելված N 4'!F78</f>
        <v>-567074.90000000014</v>
      </c>
    </row>
    <row r="337" spans="1:8" s="10" customFormat="1" ht="18">
      <c r="A337" s="405"/>
      <c r="B337" s="405"/>
      <c r="C337" s="408"/>
      <c r="D337" s="435"/>
      <c r="E337" s="46">
        <v>32001</v>
      </c>
      <c r="F337" s="68" t="s">
        <v>197</v>
      </c>
      <c r="G337" s="307">
        <f>+G339</f>
        <v>-539354.6</v>
      </c>
      <c r="H337" s="307">
        <f>+H339</f>
        <v>-621286.79999999993</v>
      </c>
    </row>
    <row r="338" spans="1:8" s="10" customFormat="1" ht="18" customHeight="1">
      <c r="A338" s="405"/>
      <c r="B338" s="405"/>
      <c r="C338" s="408"/>
      <c r="D338" s="435"/>
      <c r="E338" s="411"/>
      <c r="F338" s="37" t="s">
        <v>16</v>
      </c>
      <c r="G338" s="44"/>
      <c r="H338" s="306"/>
    </row>
    <row r="339" spans="1:8" s="13" customFormat="1" ht="36.6" customHeight="1">
      <c r="A339" s="405"/>
      <c r="B339" s="405"/>
      <c r="C339" s="408"/>
      <c r="D339" s="435"/>
      <c r="E339" s="412"/>
      <c r="F339" s="45" t="s">
        <v>168</v>
      </c>
      <c r="G339" s="309">
        <f>+G341</f>
        <v>-539354.6</v>
      </c>
      <c r="H339" s="309">
        <f>+H341</f>
        <v>-621286.79999999993</v>
      </c>
    </row>
    <row r="340" spans="1:8" s="10" customFormat="1" ht="52.2">
      <c r="A340" s="405"/>
      <c r="B340" s="405"/>
      <c r="C340" s="408"/>
      <c r="D340" s="435"/>
      <c r="E340" s="412"/>
      <c r="F340" s="37" t="s">
        <v>13</v>
      </c>
      <c r="G340" s="293"/>
      <c r="H340" s="306"/>
    </row>
    <row r="341" spans="1:8" s="10" customFormat="1" ht="16.95" customHeight="1">
      <c r="A341" s="405"/>
      <c r="B341" s="405"/>
      <c r="C341" s="408"/>
      <c r="D341" s="435"/>
      <c r="E341" s="412"/>
      <c r="F341" s="142" t="s">
        <v>7</v>
      </c>
      <c r="G341" s="44">
        <f>G342</f>
        <v>-539354.6</v>
      </c>
      <c r="H341" s="44">
        <f>H342</f>
        <v>-621286.79999999993</v>
      </c>
    </row>
    <row r="342" spans="1:8" s="10" customFormat="1" ht="16.95" customHeight="1">
      <c r="A342" s="405"/>
      <c r="B342" s="405"/>
      <c r="C342" s="408"/>
      <c r="D342" s="435"/>
      <c r="E342" s="412"/>
      <c r="F342" s="37" t="s">
        <v>56</v>
      </c>
      <c r="G342" s="292">
        <f t="shared" ref="G342:H346" si="40">+G343</f>
        <v>-539354.6</v>
      </c>
      <c r="H342" s="292">
        <f t="shared" si="40"/>
        <v>-621286.79999999993</v>
      </c>
    </row>
    <row r="343" spans="1:8" s="10" customFormat="1" ht="18" customHeight="1">
      <c r="A343" s="405"/>
      <c r="B343" s="405"/>
      <c r="C343" s="408"/>
      <c r="D343" s="435"/>
      <c r="E343" s="412"/>
      <c r="F343" s="37" t="s">
        <v>57</v>
      </c>
      <c r="G343" s="292">
        <f>+G344+G346</f>
        <v>-539354.6</v>
      </c>
      <c r="H343" s="292">
        <f>+H344+H346</f>
        <v>-621286.79999999993</v>
      </c>
    </row>
    <row r="344" spans="1:8" s="10" customFormat="1" ht="18" customHeight="1">
      <c r="A344" s="405"/>
      <c r="B344" s="405"/>
      <c r="C344" s="408"/>
      <c r="D344" s="435"/>
      <c r="E344" s="412"/>
      <c r="F344" s="37" t="s">
        <v>58</v>
      </c>
      <c r="G344" s="292">
        <f t="shared" si="40"/>
        <v>-529474.6</v>
      </c>
      <c r="H344" s="292">
        <f t="shared" si="40"/>
        <v>-648149.19999999995</v>
      </c>
    </row>
    <row r="345" spans="1:8" s="10" customFormat="1" ht="18" customHeight="1">
      <c r="A345" s="405"/>
      <c r="B345" s="405"/>
      <c r="C345" s="408"/>
      <c r="D345" s="435"/>
      <c r="E345" s="412"/>
      <c r="F345" s="37" t="s">
        <v>47</v>
      </c>
      <c r="G345" s="292">
        <f>+'Հավելված N 4'!E87+'Հավելված N 4'!E88+'Հավելված N 4'!E90+'Հավելված N 4'!E97+'Հավելված N 4'!E99</f>
        <v>-529474.6</v>
      </c>
      <c r="H345" s="292">
        <f>+'Հավելված N 4'!F87+'Հավելված N 4'!F88+'Հավելված N 4'!F90+'Հավելված N 4'!F97-9185.7+'Հավելված N 4'!F99</f>
        <v>-648149.19999999995</v>
      </c>
    </row>
    <row r="346" spans="1:8" s="10" customFormat="1">
      <c r="A346" s="405"/>
      <c r="B346" s="405"/>
      <c r="C346" s="408"/>
      <c r="D346" s="435"/>
      <c r="E346" s="412"/>
      <c r="F346" s="37" t="s">
        <v>67</v>
      </c>
      <c r="G346" s="292">
        <f t="shared" si="40"/>
        <v>-9880</v>
      </c>
      <c r="H346" s="292">
        <f t="shared" si="40"/>
        <v>26862.400000000001</v>
      </c>
    </row>
    <row r="347" spans="1:8" s="10" customFormat="1">
      <c r="A347" s="405"/>
      <c r="B347" s="405"/>
      <c r="C347" s="408"/>
      <c r="D347" s="436"/>
      <c r="E347" s="413"/>
      <c r="F347" s="37" t="s">
        <v>68</v>
      </c>
      <c r="G347" s="292">
        <f>+'Հավելված N 4'!E91+'Հավելված N 4'!E93+'Հավելված N 4'!E95</f>
        <v>-9880</v>
      </c>
      <c r="H347" s="292">
        <f>+'Հավելված N 4'!F91+'Հավելված N 4'!F93+'Հավելված N 4'!F95+9185.7</f>
        <v>26862.400000000001</v>
      </c>
    </row>
    <row r="348" spans="1:8" s="10" customFormat="1" ht="18">
      <c r="A348" s="405"/>
      <c r="B348" s="405"/>
      <c r="C348" s="408"/>
      <c r="D348" s="96">
        <v>1183</v>
      </c>
      <c r="E348" s="395" t="s">
        <v>91</v>
      </c>
      <c r="F348" s="395"/>
      <c r="G348" s="38">
        <f>+G350+G377+G386</f>
        <v>180941.89999999997</v>
      </c>
      <c r="H348" s="38">
        <f>+H350+H377+H386</f>
        <v>225202.10000000003</v>
      </c>
    </row>
    <row r="349" spans="1:8" s="10" customFormat="1" ht="16.95" customHeight="1">
      <c r="A349" s="405"/>
      <c r="B349" s="405"/>
      <c r="C349" s="408"/>
      <c r="D349" s="396"/>
      <c r="E349" s="49"/>
      <c r="F349" s="37" t="s">
        <v>6</v>
      </c>
      <c r="G349" s="38"/>
      <c r="H349" s="38"/>
    </row>
    <row r="350" spans="1:8" s="10" customFormat="1" ht="36">
      <c r="A350" s="405"/>
      <c r="B350" s="405"/>
      <c r="C350" s="408"/>
      <c r="D350" s="396"/>
      <c r="E350" s="46">
        <v>32001</v>
      </c>
      <c r="F350" s="71" t="s">
        <v>284</v>
      </c>
      <c r="G350" s="307">
        <f>+G352+G363+G370</f>
        <v>303488.09999999998</v>
      </c>
      <c r="H350" s="307">
        <f>+H352+H363+H370</f>
        <v>365182</v>
      </c>
    </row>
    <row r="351" spans="1:8" s="10" customFormat="1" ht="18" customHeight="1">
      <c r="A351" s="405"/>
      <c r="B351" s="405"/>
      <c r="C351" s="408"/>
      <c r="D351" s="396"/>
      <c r="E351" s="424"/>
      <c r="F351" s="37" t="s">
        <v>16</v>
      </c>
      <c r="G351" s="44"/>
      <c r="H351" s="306"/>
    </row>
    <row r="352" spans="1:8" s="13" customFormat="1" ht="36.6" customHeight="1">
      <c r="A352" s="405"/>
      <c r="B352" s="405"/>
      <c r="C352" s="408"/>
      <c r="D352" s="396"/>
      <c r="E352" s="424"/>
      <c r="F352" s="45" t="s">
        <v>12</v>
      </c>
      <c r="G352" s="309">
        <f>+G354</f>
        <v>4005.3</v>
      </c>
      <c r="H352" s="309">
        <f>+H354</f>
        <v>15536.3</v>
      </c>
    </row>
    <row r="353" spans="1:8" s="10" customFormat="1" ht="52.2">
      <c r="A353" s="405"/>
      <c r="B353" s="405"/>
      <c r="C353" s="408"/>
      <c r="D353" s="396"/>
      <c r="E353" s="424"/>
      <c r="F353" s="37" t="s">
        <v>13</v>
      </c>
      <c r="G353" s="293"/>
      <c r="H353" s="306"/>
    </row>
    <row r="354" spans="1:8" s="10" customFormat="1" ht="16.95" customHeight="1">
      <c r="A354" s="405"/>
      <c r="B354" s="405"/>
      <c r="C354" s="408"/>
      <c r="D354" s="396"/>
      <c r="E354" s="424"/>
      <c r="F354" s="142" t="s">
        <v>7</v>
      </c>
      <c r="G354" s="44">
        <f>+G355+G359</f>
        <v>4005.3</v>
      </c>
      <c r="H354" s="44">
        <f>+H355+H359</f>
        <v>15536.3</v>
      </c>
    </row>
    <row r="355" spans="1:8" s="10" customFormat="1" ht="16.95" customHeight="1">
      <c r="A355" s="405"/>
      <c r="B355" s="405"/>
      <c r="C355" s="408"/>
      <c r="D355" s="396"/>
      <c r="E355" s="424"/>
      <c r="F355" s="37" t="s">
        <v>69</v>
      </c>
      <c r="G355" s="293">
        <f t="shared" ref="G355:H357" si="41">+G356</f>
        <v>4005.3</v>
      </c>
      <c r="H355" s="292">
        <f t="shared" si="41"/>
        <v>4005.3</v>
      </c>
    </row>
    <row r="356" spans="1:8" s="10" customFormat="1" ht="17.55" customHeight="1">
      <c r="A356" s="405"/>
      <c r="B356" s="405"/>
      <c r="C356" s="408"/>
      <c r="D356" s="396"/>
      <c r="E356" s="424"/>
      <c r="F356" s="37" t="s">
        <v>461</v>
      </c>
      <c r="G356" s="292">
        <f t="shared" si="41"/>
        <v>4005.3</v>
      </c>
      <c r="H356" s="292">
        <f t="shared" si="41"/>
        <v>4005.3</v>
      </c>
    </row>
    <row r="357" spans="1:8" s="10" customFormat="1" ht="34.799999999999997">
      <c r="A357" s="405"/>
      <c r="B357" s="405"/>
      <c r="C357" s="408"/>
      <c r="D357" s="396"/>
      <c r="E357" s="424"/>
      <c r="F357" s="37" t="s">
        <v>467</v>
      </c>
      <c r="G357" s="292">
        <f t="shared" si="41"/>
        <v>4005.3</v>
      </c>
      <c r="H357" s="292">
        <f t="shared" si="41"/>
        <v>4005.3</v>
      </c>
    </row>
    <row r="358" spans="1:8" s="10" customFormat="1" ht="34.799999999999997">
      <c r="A358" s="405"/>
      <c r="B358" s="405"/>
      <c r="C358" s="408"/>
      <c r="D358" s="396"/>
      <c r="E358" s="424"/>
      <c r="F358" s="291" t="s">
        <v>463</v>
      </c>
      <c r="G358" s="292">
        <f>+H358</f>
        <v>4005.3</v>
      </c>
      <c r="H358" s="292">
        <f>+'Հավելված N 5'!G43</f>
        <v>4005.3</v>
      </c>
    </row>
    <row r="359" spans="1:8" s="10" customFormat="1" ht="16.95" customHeight="1">
      <c r="A359" s="405"/>
      <c r="B359" s="405"/>
      <c r="C359" s="408"/>
      <c r="D359" s="396"/>
      <c r="E359" s="424"/>
      <c r="F359" s="37" t="s">
        <v>107</v>
      </c>
      <c r="G359" s="293">
        <f t="shared" ref="G359:H361" si="42">+G360</f>
        <v>0</v>
      </c>
      <c r="H359" s="292">
        <f t="shared" si="42"/>
        <v>11531</v>
      </c>
    </row>
    <row r="360" spans="1:8" s="10" customFormat="1" ht="18" customHeight="1">
      <c r="A360" s="405"/>
      <c r="B360" s="405"/>
      <c r="C360" s="408"/>
      <c r="D360" s="396"/>
      <c r="E360" s="424"/>
      <c r="F360" s="37" t="s">
        <v>108</v>
      </c>
      <c r="G360" s="292">
        <f t="shared" si="42"/>
        <v>0</v>
      </c>
      <c r="H360" s="292">
        <f t="shared" si="42"/>
        <v>11531</v>
      </c>
    </row>
    <row r="361" spans="1:8" s="10" customFormat="1" ht="18" customHeight="1">
      <c r="A361" s="405"/>
      <c r="B361" s="405"/>
      <c r="C361" s="408"/>
      <c r="D361" s="396"/>
      <c r="E361" s="424"/>
      <c r="F361" s="47" t="s">
        <v>67</v>
      </c>
      <c r="G361" s="292">
        <f t="shared" si="42"/>
        <v>0</v>
      </c>
      <c r="H361" s="292">
        <f t="shared" si="42"/>
        <v>11531</v>
      </c>
    </row>
    <row r="362" spans="1:8" s="10" customFormat="1" ht="18" customHeight="1">
      <c r="A362" s="405"/>
      <c r="B362" s="405"/>
      <c r="C362" s="408"/>
      <c r="D362" s="396"/>
      <c r="E362" s="424"/>
      <c r="F362" s="47" t="s">
        <v>68</v>
      </c>
      <c r="G362" s="292">
        <f>+'Հավելված N 4'!E134</f>
        <v>0</v>
      </c>
      <c r="H362" s="292">
        <f>+'Հավելված N 4'!F134</f>
        <v>11531</v>
      </c>
    </row>
    <row r="363" spans="1:8" s="13" customFormat="1" ht="36.6" customHeight="1">
      <c r="A363" s="405"/>
      <c r="B363" s="405"/>
      <c r="C363" s="408"/>
      <c r="D363" s="396"/>
      <c r="E363" s="424"/>
      <c r="F363" s="45" t="s">
        <v>336</v>
      </c>
      <c r="G363" s="309">
        <f>+G365</f>
        <v>50163</v>
      </c>
      <c r="H363" s="309">
        <f>+H365</f>
        <v>100325.90000000001</v>
      </c>
    </row>
    <row r="364" spans="1:8" s="10" customFormat="1" ht="52.2">
      <c r="A364" s="405"/>
      <c r="B364" s="405"/>
      <c r="C364" s="408"/>
      <c r="D364" s="396"/>
      <c r="E364" s="424"/>
      <c r="F364" s="37" t="s">
        <v>13</v>
      </c>
      <c r="G364" s="293"/>
      <c r="H364" s="306"/>
    </row>
    <row r="365" spans="1:8" s="10" customFormat="1" ht="16.95" customHeight="1">
      <c r="A365" s="405"/>
      <c r="B365" s="405"/>
      <c r="C365" s="408"/>
      <c r="D365" s="396"/>
      <c r="E365" s="424"/>
      <c r="F365" s="142" t="s">
        <v>7</v>
      </c>
      <c r="G365" s="44">
        <f>+G366</f>
        <v>50163</v>
      </c>
      <c r="H365" s="44">
        <f>+H366</f>
        <v>100325.90000000001</v>
      </c>
    </row>
    <row r="366" spans="1:8" s="10" customFormat="1" ht="16.95" customHeight="1">
      <c r="A366" s="405"/>
      <c r="B366" s="405"/>
      <c r="C366" s="408"/>
      <c r="D366" s="396"/>
      <c r="E366" s="424"/>
      <c r="F366" s="37" t="s">
        <v>107</v>
      </c>
      <c r="G366" s="293">
        <f t="shared" ref="G366:H368" si="43">+G367</f>
        <v>50163</v>
      </c>
      <c r="H366" s="292">
        <f t="shared" si="43"/>
        <v>100325.90000000001</v>
      </c>
    </row>
    <row r="367" spans="1:8" s="10" customFormat="1" ht="18" customHeight="1">
      <c r="A367" s="405"/>
      <c r="B367" s="405"/>
      <c r="C367" s="408"/>
      <c r="D367" s="396"/>
      <c r="E367" s="424"/>
      <c r="F367" s="37" t="s">
        <v>108</v>
      </c>
      <c r="G367" s="292">
        <f t="shared" si="43"/>
        <v>50163</v>
      </c>
      <c r="H367" s="292">
        <f t="shared" si="43"/>
        <v>100325.90000000001</v>
      </c>
    </row>
    <row r="368" spans="1:8" s="10" customFormat="1" ht="18" customHeight="1">
      <c r="A368" s="405"/>
      <c r="B368" s="405"/>
      <c r="C368" s="408"/>
      <c r="D368" s="396"/>
      <c r="E368" s="424"/>
      <c r="F368" s="47" t="s">
        <v>155</v>
      </c>
      <c r="G368" s="292">
        <f t="shared" si="43"/>
        <v>50163</v>
      </c>
      <c r="H368" s="292">
        <f t="shared" si="43"/>
        <v>100325.90000000001</v>
      </c>
    </row>
    <row r="369" spans="1:8" s="10" customFormat="1" ht="18" customHeight="1">
      <c r="A369" s="405"/>
      <c r="B369" s="405"/>
      <c r="C369" s="408"/>
      <c r="D369" s="396"/>
      <c r="E369" s="424"/>
      <c r="F369" s="47" t="s">
        <v>95</v>
      </c>
      <c r="G369" s="292">
        <f>+'Հավելված N 4'!E138</f>
        <v>50163</v>
      </c>
      <c r="H369" s="292">
        <f>+'Հավելված N 4'!F138</f>
        <v>100325.90000000001</v>
      </c>
    </row>
    <row r="370" spans="1:8" s="13" customFormat="1" ht="36.6" customHeight="1">
      <c r="A370" s="405"/>
      <c r="B370" s="405"/>
      <c r="C370" s="408"/>
      <c r="D370" s="396"/>
      <c r="E370" s="424"/>
      <c r="F370" s="45" t="s">
        <v>327</v>
      </c>
      <c r="G370" s="309">
        <f>+G372</f>
        <v>249319.8</v>
      </c>
      <c r="H370" s="309">
        <f>+H372</f>
        <v>249319.8</v>
      </c>
    </row>
    <row r="371" spans="1:8" s="10" customFormat="1" ht="52.2">
      <c r="A371" s="405"/>
      <c r="B371" s="405"/>
      <c r="C371" s="408"/>
      <c r="D371" s="396"/>
      <c r="E371" s="424"/>
      <c r="F371" s="37" t="s">
        <v>13</v>
      </c>
      <c r="G371" s="293"/>
      <c r="H371" s="306"/>
    </row>
    <row r="372" spans="1:8" s="10" customFormat="1" ht="16.95" customHeight="1">
      <c r="A372" s="405"/>
      <c r="B372" s="405"/>
      <c r="C372" s="408"/>
      <c r="D372" s="396"/>
      <c r="E372" s="424"/>
      <c r="F372" s="142" t="s">
        <v>7</v>
      </c>
      <c r="G372" s="44">
        <f>+G373</f>
        <v>249319.8</v>
      </c>
      <c r="H372" s="44">
        <f>+H373</f>
        <v>249319.8</v>
      </c>
    </row>
    <row r="373" spans="1:8" s="10" customFormat="1" ht="16.95" customHeight="1">
      <c r="A373" s="405"/>
      <c r="B373" s="405"/>
      <c r="C373" s="408"/>
      <c r="D373" s="396"/>
      <c r="E373" s="424"/>
      <c r="F373" s="37" t="s">
        <v>69</v>
      </c>
      <c r="G373" s="293">
        <f t="shared" ref="G373:H375" si="44">+G374</f>
        <v>249319.8</v>
      </c>
      <c r="H373" s="292">
        <f t="shared" si="44"/>
        <v>249319.8</v>
      </c>
    </row>
    <row r="374" spans="1:8" s="10" customFormat="1" ht="17.55" customHeight="1">
      <c r="A374" s="405"/>
      <c r="B374" s="405"/>
      <c r="C374" s="408"/>
      <c r="D374" s="396"/>
      <c r="E374" s="424"/>
      <c r="F374" s="37" t="s">
        <v>461</v>
      </c>
      <c r="G374" s="292">
        <f t="shared" si="44"/>
        <v>249319.8</v>
      </c>
      <c r="H374" s="292">
        <f t="shared" si="44"/>
        <v>249319.8</v>
      </c>
    </row>
    <row r="375" spans="1:8" s="10" customFormat="1" ht="34.799999999999997">
      <c r="A375" s="405"/>
      <c r="B375" s="405"/>
      <c r="C375" s="408"/>
      <c r="D375" s="396"/>
      <c r="E375" s="424"/>
      <c r="F375" s="37" t="s">
        <v>467</v>
      </c>
      <c r="G375" s="292">
        <f t="shared" si="44"/>
        <v>249319.8</v>
      </c>
      <c r="H375" s="292">
        <f t="shared" si="44"/>
        <v>249319.8</v>
      </c>
    </row>
    <row r="376" spans="1:8" s="10" customFormat="1" ht="34.799999999999997">
      <c r="A376" s="405"/>
      <c r="B376" s="405"/>
      <c r="C376" s="408"/>
      <c r="D376" s="396"/>
      <c r="E376" s="424"/>
      <c r="F376" s="291" t="s">
        <v>463</v>
      </c>
      <c r="G376" s="292">
        <f>+H376</f>
        <v>249319.8</v>
      </c>
      <c r="H376" s="292">
        <f>+'Հավելված N 5'!G44</f>
        <v>249319.8</v>
      </c>
    </row>
    <row r="377" spans="1:8" s="10" customFormat="1" ht="54">
      <c r="A377" s="405"/>
      <c r="B377" s="405"/>
      <c r="C377" s="408"/>
      <c r="D377" s="396"/>
      <c r="E377" s="46">
        <v>32004</v>
      </c>
      <c r="F377" s="68" t="s">
        <v>320</v>
      </c>
      <c r="G377" s="307">
        <f>+G379</f>
        <v>0</v>
      </c>
      <c r="H377" s="307">
        <f>+H379</f>
        <v>13202.9</v>
      </c>
    </row>
    <row r="378" spans="1:8" s="10" customFormat="1" ht="18" customHeight="1">
      <c r="A378" s="405"/>
      <c r="B378" s="405"/>
      <c r="C378" s="408"/>
      <c r="D378" s="396"/>
      <c r="E378" s="431"/>
      <c r="F378" s="37" t="s">
        <v>16</v>
      </c>
      <c r="G378" s="44"/>
      <c r="H378" s="306"/>
    </row>
    <row r="379" spans="1:8" s="13" customFormat="1" ht="36.6" customHeight="1">
      <c r="A379" s="405"/>
      <c r="B379" s="405"/>
      <c r="C379" s="408"/>
      <c r="D379" s="396"/>
      <c r="E379" s="432"/>
      <c r="F379" s="45" t="s">
        <v>12</v>
      </c>
      <c r="G379" s="309">
        <f>+G381</f>
        <v>0</v>
      </c>
      <c r="H379" s="309">
        <f>+H381</f>
        <v>13202.9</v>
      </c>
    </row>
    <row r="380" spans="1:8" s="10" customFormat="1" ht="52.2">
      <c r="A380" s="405"/>
      <c r="B380" s="405"/>
      <c r="C380" s="408"/>
      <c r="D380" s="396"/>
      <c r="E380" s="432"/>
      <c r="F380" s="37" t="s">
        <v>13</v>
      </c>
      <c r="G380" s="293"/>
      <c r="H380" s="306"/>
    </row>
    <row r="381" spans="1:8" s="10" customFormat="1" ht="16.95" customHeight="1">
      <c r="A381" s="405"/>
      <c r="B381" s="405"/>
      <c r="C381" s="408"/>
      <c r="D381" s="396"/>
      <c r="E381" s="432"/>
      <c r="F381" s="142" t="s">
        <v>7</v>
      </c>
      <c r="G381" s="44">
        <f>+G382</f>
        <v>0</v>
      </c>
      <c r="H381" s="44">
        <f>+H382</f>
        <v>13202.9</v>
      </c>
    </row>
    <row r="382" spans="1:8" s="10" customFormat="1" ht="16.95" customHeight="1">
      <c r="A382" s="405"/>
      <c r="B382" s="405"/>
      <c r="C382" s="408"/>
      <c r="D382" s="396"/>
      <c r="E382" s="432"/>
      <c r="F382" s="37" t="s">
        <v>107</v>
      </c>
      <c r="G382" s="293">
        <f t="shared" ref="G382:H384" si="45">+G383</f>
        <v>0</v>
      </c>
      <c r="H382" s="292">
        <f t="shared" si="45"/>
        <v>13202.9</v>
      </c>
    </row>
    <row r="383" spans="1:8" s="10" customFormat="1" ht="18" customHeight="1">
      <c r="A383" s="405"/>
      <c r="B383" s="405"/>
      <c r="C383" s="408"/>
      <c r="D383" s="396"/>
      <c r="E383" s="432"/>
      <c r="F383" s="37" t="s">
        <v>108</v>
      </c>
      <c r="G383" s="292">
        <f t="shared" si="45"/>
        <v>0</v>
      </c>
      <c r="H383" s="292">
        <f t="shared" si="45"/>
        <v>13202.9</v>
      </c>
    </row>
    <row r="384" spans="1:8" s="10" customFormat="1" ht="18" customHeight="1">
      <c r="A384" s="405"/>
      <c r="B384" s="405"/>
      <c r="C384" s="408"/>
      <c r="D384" s="396"/>
      <c r="E384" s="432"/>
      <c r="F384" s="47" t="s">
        <v>67</v>
      </c>
      <c r="G384" s="292">
        <f t="shared" si="45"/>
        <v>0</v>
      </c>
      <c r="H384" s="292">
        <f t="shared" si="45"/>
        <v>13202.9</v>
      </c>
    </row>
    <row r="385" spans="1:8" s="10" customFormat="1" ht="18" customHeight="1">
      <c r="A385" s="405"/>
      <c r="B385" s="405"/>
      <c r="C385" s="408"/>
      <c r="D385" s="396"/>
      <c r="E385" s="433"/>
      <c r="F385" s="47" t="s">
        <v>68</v>
      </c>
      <c r="G385" s="292">
        <f>+'Հավելված N 4'!E144</f>
        <v>0</v>
      </c>
      <c r="H385" s="292">
        <f>+'Հավելված N 4'!F144</f>
        <v>13202.9</v>
      </c>
    </row>
    <row r="386" spans="1:8" s="10" customFormat="1" ht="54">
      <c r="A386" s="405"/>
      <c r="B386" s="405"/>
      <c r="C386" s="408"/>
      <c r="D386" s="396"/>
      <c r="E386" s="46">
        <v>32007</v>
      </c>
      <c r="F386" s="68" t="s">
        <v>408</v>
      </c>
      <c r="G386" s="307">
        <f>+G388</f>
        <v>-122546.2</v>
      </c>
      <c r="H386" s="307">
        <f>+H388</f>
        <v>-153182.79999999999</v>
      </c>
    </row>
    <row r="387" spans="1:8" s="10" customFormat="1" ht="18" customHeight="1">
      <c r="A387" s="405"/>
      <c r="B387" s="405"/>
      <c r="C387" s="408"/>
      <c r="D387" s="396"/>
      <c r="E387" s="401"/>
      <c r="F387" s="37" t="s">
        <v>16</v>
      </c>
      <c r="G387" s="44"/>
      <c r="H387" s="306"/>
    </row>
    <row r="388" spans="1:8" s="13" customFormat="1" ht="36.6" customHeight="1">
      <c r="A388" s="405"/>
      <c r="B388" s="405"/>
      <c r="C388" s="408"/>
      <c r="D388" s="396"/>
      <c r="E388" s="402"/>
      <c r="F388" s="45" t="s">
        <v>27</v>
      </c>
      <c r="G388" s="309">
        <f>+G390</f>
        <v>-122546.2</v>
      </c>
      <c r="H388" s="309">
        <f>+H390</f>
        <v>-153182.79999999999</v>
      </c>
    </row>
    <row r="389" spans="1:8" s="10" customFormat="1" ht="52.2">
      <c r="A389" s="405"/>
      <c r="B389" s="405"/>
      <c r="C389" s="408"/>
      <c r="D389" s="396"/>
      <c r="E389" s="402"/>
      <c r="F389" s="37" t="s">
        <v>13</v>
      </c>
      <c r="G389" s="293"/>
      <c r="H389" s="306"/>
    </row>
    <row r="390" spans="1:8" s="10" customFormat="1" ht="16.95" customHeight="1">
      <c r="A390" s="405"/>
      <c r="B390" s="405"/>
      <c r="C390" s="408"/>
      <c r="D390" s="396"/>
      <c r="E390" s="402"/>
      <c r="F390" s="142" t="s">
        <v>7</v>
      </c>
      <c r="G390" s="44">
        <f>+G391</f>
        <v>-122546.2</v>
      </c>
      <c r="H390" s="44">
        <f>+H391</f>
        <v>-153182.79999999999</v>
      </c>
    </row>
    <row r="391" spans="1:8" s="10" customFormat="1" ht="16.95" customHeight="1">
      <c r="A391" s="405"/>
      <c r="B391" s="405"/>
      <c r="C391" s="408"/>
      <c r="D391" s="396"/>
      <c r="E391" s="402"/>
      <c r="F391" s="37" t="s">
        <v>107</v>
      </c>
      <c r="G391" s="293">
        <f t="shared" ref="G391:H393" si="46">+G392</f>
        <v>-122546.2</v>
      </c>
      <c r="H391" s="292">
        <f t="shared" si="46"/>
        <v>-153182.79999999999</v>
      </c>
    </row>
    <row r="392" spans="1:8" s="10" customFormat="1" ht="18" customHeight="1">
      <c r="A392" s="405"/>
      <c r="B392" s="405"/>
      <c r="C392" s="408"/>
      <c r="D392" s="396"/>
      <c r="E392" s="402"/>
      <c r="F392" s="37" t="s">
        <v>108</v>
      </c>
      <c r="G392" s="292">
        <f t="shared" si="46"/>
        <v>-122546.2</v>
      </c>
      <c r="H392" s="292">
        <f t="shared" si="46"/>
        <v>-153182.79999999999</v>
      </c>
    </row>
    <row r="393" spans="1:8" s="10" customFormat="1" ht="18" customHeight="1">
      <c r="A393" s="405"/>
      <c r="B393" s="405"/>
      <c r="C393" s="408"/>
      <c r="D393" s="396"/>
      <c r="E393" s="402"/>
      <c r="F393" s="47" t="s">
        <v>155</v>
      </c>
      <c r="G393" s="292">
        <f t="shared" si="46"/>
        <v>-122546.2</v>
      </c>
      <c r="H393" s="292">
        <f t="shared" si="46"/>
        <v>-153182.79999999999</v>
      </c>
    </row>
    <row r="394" spans="1:8" s="10" customFormat="1" ht="18" customHeight="1">
      <c r="A394" s="405"/>
      <c r="B394" s="406"/>
      <c r="C394" s="409"/>
      <c r="D394" s="396"/>
      <c r="E394" s="403"/>
      <c r="F394" s="47" t="s">
        <v>47</v>
      </c>
      <c r="G394" s="292">
        <f>+'Հավելված N 4'!E150</f>
        <v>-122546.2</v>
      </c>
      <c r="H394" s="292">
        <f>+'Հավելված N 4'!F150</f>
        <v>-153182.79999999999</v>
      </c>
    </row>
    <row r="395" spans="1:8" s="10" customFormat="1" ht="18">
      <c r="A395" s="405"/>
      <c r="B395" s="384" t="s">
        <v>22</v>
      </c>
      <c r="C395" s="443"/>
      <c r="D395" s="437"/>
      <c r="E395" s="437"/>
      <c r="F395" s="39" t="s">
        <v>353</v>
      </c>
      <c r="G395" s="44">
        <f>+G397</f>
        <v>0</v>
      </c>
      <c r="H395" s="44">
        <f>+H397</f>
        <v>5040</v>
      </c>
    </row>
    <row r="396" spans="1:8" s="10" customFormat="1" ht="16.95" customHeight="1">
      <c r="A396" s="405"/>
      <c r="B396" s="384"/>
      <c r="C396" s="444"/>
      <c r="D396" s="437"/>
      <c r="E396" s="437"/>
      <c r="F396" s="37" t="s">
        <v>6</v>
      </c>
      <c r="G396" s="44"/>
      <c r="H396" s="44"/>
    </row>
    <row r="397" spans="1:8" s="10" customFormat="1" ht="18">
      <c r="A397" s="405"/>
      <c r="B397" s="384"/>
      <c r="C397" s="439" t="s">
        <v>83</v>
      </c>
      <c r="D397" s="437"/>
      <c r="E397" s="437"/>
      <c r="F397" s="39" t="s">
        <v>353</v>
      </c>
      <c r="G397" s="44">
        <f>+G399</f>
        <v>0</v>
      </c>
      <c r="H397" s="44">
        <f>+H399</f>
        <v>5040</v>
      </c>
    </row>
    <row r="398" spans="1:8" s="10" customFormat="1" ht="16.95" customHeight="1">
      <c r="A398" s="405"/>
      <c r="B398" s="384"/>
      <c r="C398" s="440"/>
      <c r="D398" s="437"/>
      <c r="E398" s="437"/>
      <c r="F398" s="37" t="s">
        <v>6</v>
      </c>
      <c r="G398" s="44"/>
      <c r="H398" s="44"/>
    </row>
    <row r="399" spans="1:8" s="10" customFormat="1" ht="34.799999999999997">
      <c r="A399" s="405"/>
      <c r="B399" s="384"/>
      <c r="C399" s="440"/>
      <c r="D399" s="437"/>
      <c r="E399" s="437"/>
      <c r="F399" s="43" t="s">
        <v>12</v>
      </c>
      <c r="G399" s="44">
        <f>+G401</f>
        <v>0</v>
      </c>
      <c r="H399" s="44">
        <f t="shared" ref="H399" si="47">+H401</f>
        <v>5040</v>
      </c>
    </row>
    <row r="400" spans="1:8" s="10" customFormat="1" ht="16.95" customHeight="1">
      <c r="A400" s="405"/>
      <c r="B400" s="384"/>
      <c r="C400" s="440"/>
      <c r="D400" s="437"/>
      <c r="E400" s="437"/>
      <c r="F400" s="37" t="s">
        <v>6</v>
      </c>
      <c r="G400" s="44"/>
      <c r="H400" s="44"/>
    </row>
    <row r="401" spans="1:8" s="10" customFormat="1" ht="54" customHeight="1">
      <c r="A401" s="405"/>
      <c r="B401" s="384"/>
      <c r="C401" s="441"/>
      <c r="D401" s="311">
        <v>1130</v>
      </c>
      <c r="E401" s="395" t="s">
        <v>479</v>
      </c>
      <c r="F401" s="395"/>
      <c r="G401" s="38">
        <f>+G403</f>
        <v>0</v>
      </c>
      <c r="H401" s="38">
        <f>+H403</f>
        <v>5040</v>
      </c>
    </row>
    <row r="402" spans="1:8" s="10" customFormat="1" ht="16.8" customHeight="1">
      <c r="A402" s="405"/>
      <c r="B402" s="384"/>
      <c r="C402" s="441"/>
      <c r="D402" s="438"/>
      <c r="E402" s="120"/>
      <c r="F402" s="37" t="s">
        <v>6</v>
      </c>
      <c r="G402" s="38"/>
      <c r="H402" s="38"/>
    </row>
    <row r="403" spans="1:8" s="10" customFormat="1" ht="54">
      <c r="A403" s="405"/>
      <c r="B403" s="384"/>
      <c r="C403" s="441"/>
      <c r="D403" s="438"/>
      <c r="E403" s="100">
        <v>31001</v>
      </c>
      <c r="F403" s="40" t="s">
        <v>356</v>
      </c>
      <c r="G403" s="307">
        <f>+G405</f>
        <v>0</v>
      </c>
      <c r="H403" s="307">
        <f>+H405</f>
        <v>5040</v>
      </c>
    </row>
    <row r="404" spans="1:8" s="10" customFormat="1" ht="18" customHeight="1">
      <c r="A404" s="405"/>
      <c r="B404" s="384"/>
      <c r="C404" s="441"/>
      <c r="D404" s="438"/>
      <c r="E404" s="437"/>
      <c r="F404" s="118" t="s">
        <v>16</v>
      </c>
      <c r="G404" s="44"/>
      <c r="H404" s="306"/>
    </row>
    <row r="405" spans="1:8" s="13" customFormat="1" ht="36.6" customHeight="1">
      <c r="A405" s="405"/>
      <c r="B405" s="384"/>
      <c r="C405" s="441"/>
      <c r="D405" s="438"/>
      <c r="E405" s="437"/>
      <c r="F405" s="121" t="s">
        <v>12</v>
      </c>
      <c r="G405" s="308">
        <f>+G407</f>
        <v>0</v>
      </c>
      <c r="H405" s="308">
        <f>+H407</f>
        <v>5040</v>
      </c>
    </row>
    <row r="406" spans="1:8" s="10" customFormat="1" ht="52.2">
      <c r="A406" s="405"/>
      <c r="B406" s="384"/>
      <c r="C406" s="441"/>
      <c r="D406" s="438"/>
      <c r="E406" s="437"/>
      <c r="F406" s="118" t="s">
        <v>13</v>
      </c>
      <c r="G406" s="293"/>
      <c r="H406" s="306"/>
    </row>
    <row r="407" spans="1:8" s="10" customFormat="1" ht="16.95" customHeight="1">
      <c r="A407" s="405"/>
      <c r="B407" s="384"/>
      <c r="C407" s="441"/>
      <c r="D407" s="438"/>
      <c r="E407" s="437"/>
      <c r="F407" s="122" t="s">
        <v>7</v>
      </c>
      <c r="G407" s="44">
        <f>+G408</f>
        <v>0</v>
      </c>
      <c r="H407" s="44">
        <f>+H408</f>
        <v>5040</v>
      </c>
    </row>
    <row r="408" spans="1:8" s="10" customFormat="1" ht="16.95" customHeight="1">
      <c r="A408" s="405"/>
      <c r="B408" s="384"/>
      <c r="C408" s="441"/>
      <c r="D408" s="438"/>
      <c r="E408" s="437"/>
      <c r="F408" s="118" t="s">
        <v>107</v>
      </c>
      <c r="G408" s="293">
        <f t="shared" ref="G408:H410" si="48">+G409</f>
        <v>0</v>
      </c>
      <c r="H408" s="292">
        <f t="shared" si="48"/>
        <v>5040</v>
      </c>
    </row>
    <row r="409" spans="1:8" s="10" customFormat="1" ht="18" customHeight="1">
      <c r="A409" s="405"/>
      <c r="B409" s="384"/>
      <c r="C409" s="441"/>
      <c r="D409" s="438"/>
      <c r="E409" s="437"/>
      <c r="F409" s="118" t="s">
        <v>108</v>
      </c>
      <c r="G409" s="292">
        <f>+G410</f>
        <v>0</v>
      </c>
      <c r="H409" s="292">
        <f t="shared" si="48"/>
        <v>5040</v>
      </c>
    </row>
    <row r="410" spans="1:8" s="10" customFormat="1" ht="18" customHeight="1">
      <c r="A410" s="405"/>
      <c r="B410" s="384"/>
      <c r="C410" s="441"/>
      <c r="D410" s="438"/>
      <c r="E410" s="437"/>
      <c r="F410" s="118" t="s">
        <v>464</v>
      </c>
      <c r="G410" s="292">
        <f t="shared" si="48"/>
        <v>0</v>
      </c>
      <c r="H410" s="292">
        <f t="shared" si="48"/>
        <v>5040</v>
      </c>
    </row>
    <row r="411" spans="1:8" s="10" customFormat="1" ht="18" customHeight="1">
      <c r="A411" s="406"/>
      <c r="B411" s="384"/>
      <c r="C411" s="442"/>
      <c r="D411" s="438"/>
      <c r="E411" s="437"/>
      <c r="F411" s="123" t="s">
        <v>465</v>
      </c>
      <c r="G411" s="292">
        <f>+'Հավելված N 4'!E65</f>
        <v>0</v>
      </c>
      <c r="H411" s="292">
        <f>+'Հավելված N 4'!F65</f>
        <v>5040</v>
      </c>
    </row>
    <row r="413" spans="1:8" s="10" customFormat="1" ht="32.4" customHeight="1">
      <c r="A413" s="37"/>
      <c r="B413" s="37"/>
      <c r="C413" s="37"/>
      <c r="D413" s="36"/>
      <c r="E413" s="36"/>
      <c r="F413" s="39" t="s">
        <v>731</v>
      </c>
      <c r="G413" s="38">
        <f>+G414</f>
        <v>-2521776</v>
      </c>
      <c r="H413" s="38">
        <f>+H414</f>
        <v>-13214638.112999998</v>
      </c>
    </row>
    <row r="414" spans="1:8" s="10" customFormat="1" ht="17.55" customHeight="1">
      <c r="A414" s="382" t="s">
        <v>83</v>
      </c>
      <c r="B414" s="388"/>
      <c r="C414" s="389"/>
      <c r="D414" s="390"/>
      <c r="E414" s="25"/>
      <c r="F414" s="39" t="s">
        <v>733</v>
      </c>
      <c r="G414" s="38">
        <f t="shared" ref="G414:H414" si="49">+G416</f>
        <v>-2521776</v>
      </c>
      <c r="H414" s="38">
        <f t="shared" si="49"/>
        <v>-13214638.112999998</v>
      </c>
    </row>
    <row r="415" spans="1:8" s="10" customFormat="1" ht="16.95" customHeight="1">
      <c r="A415" s="382"/>
      <c r="B415" s="388"/>
      <c r="C415" s="389"/>
      <c r="D415" s="391"/>
      <c r="E415" s="26"/>
      <c r="F415" s="37" t="s">
        <v>6</v>
      </c>
      <c r="G415" s="306"/>
      <c r="H415" s="44"/>
    </row>
    <row r="416" spans="1:8" s="10" customFormat="1" ht="18">
      <c r="A416" s="383"/>
      <c r="B416" s="384" t="s">
        <v>472</v>
      </c>
      <c r="C416" s="388"/>
      <c r="D416" s="391"/>
      <c r="E416" s="26"/>
      <c r="F416" s="39" t="s">
        <v>732</v>
      </c>
      <c r="G416" s="44">
        <f t="shared" ref="G416:H416" si="50">+G418</f>
        <v>-2521776</v>
      </c>
      <c r="H416" s="44">
        <f t="shared" si="50"/>
        <v>-13214638.112999998</v>
      </c>
    </row>
    <row r="417" spans="1:9" s="10" customFormat="1" ht="16.95" customHeight="1">
      <c r="A417" s="383"/>
      <c r="B417" s="384"/>
      <c r="C417" s="388"/>
      <c r="D417" s="391"/>
      <c r="E417" s="26"/>
      <c r="F417" s="37" t="s">
        <v>6</v>
      </c>
      <c r="G417" s="306"/>
      <c r="H417" s="44"/>
    </row>
    <row r="418" spans="1:9" s="10" customFormat="1" ht="18">
      <c r="A418" s="383"/>
      <c r="B418" s="384"/>
      <c r="C418" s="384" t="s">
        <v>83</v>
      </c>
      <c r="D418" s="392"/>
      <c r="E418" s="26"/>
      <c r="F418" s="39" t="s">
        <v>732</v>
      </c>
      <c r="G418" s="44">
        <f t="shared" ref="G418:H418" si="51">+G420</f>
        <v>-2521776</v>
      </c>
      <c r="H418" s="44">
        <f t="shared" si="51"/>
        <v>-13214638.112999998</v>
      </c>
    </row>
    <row r="419" spans="1:9" s="10" customFormat="1" ht="16.95" customHeight="1">
      <c r="A419" s="383"/>
      <c r="B419" s="384"/>
      <c r="C419" s="384"/>
      <c r="D419" s="392"/>
      <c r="E419" s="26"/>
      <c r="F419" s="37" t="s">
        <v>6</v>
      </c>
      <c r="G419" s="310"/>
      <c r="H419" s="44"/>
    </row>
    <row r="420" spans="1:9" s="10" customFormat="1" ht="34.799999999999997">
      <c r="A420" s="383"/>
      <c r="B420" s="384"/>
      <c r="C420" s="384"/>
      <c r="D420" s="392"/>
      <c r="E420" s="26"/>
      <c r="F420" s="43" t="s">
        <v>12</v>
      </c>
      <c r="G420" s="44">
        <f t="shared" ref="G420:H420" si="52">+G422</f>
        <v>-2521776</v>
      </c>
      <c r="H420" s="44">
        <f t="shared" si="52"/>
        <v>-13214638.112999998</v>
      </c>
    </row>
    <row r="421" spans="1:9" s="10" customFormat="1" ht="16.95" customHeight="1">
      <c r="A421" s="383"/>
      <c r="B421" s="384"/>
      <c r="C421" s="384"/>
      <c r="D421" s="393"/>
      <c r="E421" s="31"/>
      <c r="F421" s="37" t="s">
        <v>6</v>
      </c>
      <c r="G421" s="310"/>
      <c r="H421" s="44"/>
    </row>
    <row r="422" spans="1:9" s="10" customFormat="1" ht="18" customHeight="1">
      <c r="A422" s="383"/>
      <c r="B422" s="384"/>
      <c r="C422" s="384"/>
      <c r="D422" s="373">
        <v>1006</v>
      </c>
      <c r="E422" s="394" t="s">
        <v>734</v>
      </c>
      <c r="F422" s="395"/>
      <c r="G422" s="38">
        <f>+G424</f>
        <v>-2521776</v>
      </c>
      <c r="H422" s="38">
        <f>+H424</f>
        <v>-13214638.112999998</v>
      </c>
    </row>
    <row r="423" spans="1:9" s="10" customFormat="1" ht="16.95" customHeight="1">
      <c r="A423" s="383"/>
      <c r="B423" s="384"/>
      <c r="C423" s="384"/>
      <c r="D423" s="385"/>
      <c r="E423" s="120"/>
      <c r="F423" s="37" t="s">
        <v>6</v>
      </c>
      <c r="G423" s="38"/>
      <c r="H423" s="38"/>
    </row>
    <row r="424" spans="1:9" s="10" customFormat="1" ht="18">
      <c r="A424" s="383"/>
      <c r="B424" s="384"/>
      <c r="C424" s="384"/>
      <c r="D424" s="386"/>
      <c r="E424" s="100">
        <v>13001</v>
      </c>
      <c r="F424" s="40" t="s">
        <v>735</v>
      </c>
      <c r="G424" s="307">
        <f t="shared" ref="G424:H424" si="53">+G426</f>
        <v>-2521776</v>
      </c>
      <c r="H424" s="307">
        <f t="shared" si="53"/>
        <v>-13214638.112999998</v>
      </c>
    </row>
    <row r="425" spans="1:9" s="10" customFormat="1" ht="15.6" customHeight="1">
      <c r="A425" s="383"/>
      <c r="B425" s="384"/>
      <c r="C425" s="384"/>
      <c r="D425" s="386"/>
      <c r="E425" s="396"/>
      <c r="F425" s="118" t="s">
        <v>16</v>
      </c>
      <c r="G425" s="306"/>
      <c r="H425" s="44"/>
    </row>
    <row r="426" spans="1:9" s="13" customFormat="1" ht="36.6" customHeight="1">
      <c r="A426" s="383"/>
      <c r="B426" s="384"/>
      <c r="C426" s="384"/>
      <c r="D426" s="386"/>
      <c r="E426" s="396"/>
      <c r="F426" s="121" t="s">
        <v>736</v>
      </c>
      <c r="G426" s="309">
        <f t="shared" ref="G426:H426" si="54">+G428</f>
        <v>-2521776</v>
      </c>
      <c r="H426" s="309">
        <f t="shared" si="54"/>
        <v>-13214638.112999998</v>
      </c>
    </row>
    <row r="427" spans="1:9" s="10" customFormat="1" ht="52.2">
      <c r="A427" s="383"/>
      <c r="B427" s="384"/>
      <c r="C427" s="384"/>
      <c r="D427" s="386"/>
      <c r="E427" s="396"/>
      <c r="F427" s="118" t="s">
        <v>13</v>
      </c>
      <c r="G427" s="306"/>
      <c r="H427" s="293"/>
    </row>
    <row r="428" spans="1:9" s="10" customFormat="1" ht="16.95" customHeight="1">
      <c r="A428" s="383"/>
      <c r="B428" s="384"/>
      <c r="C428" s="384"/>
      <c r="D428" s="386"/>
      <c r="E428" s="396"/>
      <c r="F428" s="122" t="s">
        <v>7</v>
      </c>
      <c r="G428" s="44">
        <f t="shared" ref="G428:H430" si="55">+G429</f>
        <v>-2521776</v>
      </c>
      <c r="H428" s="44">
        <f t="shared" si="55"/>
        <v>-13214638.112999998</v>
      </c>
    </row>
    <row r="429" spans="1:9" s="10" customFormat="1" ht="16.95" customHeight="1">
      <c r="A429" s="383"/>
      <c r="B429" s="384"/>
      <c r="C429" s="384"/>
      <c r="D429" s="386"/>
      <c r="E429" s="396"/>
      <c r="F429" s="118" t="s">
        <v>69</v>
      </c>
      <c r="G429" s="292">
        <f t="shared" si="55"/>
        <v>-2521776</v>
      </c>
      <c r="H429" s="293">
        <f t="shared" si="55"/>
        <v>-13214638.112999998</v>
      </c>
    </row>
    <row r="430" spans="1:9" s="10" customFormat="1" ht="15.6" customHeight="1">
      <c r="A430" s="383"/>
      <c r="B430" s="384"/>
      <c r="C430" s="384"/>
      <c r="D430" s="386"/>
      <c r="E430" s="396"/>
      <c r="F430" s="118" t="s">
        <v>737</v>
      </c>
      <c r="G430" s="292">
        <f t="shared" si="55"/>
        <v>-2521776</v>
      </c>
      <c r="H430" s="292">
        <f t="shared" si="55"/>
        <v>-13214638.112999998</v>
      </c>
    </row>
    <row r="431" spans="1:9" s="10" customFormat="1" ht="18" customHeight="1">
      <c r="A431" s="383"/>
      <c r="B431" s="384"/>
      <c r="C431" s="384"/>
      <c r="D431" s="387"/>
      <c r="E431" s="396"/>
      <c r="F431" s="102" t="s">
        <v>738</v>
      </c>
      <c r="G431" s="292">
        <f>-G15</f>
        <v>-2521776</v>
      </c>
      <c r="H431" s="292">
        <f>-H15</f>
        <v>-13214638.112999998</v>
      </c>
      <c r="I431" s="14"/>
    </row>
    <row r="433" spans="1:8" s="10" customFormat="1" ht="32.4" customHeight="1">
      <c r="A433" s="37"/>
      <c r="B433" s="37"/>
      <c r="C433" s="37"/>
      <c r="D433" s="36"/>
      <c r="E433" s="36"/>
      <c r="F433" s="39" t="s">
        <v>548</v>
      </c>
      <c r="G433" s="38">
        <f>+G434</f>
        <v>0</v>
      </c>
      <c r="H433" s="38">
        <f>+H434</f>
        <v>0</v>
      </c>
    </row>
    <row r="434" spans="1:8" s="10" customFormat="1" ht="17.55" customHeight="1">
      <c r="A434" s="384" t="s">
        <v>549</v>
      </c>
      <c r="B434" s="389"/>
      <c r="C434" s="389"/>
      <c r="D434" s="390"/>
      <c r="E434" s="25"/>
      <c r="F434" s="39" t="s">
        <v>550</v>
      </c>
      <c r="G434" s="38">
        <f t="shared" ref="G434:H434" si="56">+G436</f>
        <v>0</v>
      </c>
      <c r="H434" s="38">
        <f t="shared" si="56"/>
        <v>0</v>
      </c>
    </row>
    <row r="435" spans="1:8" s="10" customFormat="1" ht="16.95" customHeight="1">
      <c r="A435" s="384"/>
      <c r="B435" s="389"/>
      <c r="C435" s="389"/>
      <c r="D435" s="391"/>
      <c r="E435" s="26"/>
      <c r="F435" s="37" t="s">
        <v>6</v>
      </c>
      <c r="G435" s="306"/>
      <c r="H435" s="44"/>
    </row>
    <row r="436" spans="1:8" s="10" customFormat="1" ht="36">
      <c r="A436" s="384"/>
      <c r="B436" s="382" t="s">
        <v>83</v>
      </c>
      <c r="C436" s="389"/>
      <c r="D436" s="391"/>
      <c r="E436" s="26"/>
      <c r="F436" s="39" t="s">
        <v>551</v>
      </c>
      <c r="G436" s="44">
        <f t="shared" ref="G436:H436" si="57">+G438</f>
        <v>0</v>
      </c>
      <c r="H436" s="44">
        <f t="shared" si="57"/>
        <v>0</v>
      </c>
    </row>
    <row r="437" spans="1:8" s="10" customFormat="1" ht="16.95" customHeight="1">
      <c r="A437" s="384"/>
      <c r="B437" s="382"/>
      <c r="C437" s="389"/>
      <c r="D437" s="391"/>
      <c r="E437" s="26"/>
      <c r="F437" s="37" t="s">
        <v>6</v>
      </c>
      <c r="G437" s="306"/>
      <c r="H437" s="44"/>
    </row>
    <row r="438" spans="1:8" s="10" customFormat="1" ht="18">
      <c r="A438" s="384"/>
      <c r="B438" s="382"/>
      <c r="C438" s="382" t="s">
        <v>83</v>
      </c>
      <c r="D438" s="391"/>
      <c r="E438" s="26"/>
      <c r="F438" s="39" t="s">
        <v>552</v>
      </c>
      <c r="G438" s="44">
        <f t="shared" ref="G438:H438" si="58">+G440</f>
        <v>0</v>
      </c>
      <c r="H438" s="44">
        <f t="shared" si="58"/>
        <v>0</v>
      </c>
    </row>
    <row r="439" spans="1:8" s="10" customFormat="1" ht="16.95" customHeight="1">
      <c r="A439" s="384"/>
      <c r="B439" s="382"/>
      <c r="C439" s="382"/>
      <c r="D439" s="391"/>
      <c r="E439" s="26"/>
      <c r="F439" s="37" t="s">
        <v>6</v>
      </c>
      <c r="G439" s="310"/>
      <c r="H439" s="44"/>
    </row>
    <row r="440" spans="1:8" s="10" customFormat="1" ht="34.799999999999997">
      <c r="A440" s="384"/>
      <c r="B440" s="382"/>
      <c r="C440" s="382"/>
      <c r="D440" s="391"/>
      <c r="E440" s="26"/>
      <c r="F440" s="43" t="s">
        <v>12</v>
      </c>
      <c r="G440" s="44">
        <f t="shared" ref="G440:H440" si="59">+G442</f>
        <v>0</v>
      </c>
      <c r="H440" s="44">
        <f t="shared" si="59"/>
        <v>0</v>
      </c>
    </row>
    <row r="441" spans="1:8" s="10" customFormat="1" ht="16.95" customHeight="1">
      <c r="A441" s="384"/>
      <c r="B441" s="382"/>
      <c r="C441" s="382"/>
      <c r="D441" s="400"/>
      <c r="E441" s="31"/>
      <c r="F441" s="37" t="s">
        <v>6</v>
      </c>
      <c r="G441" s="310"/>
      <c r="H441" s="44"/>
    </row>
    <row r="442" spans="1:8" s="10" customFormat="1" ht="18" customHeight="1">
      <c r="A442" s="384"/>
      <c r="B442" s="382"/>
      <c r="C442" s="382"/>
      <c r="D442" s="396">
        <v>1139</v>
      </c>
      <c r="E442" s="395" t="s">
        <v>552</v>
      </c>
      <c r="F442" s="395"/>
      <c r="G442" s="38">
        <f>+G444+G452</f>
        <v>0</v>
      </c>
      <c r="H442" s="38">
        <f>+H444+H452</f>
        <v>0</v>
      </c>
    </row>
    <row r="443" spans="1:8" s="10" customFormat="1" ht="16.95" customHeight="1">
      <c r="A443" s="384"/>
      <c r="B443" s="382"/>
      <c r="C443" s="382"/>
      <c r="D443" s="396"/>
      <c r="E443" s="49"/>
      <c r="F443" s="37" t="s">
        <v>6</v>
      </c>
      <c r="G443" s="38"/>
      <c r="H443" s="38"/>
    </row>
    <row r="444" spans="1:8" s="10" customFormat="1" ht="18">
      <c r="A444" s="384"/>
      <c r="B444" s="382"/>
      <c r="C444" s="382"/>
      <c r="D444" s="396"/>
      <c r="E444" s="46">
        <v>11001</v>
      </c>
      <c r="F444" s="40" t="s">
        <v>552</v>
      </c>
      <c r="G444" s="307">
        <f t="shared" ref="G444:H444" si="60">+G446</f>
        <v>10883.9</v>
      </c>
      <c r="H444" s="307">
        <f t="shared" si="60"/>
        <v>23158.400000000001</v>
      </c>
    </row>
    <row r="445" spans="1:8" s="10" customFormat="1" ht="15.6" customHeight="1">
      <c r="A445" s="384"/>
      <c r="B445" s="382"/>
      <c r="C445" s="382"/>
      <c r="D445" s="396"/>
      <c r="E445" s="397"/>
      <c r="F445" s="37" t="s">
        <v>16</v>
      </c>
      <c r="G445" s="306"/>
      <c r="H445" s="44"/>
    </row>
    <row r="446" spans="1:8" s="13" customFormat="1" ht="36.6" customHeight="1">
      <c r="A446" s="384"/>
      <c r="B446" s="382"/>
      <c r="C446" s="382"/>
      <c r="D446" s="396"/>
      <c r="E446" s="398"/>
      <c r="F446" s="45" t="s">
        <v>27</v>
      </c>
      <c r="G446" s="309">
        <f t="shared" ref="G446:H446" si="61">+G448</f>
        <v>10883.9</v>
      </c>
      <c r="H446" s="309">
        <f t="shared" si="61"/>
        <v>23158.400000000001</v>
      </c>
    </row>
    <row r="447" spans="1:8" s="10" customFormat="1" ht="52.2">
      <c r="A447" s="384"/>
      <c r="B447" s="382"/>
      <c r="C447" s="382"/>
      <c r="D447" s="396"/>
      <c r="E447" s="398"/>
      <c r="F447" s="37" t="s">
        <v>13</v>
      </c>
      <c r="G447" s="306"/>
      <c r="H447" s="293"/>
    </row>
    <row r="448" spans="1:8" s="10" customFormat="1" ht="16.95" customHeight="1">
      <c r="A448" s="384"/>
      <c r="B448" s="382"/>
      <c r="C448" s="382"/>
      <c r="D448" s="396"/>
      <c r="E448" s="398"/>
      <c r="F448" s="142" t="s">
        <v>7</v>
      </c>
      <c r="G448" s="44">
        <f t="shared" ref="G448:H450" si="62">+G449</f>
        <v>10883.9</v>
      </c>
      <c r="H448" s="44">
        <f t="shared" si="62"/>
        <v>23158.400000000001</v>
      </c>
    </row>
    <row r="449" spans="1:9" s="10" customFormat="1" ht="16.95" customHeight="1">
      <c r="A449" s="384"/>
      <c r="B449" s="382"/>
      <c r="C449" s="382"/>
      <c r="D449" s="396"/>
      <c r="E449" s="398"/>
      <c r="F449" s="37" t="s">
        <v>69</v>
      </c>
      <c r="G449" s="292">
        <f t="shared" si="62"/>
        <v>10883.9</v>
      </c>
      <c r="H449" s="293">
        <f t="shared" si="62"/>
        <v>23158.400000000001</v>
      </c>
    </row>
    <row r="450" spans="1:9" s="10" customFormat="1" ht="15.6" customHeight="1">
      <c r="A450" s="384"/>
      <c r="B450" s="382"/>
      <c r="C450" s="382"/>
      <c r="D450" s="396"/>
      <c r="E450" s="398"/>
      <c r="F450" s="37" t="s">
        <v>553</v>
      </c>
      <c r="G450" s="292">
        <f t="shared" si="62"/>
        <v>10883.9</v>
      </c>
      <c r="H450" s="292">
        <f t="shared" si="62"/>
        <v>23158.400000000001</v>
      </c>
    </row>
    <row r="451" spans="1:9" s="10" customFormat="1">
      <c r="A451" s="384"/>
      <c r="B451" s="382"/>
      <c r="C451" s="382"/>
      <c r="D451" s="396"/>
      <c r="E451" s="398"/>
      <c r="F451" s="102" t="s">
        <v>554</v>
      </c>
      <c r="G451" s="292">
        <f>+G249+G310</f>
        <v>10883.9</v>
      </c>
      <c r="H451" s="292">
        <f>+H249+H310</f>
        <v>23158.400000000001</v>
      </c>
      <c r="I451" s="14"/>
    </row>
    <row r="452" spans="1:9" s="10" customFormat="1" ht="18">
      <c r="A452" s="384"/>
      <c r="B452" s="382"/>
      <c r="C452" s="382"/>
      <c r="D452" s="396"/>
      <c r="E452" s="46">
        <v>11001</v>
      </c>
      <c r="F452" s="40" t="s">
        <v>552</v>
      </c>
      <c r="G452" s="307">
        <f t="shared" ref="G452:H452" si="63">+G454</f>
        <v>-10883.9</v>
      </c>
      <c r="H452" s="307">
        <f t="shared" si="63"/>
        <v>-23158.400000000001</v>
      </c>
    </row>
    <row r="453" spans="1:9" s="10" customFormat="1">
      <c r="A453" s="384"/>
      <c r="B453" s="382"/>
      <c r="C453" s="382"/>
      <c r="D453" s="396"/>
      <c r="E453" s="399"/>
      <c r="F453" s="37" t="s">
        <v>16</v>
      </c>
      <c r="G453" s="306"/>
      <c r="H453" s="44"/>
    </row>
    <row r="454" spans="1:9" s="13" customFormat="1" ht="36.6" customHeight="1">
      <c r="A454" s="384"/>
      <c r="B454" s="382"/>
      <c r="C454" s="382"/>
      <c r="D454" s="396"/>
      <c r="E454" s="399"/>
      <c r="F454" s="45" t="s">
        <v>27</v>
      </c>
      <c r="G454" s="309">
        <f t="shared" ref="G454:H454" si="64">+G456</f>
        <v>-10883.9</v>
      </c>
      <c r="H454" s="309">
        <f t="shared" si="64"/>
        <v>-23158.400000000001</v>
      </c>
    </row>
    <row r="455" spans="1:9" s="10" customFormat="1" ht="52.2">
      <c r="A455" s="384"/>
      <c r="B455" s="382"/>
      <c r="C455" s="382"/>
      <c r="D455" s="396"/>
      <c r="E455" s="399"/>
      <c r="F455" s="37" t="s">
        <v>13</v>
      </c>
      <c r="G455" s="306"/>
      <c r="H455" s="293"/>
    </row>
    <row r="456" spans="1:9" s="10" customFormat="1" ht="16.95" customHeight="1">
      <c r="A456" s="384"/>
      <c r="B456" s="382"/>
      <c r="C456" s="382"/>
      <c r="D456" s="396"/>
      <c r="E456" s="399"/>
      <c r="F456" s="142" t="s">
        <v>7</v>
      </c>
      <c r="G456" s="44">
        <f t="shared" ref="G456:H458" si="65">+G457</f>
        <v>-10883.9</v>
      </c>
      <c r="H456" s="44">
        <f t="shared" si="65"/>
        <v>-23158.400000000001</v>
      </c>
    </row>
    <row r="457" spans="1:9" s="10" customFormat="1" ht="16.95" customHeight="1">
      <c r="A457" s="384"/>
      <c r="B457" s="382"/>
      <c r="C457" s="382"/>
      <c r="D457" s="396"/>
      <c r="E457" s="399"/>
      <c r="F457" s="37" t="s">
        <v>69</v>
      </c>
      <c r="G457" s="292">
        <f t="shared" si="65"/>
        <v>-10883.9</v>
      </c>
      <c r="H457" s="293">
        <f t="shared" si="65"/>
        <v>-23158.400000000001</v>
      </c>
    </row>
    <row r="458" spans="1:9" s="10" customFormat="1">
      <c r="A458" s="384"/>
      <c r="B458" s="382"/>
      <c r="C458" s="382"/>
      <c r="D458" s="396"/>
      <c r="E458" s="399"/>
      <c r="F458" s="37" t="s">
        <v>553</v>
      </c>
      <c r="G458" s="292">
        <f t="shared" si="65"/>
        <v>-10883.9</v>
      </c>
      <c r="H458" s="292">
        <f t="shared" si="65"/>
        <v>-23158.400000000001</v>
      </c>
    </row>
    <row r="459" spans="1:9" s="10" customFormat="1">
      <c r="A459" s="384"/>
      <c r="B459" s="382"/>
      <c r="C459" s="382"/>
      <c r="D459" s="396"/>
      <c r="E459" s="399"/>
      <c r="F459" s="102" t="s">
        <v>554</v>
      </c>
      <c r="G459" s="292">
        <f>-G451</f>
        <v>-10883.9</v>
      </c>
      <c r="H459" s="292">
        <f>-H451</f>
        <v>-23158.400000000001</v>
      </c>
      <c r="I459" s="14"/>
    </row>
  </sheetData>
  <mergeCells count="103">
    <mergeCell ref="E401:F401"/>
    <mergeCell ref="E404:E411"/>
    <mergeCell ref="D402:D411"/>
    <mergeCell ref="C397:C411"/>
    <mergeCell ref="B395:B411"/>
    <mergeCell ref="E395:E400"/>
    <mergeCell ref="D395:D400"/>
    <mergeCell ref="C395:C396"/>
    <mergeCell ref="C20:C43"/>
    <mergeCell ref="E24:F24"/>
    <mergeCell ref="D25:D43"/>
    <mergeCell ref="E50:F50"/>
    <mergeCell ref="D144:D151"/>
    <mergeCell ref="E144:E151"/>
    <mergeCell ref="E220:E227"/>
    <mergeCell ref="E378:E385"/>
    <mergeCell ref="D269:D297"/>
    <mergeCell ref="D299:D318"/>
    <mergeCell ref="E301:E309"/>
    <mergeCell ref="E312:E318"/>
    <mergeCell ref="D320:D347"/>
    <mergeCell ref="E322:E336"/>
    <mergeCell ref="E319:F319"/>
    <mergeCell ref="E351:E376"/>
    <mergeCell ref="E81:F81"/>
    <mergeCell ref="E84:E91"/>
    <mergeCell ref="D82:D91"/>
    <mergeCell ref="D51:D76"/>
    <mergeCell ref="E268:F268"/>
    <mergeCell ref="E348:F348"/>
    <mergeCell ref="E179:E200"/>
    <mergeCell ref="E176:F176"/>
    <mergeCell ref="E152:F152"/>
    <mergeCell ref="E298:F298"/>
    <mergeCell ref="E290:E297"/>
    <mergeCell ref="E241:E246"/>
    <mergeCell ref="E247:F247"/>
    <mergeCell ref="E202:E218"/>
    <mergeCell ref="D170:D175"/>
    <mergeCell ref="A144:A411"/>
    <mergeCell ref="F1:H1"/>
    <mergeCell ref="F2:H2"/>
    <mergeCell ref="F3:H3"/>
    <mergeCell ref="A7:H7"/>
    <mergeCell ref="A11:C11"/>
    <mergeCell ref="G11:H11"/>
    <mergeCell ref="B144:B145"/>
    <mergeCell ref="B146:B169"/>
    <mergeCell ref="C148:C169"/>
    <mergeCell ref="D248:D261"/>
    <mergeCell ref="E155:E169"/>
    <mergeCell ref="E170:E175"/>
    <mergeCell ref="A16:A143"/>
    <mergeCell ref="C241:C242"/>
    <mergeCell ref="D241:D246"/>
    <mergeCell ref="B16:B17"/>
    <mergeCell ref="D11:E11"/>
    <mergeCell ref="F11:F12"/>
    <mergeCell ref="C144:C147"/>
    <mergeCell ref="D153:D169"/>
    <mergeCell ref="E99:E112"/>
    <mergeCell ref="E126:F126"/>
    <mergeCell ref="D97:D121"/>
    <mergeCell ref="E387:E394"/>
    <mergeCell ref="B262:B394"/>
    <mergeCell ref="C264:C394"/>
    <mergeCell ref="D349:D394"/>
    <mergeCell ref="E96:F96"/>
    <mergeCell ref="E338:E347"/>
    <mergeCell ref="E229:E240"/>
    <mergeCell ref="D177:D240"/>
    <mergeCell ref="C172:C240"/>
    <mergeCell ref="B170:B240"/>
    <mergeCell ref="E262:E267"/>
    <mergeCell ref="D262:D267"/>
    <mergeCell ref="E250:E261"/>
    <mergeCell ref="B241:B261"/>
    <mergeCell ref="C243:C261"/>
    <mergeCell ref="E271:E288"/>
    <mergeCell ref="E114:E121"/>
    <mergeCell ref="D127:D143"/>
    <mergeCell ref="E129:E143"/>
    <mergeCell ref="C170:C171"/>
    <mergeCell ref="C262:C263"/>
    <mergeCell ref="E442:F442"/>
    <mergeCell ref="E445:E451"/>
    <mergeCell ref="E453:E459"/>
    <mergeCell ref="A434:A459"/>
    <mergeCell ref="B434:B435"/>
    <mergeCell ref="C434:C437"/>
    <mergeCell ref="D434:D441"/>
    <mergeCell ref="B436:B459"/>
    <mergeCell ref="C438:C459"/>
    <mergeCell ref="D442:D459"/>
    <mergeCell ref="A414:A431"/>
    <mergeCell ref="C418:C431"/>
    <mergeCell ref="B416:B431"/>
    <mergeCell ref="D423:D431"/>
    <mergeCell ref="B414:B415"/>
    <mergeCell ref="C414:C417"/>
    <mergeCell ref="D414:D421"/>
    <mergeCell ref="E422:F422"/>
    <mergeCell ref="E425:E431"/>
  </mergeCells>
  <pageMargins left="0.7" right="0.7" top="0.75" bottom="0.75" header="0.3" footer="0.3"/>
  <pageSetup paperSize="9" scale="50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92D050"/>
  </sheetPr>
  <dimension ref="A1:L210"/>
  <sheetViews>
    <sheetView topLeftCell="A141" zoomScale="85" zoomScaleNormal="85" workbookViewId="0">
      <selection activeCell="E151" sqref="E151"/>
    </sheetView>
  </sheetViews>
  <sheetFormatPr defaultColWidth="9.109375" defaultRowHeight="18"/>
  <cols>
    <col min="1" max="1" width="9.109375" style="160"/>
    <col min="2" max="2" width="9.109375" style="160" customWidth="1"/>
    <col min="3" max="3" width="54.21875" style="160" customWidth="1"/>
    <col min="4" max="4" width="16.44140625" style="160" customWidth="1"/>
    <col min="5" max="8" width="20.44140625" style="160" customWidth="1"/>
    <col min="9" max="9" width="18.44140625" style="160" bestFit="1" customWidth="1"/>
    <col min="10" max="10" width="14.109375" style="160" bestFit="1" customWidth="1"/>
    <col min="11" max="11" width="15.6640625" style="338" customWidth="1"/>
    <col min="12" max="12" width="24.44140625" style="340" customWidth="1"/>
    <col min="13" max="16384" width="9.109375" style="160"/>
  </cols>
  <sheetData>
    <row r="1" spans="1:12" s="269" customFormat="1" ht="26.55" customHeight="1">
      <c r="A1" s="267"/>
      <c r="B1" s="268"/>
      <c r="C1" s="268"/>
      <c r="D1" s="268"/>
      <c r="E1" s="267"/>
      <c r="F1" s="448" t="s">
        <v>21</v>
      </c>
      <c r="G1" s="448"/>
      <c r="H1" s="448"/>
      <c r="K1" s="337"/>
      <c r="L1" s="339"/>
    </row>
    <row r="2" spans="1:12" s="21" customFormat="1">
      <c r="A2" s="270"/>
      <c r="B2" s="270"/>
      <c r="C2" s="270"/>
      <c r="D2" s="270"/>
      <c r="E2" s="271"/>
      <c r="F2" s="449" t="s">
        <v>102</v>
      </c>
      <c r="G2" s="449"/>
      <c r="H2" s="449"/>
      <c r="K2" s="113"/>
      <c r="L2" s="340"/>
    </row>
    <row r="3" spans="1:12" s="21" customFormat="1">
      <c r="A3" s="270"/>
      <c r="B3" s="270"/>
      <c r="C3" s="270"/>
      <c r="D3" s="270"/>
      <c r="E3" s="271"/>
      <c r="F3" s="449" t="s">
        <v>20</v>
      </c>
      <c r="G3" s="449"/>
      <c r="H3" s="449"/>
      <c r="K3" s="113"/>
      <c r="L3" s="340"/>
    </row>
    <row r="4" spans="1:12" s="21" customFormat="1">
      <c r="A4" s="272"/>
      <c r="B4" s="272"/>
      <c r="C4" s="273"/>
      <c r="D4" s="271"/>
      <c r="E4" s="271"/>
      <c r="F4" s="271"/>
      <c r="G4" s="271"/>
      <c r="H4" s="271"/>
      <c r="K4" s="113"/>
      <c r="L4" s="340"/>
    </row>
    <row r="5" spans="1:12" s="21" customFormat="1" ht="37.5" customHeight="1">
      <c r="A5" s="450" t="s">
        <v>103</v>
      </c>
      <c r="B5" s="451"/>
      <c r="C5" s="451"/>
      <c r="D5" s="451"/>
      <c r="E5" s="451"/>
      <c r="F5" s="451"/>
      <c r="G5" s="451"/>
      <c r="H5" s="451"/>
      <c r="K5" s="113"/>
      <c r="L5" s="340"/>
    </row>
    <row r="6" spans="1:12" s="21" customFormat="1" ht="37.5" customHeight="1">
      <c r="A6" s="451"/>
      <c r="B6" s="451"/>
      <c r="C6" s="451"/>
      <c r="D6" s="451"/>
      <c r="E6" s="451"/>
      <c r="F6" s="451"/>
      <c r="G6" s="451"/>
      <c r="H6" s="451"/>
      <c r="K6" s="113"/>
      <c r="L6" s="340"/>
    </row>
    <row r="7" spans="1:12" s="21" customFormat="1">
      <c r="E7" s="271"/>
      <c r="F7" s="271"/>
      <c r="G7" s="271"/>
      <c r="K7" s="113"/>
      <c r="L7" s="340"/>
    </row>
    <row r="8" spans="1:12" s="21" customFormat="1">
      <c r="A8" s="274"/>
      <c r="B8" s="274"/>
      <c r="C8" s="274"/>
      <c r="D8" s="275"/>
      <c r="E8" s="271"/>
      <c r="F8" s="271"/>
      <c r="G8" s="452" t="s">
        <v>9</v>
      </c>
      <c r="H8" s="452"/>
      <c r="K8" s="113"/>
      <c r="L8" s="340"/>
    </row>
    <row r="9" spans="1:12" s="21" customFormat="1" ht="45" customHeight="1">
      <c r="A9" s="453" t="s">
        <v>36</v>
      </c>
      <c r="B9" s="454"/>
      <c r="C9" s="455" t="s">
        <v>37</v>
      </c>
      <c r="D9" s="457" t="s">
        <v>38</v>
      </c>
      <c r="E9" s="459" t="s">
        <v>55</v>
      </c>
      <c r="F9" s="460"/>
      <c r="G9" s="460"/>
      <c r="H9" s="461"/>
      <c r="K9" s="113"/>
      <c r="L9" s="340"/>
    </row>
    <row r="10" spans="1:12" s="21" customFormat="1" ht="108">
      <c r="A10" s="263" t="s">
        <v>14</v>
      </c>
      <c r="B10" s="263" t="s">
        <v>15</v>
      </c>
      <c r="C10" s="456"/>
      <c r="D10" s="458"/>
      <c r="E10" s="276" t="s">
        <v>39</v>
      </c>
      <c r="F10" s="276" t="s">
        <v>40</v>
      </c>
      <c r="G10" s="276" t="s">
        <v>41</v>
      </c>
      <c r="H10" s="276" t="s">
        <v>42</v>
      </c>
      <c r="K10" s="113"/>
      <c r="L10" s="340"/>
    </row>
    <row r="11" spans="1:12" s="21" customFormat="1">
      <c r="A11" s="263"/>
      <c r="B11" s="263"/>
      <c r="C11" s="277" t="s">
        <v>43</v>
      </c>
      <c r="D11" s="227">
        <f>SUM(E11:H11)</f>
        <v>12622143.413000001</v>
      </c>
      <c r="E11" s="226">
        <f>+E13</f>
        <v>2973624.6129999999</v>
      </c>
      <c r="F11" s="226">
        <f>+F13</f>
        <v>8955073.0999999996</v>
      </c>
      <c r="G11" s="226">
        <f>+G13</f>
        <v>-115006.20000000001</v>
      </c>
      <c r="H11" s="226">
        <f>+H13</f>
        <v>808451.9</v>
      </c>
      <c r="I11" s="278"/>
      <c r="J11" s="278"/>
      <c r="K11" s="113"/>
      <c r="L11" s="340"/>
    </row>
    <row r="12" spans="1:12" s="21" customFormat="1">
      <c r="A12" s="334"/>
      <c r="B12" s="334"/>
      <c r="C12" s="277" t="s">
        <v>44</v>
      </c>
      <c r="D12" s="367"/>
      <c r="E12" s="335"/>
      <c r="F12" s="335"/>
      <c r="G12" s="335"/>
      <c r="H12" s="335"/>
      <c r="I12" s="336"/>
      <c r="J12" s="333"/>
      <c r="K12" s="338"/>
      <c r="L12" s="340"/>
    </row>
    <row r="13" spans="1:12" s="21" customFormat="1" ht="54">
      <c r="A13" s="279"/>
      <c r="B13" s="280"/>
      <c r="C13" s="280" t="s">
        <v>17</v>
      </c>
      <c r="D13" s="227">
        <f>SUM(E13:H13)</f>
        <v>12622143.413000001</v>
      </c>
      <c r="E13" s="226">
        <f>+E15+E23+E31+E49+E53+E54+E58+E63+E79+E83+E87+E94+E103+E109+E113+E116+E120+E131+E162+E167+E208</f>
        <v>2973624.6129999999</v>
      </c>
      <c r="F13" s="226">
        <f>+F15+F23+F31+F49+F53+F54+F58+F63+F79+F83+F87+F94+F103+F109+F113+F116+F120+F131+F162+F167+F208</f>
        <v>8955073.0999999996</v>
      </c>
      <c r="G13" s="226">
        <f>+G15+G23+G31+G49+G53+G54+G58+G63+G79+G83+G87+G94+G103+G109+G113+G116+G120+G131+G162+G167+G208</f>
        <v>-115006.20000000001</v>
      </c>
      <c r="H13" s="226">
        <f>+H15+H23+H31+H49+H53+H54+H58+H63+H79+H83+H87+H94+H103+H109+H113+H116+H120+H131+H162+H167+H208</f>
        <v>808451.9</v>
      </c>
      <c r="I13" s="278"/>
      <c r="K13" s="113"/>
      <c r="L13" s="340"/>
    </row>
    <row r="14" spans="1:12" s="21" customFormat="1">
      <c r="A14" s="279"/>
      <c r="B14" s="279"/>
      <c r="C14" s="279" t="s">
        <v>45</v>
      </c>
      <c r="D14" s="281"/>
      <c r="E14" s="281"/>
      <c r="F14" s="281"/>
      <c r="G14" s="281"/>
      <c r="H14" s="281"/>
      <c r="K14" s="113"/>
      <c r="L14" s="340"/>
    </row>
    <row r="15" spans="1:12" s="21" customFormat="1" ht="54">
      <c r="A15" s="56">
        <v>1045</v>
      </c>
      <c r="B15" s="56">
        <v>32001</v>
      </c>
      <c r="C15" s="71" t="s">
        <v>379</v>
      </c>
      <c r="D15" s="226">
        <f>SUM(E15:H15)</f>
        <v>-207565</v>
      </c>
      <c r="E15" s="227">
        <f>+E17+E19+E21</f>
        <v>0</v>
      </c>
      <c r="F15" s="227">
        <f t="shared" ref="F15:H15" si="0">+F17+F19+F21</f>
        <v>-207565</v>
      </c>
      <c r="G15" s="227">
        <f t="shared" si="0"/>
        <v>0</v>
      </c>
      <c r="H15" s="227">
        <f t="shared" si="0"/>
        <v>0</v>
      </c>
      <c r="K15" s="113"/>
      <c r="L15" s="340"/>
    </row>
    <row r="16" spans="1:12" s="234" customFormat="1" ht="17.399999999999999">
      <c r="A16" s="228"/>
      <c r="B16" s="228"/>
      <c r="C16" s="229" t="s">
        <v>6</v>
      </c>
      <c r="D16" s="230"/>
      <c r="E16" s="231"/>
      <c r="F16" s="232"/>
      <c r="G16" s="233"/>
      <c r="H16" s="232"/>
      <c r="K16" s="58"/>
      <c r="L16" s="341"/>
    </row>
    <row r="17" spans="1:12" s="110" customFormat="1" ht="16.95" customHeight="1">
      <c r="A17" s="106"/>
      <c r="B17" s="106"/>
      <c r="C17" s="107" t="s">
        <v>181</v>
      </c>
      <c r="D17" s="108">
        <f>SUM(E17:H17)</f>
        <v>-100000</v>
      </c>
      <c r="E17" s="108">
        <f>+E18</f>
        <v>0</v>
      </c>
      <c r="F17" s="108">
        <f>+F18</f>
        <v>-100000</v>
      </c>
      <c r="G17" s="108">
        <f t="shared" ref="G17:H21" si="1">+G18</f>
        <v>0</v>
      </c>
      <c r="H17" s="108">
        <f t="shared" si="1"/>
        <v>0</v>
      </c>
      <c r="I17" s="109"/>
      <c r="J17" s="109"/>
      <c r="K17" s="109"/>
      <c r="L17" s="342"/>
    </row>
    <row r="18" spans="1:12" s="23" customFormat="1" ht="34.799999999999997">
      <c r="A18" s="172"/>
      <c r="B18" s="172"/>
      <c r="C18" s="195" t="s">
        <v>380</v>
      </c>
      <c r="D18" s="51">
        <f>+E18+F18+G18+H18</f>
        <v>-100000</v>
      </c>
      <c r="E18" s="51"/>
      <c r="F18" s="51">
        <f>+'Հավելված N 8'!I209</f>
        <v>-100000</v>
      </c>
      <c r="G18" s="51"/>
      <c r="H18" s="51"/>
      <c r="I18" s="58"/>
      <c r="J18" s="58"/>
      <c r="K18" s="58"/>
      <c r="L18" s="341"/>
    </row>
    <row r="19" spans="1:12" s="110" customFormat="1" ht="16.95" customHeight="1">
      <c r="A19" s="106"/>
      <c r="B19" s="106"/>
      <c r="C19" s="107" t="s">
        <v>72</v>
      </c>
      <c r="D19" s="108">
        <f>SUM(E19:H19)</f>
        <v>-53096.5</v>
      </c>
      <c r="E19" s="108">
        <f>+E20</f>
        <v>0</v>
      </c>
      <c r="F19" s="108">
        <f>+F20</f>
        <v>-53096.5</v>
      </c>
      <c r="G19" s="108">
        <f t="shared" si="1"/>
        <v>0</v>
      </c>
      <c r="H19" s="108">
        <f t="shared" si="1"/>
        <v>0</v>
      </c>
      <c r="I19" s="109"/>
      <c r="J19" s="109"/>
      <c r="K19" s="109"/>
      <c r="L19" s="342"/>
    </row>
    <row r="20" spans="1:12" s="23" customFormat="1" ht="17.399999999999999">
      <c r="A20" s="172"/>
      <c r="B20" s="172"/>
      <c r="C20" s="195" t="s">
        <v>384</v>
      </c>
      <c r="D20" s="51">
        <f>+E20+F20+G20+H20</f>
        <v>-53096.5</v>
      </c>
      <c r="E20" s="51"/>
      <c r="F20" s="51">
        <f>+'Հավելված N 8'!I140+'Հավելված N 8'!I143+'Հավելված N 8'!I145</f>
        <v>-53096.5</v>
      </c>
      <c r="G20" s="51"/>
      <c r="H20" s="51"/>
      <c r="I20" s="58"/>
      <c r="J20" s="58"/>
      <c r="K20" s="58"/>
      <c r="L20" s="341"/>
    </row>
    <row r="21" spans="1:12" s="110" customFormat="1" ht="16.95" customHeight="1">
      <c r="A21" s="106"/>
      <c r="B21" s="106"/>
      <c r="C21" s="107" t="s">
        <v>191</v>
      </c>
      <c r="D21" s="108">
        <f>SUM(E21:H21)</f>
        <v>-54468.5</v>
      </c>
      <c r="E21" s="108">
        <f>+E22</f>
        <v>0</v>
      </c>
      <c r="F21" s="108">
        <f>+F22</f>
        <v>-54468.5</v>
      </c>
      <c r="G21" s="108">
        <f t="shared" si="1"/>
        <v>0</v>
      </c>
      <c r="H21" s="108">
        <f t="shared" si="1"/>
        <v>0</v>
      </c>
      <c r="I21" s="109"/>
      <c r="J21" s="109"/>
      <c r="K21" s="109"/>
      <c r="L21" s="342"/>
    </row>
    <row r="22" spans="1:12" s="23" customFormat="1" ht="17.399999999999999">
      <c r="A22" s="172"/>
      <c r="B22" s="172"/>
      <c r="C22" s="195" t="s">
        <v>385</v>
      </c>
      <c r="D22" s="51">
        <f>+E22+F22+G22+H22</f>
        <v>-54468.5</v>
      </c>
      <c r="E22" s="51"/>
      <c r="F22" s="51">
        <f>+'Հավելված N 8'!I141+'Հավելված N 8'!I144+'Հավելված N 8'!I146</f>
        <v>-54468.5</v>
      </c>
      <c r="G22" s="51"/>
      <c r="H22" s="51"/>
      <c r="I22" s="58"/>
      <c r="J22" s="58"/>
      <c r="K22" s="58"/>
      <c r="L22" s="341"/>
    </row>
    <row r="23" spans="1:12" s="21" customFormat="1" ht="36">
      <c r="A23" s="56">
        <v>1045</v>
      </c>
      <c r="B23" s="56">
        <v>32005</v>
      </c>
      <c r="C23" s="71" t="s">
        <v>201</v>
      </c>
      <c r="D23" s="226">
        <f>SUM(E23:H23)</f>
        <v>-261132.3</v>
      </c>
      <c r="E23" s="227">
        <f>+E25+E27+E29</f>
        <v>-261132.3</v>
      </c>
      <c r="F23" s="227">
        <f t="shared" ref="F23:H23" si="2">+F25+F27+F29</f>
        <v>0</v>
      </c>
      <c r="G23" s="227">
        <f t="shared" si="2"/>
        <v>0</v>
      </c>
      <c r="H23" s="227">
        <f t="shared" si="2"/>
        <v>0</v>
      </c>
      <c r="K23" s="113"/>
      <c r="L23" s="340"/>
    </row>
    <row r="24" spans="1:12" s="234" customFormat="1" ht="17.399999999999999">
      <c r="A24" s="228"/>
      <c r="B24" s="228"/>
      <c r="C24" s="229" t="s">
        <v>6</v>
      </c>
      <c r="D24" s="230"/>
      <c r="E24" s="231"/>
      <c r="F24" s="232"/>
      <c r="G24" s="233"/>
      <c r="H24" s="232"/>
      <c r="K24" s="58"/>
      <c r="L24" s="341"/>
    </row>
    <row r="25" spans="1:12" s="110" customFormat="1" ht="16.95" customHeight="1">
      <c r="A25" s="106"/>
      <c r="B25" s="106"/>
      <c r="C25" s="107" t="s">
        <v>63</v>
      </c>
      <c r="D25" s="108">
        <f>SUM(E25:H25)</f>
        <v>-103600</v>
      </c>
      <c r="E25" s="108">
        <f>+E26</f>
        <v>-103600</v>
      </c>
      <c r="F25" s="108">
        <f t="shared" ref="F25:H29" si="3">+F26</f>
        <v>0</v>
      </c>
      <c r="G25" s="108">
        <f t="shared" si="3"/>
        <v>0</v>
      </c>
      <c r="H25" s="108">
        <f t="shared" si="3"/>
        <v>0</v>
      </c>
      <c r="I25" s="109"/>
      <c r="J25" s="109"/>
      <c r="K25" s="109"/>
      <c r="L25" s="342"/>
    </row>
    <row r="26" spans="1:12" s="23" customFormat="1" ht="34.799999999999997">
      <c r="A26" s="172"/>
      <c r="B26" s="172"/>
      <c r="C26" s="195" t="s">
        <v>388</v>
      </c>
      <c r="D26" s="51">
        <f>+E26+F26+G26+H26</f>
        <v>-103600</v>
      </c>
      <c r="E26" s="51">
        <f>+'Հավելված N 8'!I212+'Հավելված N 8'!I216+'Հավելված N 8'!I219</f>
        <v>-103600</v>
      </c>
      <c r="F26" s="51"/>
      <c r="G26" s="51"/>
      <c r="H26" s="51"/>
      <c r="I26" s="58"/>
      <c r="J26" s="58"/>
      <c r="K26" s="58"/>
      <c r="L26" s="341"/>
    </row>
    <row r="27" spans="1:12" s="110" customFormat="1" ht="16.95" customHeight="1">
      <c r="A27" s="106"/>
      <c r="B27" s="106"/>
      <c r="C27" s="107" t="s">
        <v>193</v>
      </c>
      <c r="D27" s="108">
        <f>SUM(E27:H27)</f>
        <v>-103932.3</v>
      </c>
      <c r="E27" s="108">
        <f>+E28</f>
        <v>-103932.3</v>
      </c>
      <c r="F27" s="108">
        <f t="shared" si="3"/>
        <v>0</v>
      </c>
      <c r="G27" s="108">
        <f t="shared" si="3"/>
        <v>0</v>
      </c>
      <c r="H27" s="108">
        <f t="shared" si="3"/>
        <v>0</v>
      </c>
      <c r="I27" s="109"/>
      <c r="J27" s="109"/>
      <c r="K27" s="109"/>
      <c r="L27" s="342"/>
    </row>
    <row r="28" spans="1:12" s="23" customFormat="1" ht="34.799999999999997">
      <c r="A28" s="172"/>
      <c r="B28" s="172"/>
      <c r="C28" s="195" t="s">
        <v>389</v>
      </c>
      <c r="D28" s="51">
        <f>+E28+F28+G28+H28</f>
        <v>-103932.3</v>
      </c>
      <c r="E28" s="51">
        <f>+'Հավելված N 8'!I213+'Հավելված N 8'!I217+'Հավելված N 8'!I220</f>
        <v>-103932.3</v>
      </c>
      <c r="F28" s="51"/>
      <c r="G28" s="51"/>
      <c r="H28" s="51"/>
      <c r="I28" s="58"/>
      <c r="J28" s="58"/>
      <c r="K28" s="58"/>
      <c r="L28" s="341"/>
    </row>
    <row r="29" spans="1:12" s="110" customFormat="1" ht="16.95" customHeight="1">
      <c r="A29" s="106"/>
      <c r="B29" s="106"/>
      <c r="C29" s="107" t="s">
        <v>188</v>
      </c>
      <c r="D29" s="108">
        <f>SUM(E29:H29)</f>
        <v>-53600</v>
      </c>
      <c r="E29" s="108">
        <f>+E30</f>
        <v>-53600</v>
      </c>
      <c r="F29" s="108">
        <f t="shared" si="3"/>
        <v>0</v>
      </c>
      <c r="G29" s="108">
        <f t="shared" si="3"/>
        <v>0</v>
      </c>
      <c r="H29" s="108">
        <f t="shared" si="3"/>
        <v>0</v>
      </c>
      <c r="I29" s="109"/>
      <c r="J29" s="109"/>
      <c r="K29" s="109"/>
      <c r="L29" s="342"/>
    </row>
    <row r="30" spans="1:12" s="23" customFormat="1" ht="17.399999999999999">
      <c r="A30" s="172"/>
      <c r="B30" s="172"/>
      <c r="C30" s="195" t="s">
        <v>629</v>
      </c>
      <c r="D30" s="51">
        <f>+E30+F30+G30+H30</f>
        <v>-53600</v>
      </c>
      <c r="E30" s="51">
        <f>+'Հավելված N 8'!I214+'Հավելված N 8'!I218+'Հավելված N 8'!I221</f>
        <v>-53600</v>
      </c>
      <c r="F30" s="51"/>
      <c r="G30" s="51"/>
      <c r="H30" s="51"/>
      <c r="I30" s="58"/>
      <c r="J30" s="58"/>
      <c r="K30" s="58"/>
      <c r="L30" s="341"/>
    </row>
    <row r="31" spans="1:12" s="21" customFormat="1" ht="36">
      <c r="A31" s="56">
        <v>1075</v>
      </c>
      <c r="B31" s="46">
        <v>21001</v>
      </c>
      <c r="C31" s="71" t="s">
        <v>298</v>
      </c>
      <c r="D31" s="112">
        <f>SUM(E31:H31)</f>
        <v>-111367</v>
      </c>
      <c r="E31" s="112">
        <f>+E33+E41</f>
        <v>0</v>
      </c>
      <c r="F31" s="112">
        <f t="shared" ref="F31:H31" si="4">+F33+F41</f>
        <v>-82692</v>
      </c>
      <c r="G31" s="112">
        <f t="shared" si="4"/>
        <v>-28675</v>
      </c>
      <c r="H31" s="112">
        <f t="shared" si="4"/>
        <v>0</v>
      </c>
      <c r="I31" s="138"/>
      <c r="K31" s="113"/>
      <c r="L31" s="340"/>
    </row>
    <row r="32" spans="1:12" s="3" customFormat="1">
      <c r="A32" s="205"/>
      <c r="B32" s="205"/>
      <c r="C32" s="70" t="s">
        <v>6</v>
      </c>
      <c r="D32" s="206"/>
      <c r="E32" s="116"/>
      <c r="F32" s="207"/>
      <c r="G32" s="106"/>
      <c r="H32" s="106"/>
      <c r="K32" s="113"/>
      <c r="L32" s="340"/>
    </row>
    <row r="33" spans="1:12" s="110" customFormat="1">
      <c r="A33" s="117"/>
      <c r="B33" s="117"/>
      <c r="C33" s="201" t="s">
        <v>437</v>
      </c>
      <c r="D33" s="209">
        <f>SUM(E33:H33)</f>
        <v>-82692</v>
      </c>
      <c r="E33" s="209">
        <f>+E35+E37+E39</f>
        <v>0</v>
      </c>
      <c r="F33" s="209">
        <f t="shared" ref="F33:H33" si="5">+F35+F37+F39</f>
        <v>-82692</v>
      </c>
      <c r="G33" s="209">
        <f t="shared" si="5"/>
        <v>0</v>
      </c>
      <c r="H33" s="209">
        <f t="shared" si="5"/>
        <v>0</v>
      </c>
      <c r="I33" s="210"/>
      <c r="K33" s="109"/>
      <c r="L33" s="342"/>
    </row>
    <row r="34" spans="1:12" s="3" customFormat="1">
      <c r="A34" s="205"/>
      <c r="B34" s="205"/>
      <c r="C34" s="52" t="s">
        <v>343</v>
      </c>
      <c r="D34" s="106"/>
      <c r="E34" s="116"/>
      <c r="F34" s="207"/>
      <c r="G34" s="106"/>
      <c r="H34" s="106"/>
      <c r="K34" s="113"/>
      <c r="L34" s="340"/>
    </row>
    <row r="35" spans="1:12" s="110" customFormat="1" ht="16.95" customHeight="1">
      <c r="A35" s="117"/>
      <c r="B35" s="117"/>
      <c r="C35" s="211" t="s">
        <v>72</v>
      </c>
      <c r="D35" s="108">
        <f>SUM(E35:H35)</f>
        <v>-20686</v>
      </c>
      <c r="E35" s="108">
        <f>+E36</f>
        <v>0</v>
      </c>
      <c r="F35" s="108">
        <f>+F36</f>
        <v>-20686</v>
      </c>
      <c r="G35" s="108">
        <f>+G36</f>
        <v>0</v>
      </c>
      <c r="H35" s="108">
        <f>+H36</f>
        <v>0</v>
      </c>
      <c r="I35" s="210"/>
      <c r="K35" s="109"/>
      <c r="L35" s="342"/>
    </row>
    <row r="36" spans="1:12" s="23" customFormat="1" ht="34.799999999999997">
      <c r="A36" s="172"/>
      <c r="B36" s="172"/>
      <c r="C36" s="195" t="s">
        <v>438</v>
      </c>
      <c r="D36" s="51">
        <f>+E36+F36+G36+H36</f>
        <v>-20686</v>
      </c>
      <c r="E36" s="51"/>
      <c r="F36" s="51">
        <f>+'Հավելված N 8'!I61+'Հավելված N 8'!I65+'Հավելված N 8'!I68</f>
        <v>-20686</v>
      </c>
      <c r="G36" s="51"/>
      <c r="H36" s="51"/>
      <c r="K36" s="58"/>
      <c r="L36" s="341"/>
    </row>
    <row r="37" spans="1:12" s="110" customFormat="1" ht="16.95" customHeight="1">
      <c r="A37" s="117"/>
      <c r="B37" s="117"/>
      <c r="C37" s="211" t="s">
        <v>63</v>
      </c>
      <c r="D37" s="108">
        <f>SUM(E37:H37)</f>
        <v>-20660</v>
      </c>
      <c r="E37" s="108">
        <f>+E38</f>
        <v>0</v>
      </c>
      <c r="F37" s="108">
        <f>+F38</f>
        <v>-20660</v>
      </c>
      <c r="G37" s="108">
        <f>+G38</f>
        <v>0</v>
      </c>
      <c r="H37" s="108">
        <f>+H38</f>
        <v>0</v>
      </c>
      <c r="I37" s="210"/>
      <c r="K37" s="109"/>
      <c r="L37" s="342"/>
    </row>
    <row r="38" spans="1:12" s="23" customFormat="1" ht="69.599999999999994">
      <c r="A38" s="172"/>
      <c r="B38" s="172"/>
      <c r="C38" s="195" t="s">
        <v>440</v>
      </c>
      <c r="D38" s="51">
        <f>+E38+F38+G38+H38</f>
        <v>-20660</v>
      </c>
      <c r="E38" s="51"/>
      <c r="F38" s="51">
        <f>+'Հավելված N 8'!I62+'Հավելված N 8'!I66+'Հավելված N 8'!I69</f>
        <v>-20660</v>
      </c>
      <c r="G38" s="51"/>
      <c r="H38" s="51"/>
      <c r="K38" s="58"/>
      <c r="L38" s="341"/>
    </row>
    <row r="39" spans="1:12" s="110" customFormat="1" ht="16.95" customHeight="1">
      <c r="A39" s="117"/>
      <c r="B39" s="117"/>
      <c r="C39" s="211" t="s">
        <v>196</v>
      </c>
      <c r="D39" s="108">
        <f>SUM(E39:H39)</f>
        <v>-41346</v>
      </c>
      <c r="E39" s="108">
        <f>+E40</f>
        <v>0</v>
      </c>
      <c r="F39" s="108">
        <f>+F40</f>
        <v>-41346</v>
      </c>
      <c r="G39" s="108">
        <f>+G40</f>
        <v>0</v>
      </c>
      <c r="H39" s="108">
        <f>+H40</f>
        <v>0</v>
      </c>
      <c r="I39" s="210"/>
      <c r="K39" s="109"/>
      <c r="L39" s="342"/>
    </row>
    <row r="40" spans="1:12" s="23" customFormat="1" ht="34.799999999999997">
      <c r="A40" s="172"/>
      <c r="B40" s="172"/>
      <c r="C40" s="195" t="s">
        <v>439</v>
      </c>
      <c r="D40" s="51">
        <f>+E40+F40+G40+H40</f>
        <v>-41346</v>
      </c>
      <c r="E40" s="51"/>
      <c r="F40" s="51">
        <f>+'Հավելված N 8'!I63+'Հավելված N 8'!I67+'Հավելված N 8'!I70</f>
        <v>-41346</v>
      </c>
      <c r="G40" s="51"/>
      <c r="H40" s="51"/>
      <c r="K40" s="58"/>
      <c r="L40" s="341"/>
    </row>
    <row r="41" spans="1:12" s="110" customFormat="1" ht="72">
      <c r="A41" s="117"/>
      <c r="B41" s="117"/>
      <c r="C41" s="208" t="s">
        <v>344</v>
      </c>
      <c r="D41" s="209">
        <f>SUM(E41:H41)</f>
        <v>-28675</v>
      </c>
      <c r="E41" s="209">
        <f>+E43+E45+E47</f>
        <v>0</v>
      </c>
      <c r="F41" s="209">
        <f t="shared" ref="F41:H41" si="6">+F43+F45+F47</f>
        <v>0</v>
      </c>
      <c r="G41" s="209">
        <f t="shared" si="6"/>
        <v>-28675</v>
      </c>
      <c r="H41" s="209">
        <f t="shared" si="6"/>
        <v>0</v>
      </c>
      <c r="I41" s="210"/>
      <c r="K41" s="109"/>
      <c r="L41" s="342"/>
    </row>
    <row r="42" spans="1:12" s="3" customFormat="1">
      <c r="A42" s="205"/>
      <c r="B42" s="205"/>
      <c r="C42" s="52" t="s">
        <v>343</v>
      </c>
      <c r="D42" s="106"/>
      <c r="E42" s="116"/>
      <c r="F42" s="207"/>
      <c r="G42" s="106"/>
      <c r="H42" s="106"/>
      <c r="K42" s="113"/>
      <c r="L42" s="340"/>
    </row>
    <row r="43" spans="1:12" s="110" customFormat="1" ht="16.95" customHeight="1">
      <c r="A43" s="117"/>
      <c r="B43" s="117"/>
      <c r="C43" s="221" t="s">
        <v>48</v>
      </c>
      <c r="D43" s="108">
        <f>SUM(E43:H43)</f>
        <v>-15000</v>
      </c>
      <c r="E43" s="108">
        <f>+E44</f>
        <v>0</v>
      </c>
      <c r="F43" s="108">
        <f t="shared" ref="F43:H43" si="7">+F44</f>
        <v>0</v>
      </c>
      <c r="G43" s="108">
        <f t="shared" si="7"/>
        <v>-15000</v>
      </c>
      <c r="H43" s="108">
        <f t="shared" si="7"/>
        <v>0</v>
      </c>
      <c r="I43" s="210"/>
      <c r="K43" s="109"/>
      <c r="L43" s="342"/>
    </row>
    <row r="44" spans="1:12" s="23" customFormat="1" ht="53.25" customHeight="1">
      <c r="A44" s="172"/>
      <c r="B44" s="172"/>
      <c r="C44" s="119" t="s">
        <v>469</v>
      </c>
      <c r="D44" s="51">
        <f>+E44+F44+G44+H44</f>
        <v>-15000</v>
      </c>
      <c r="E44" s="51"/>
      <c r="F44" s="51"/>
      <c r="G44" s="51">
        <f>+'Հավելված N 8'!I75</f>
        <v>-15000</v>
      </c>
      <c r="H44" s="51"/>
      <c r="K44" s="58"/>
      <c r="L44" s="341"/>
    </row>
    <row r="45" spans="1:12" s="110" customFormat="1" ht="16.95" customHeight="1">
      <c r="A45" s="117"/>
      <c r="B45" s="117"/>
      <c r="C45" s="211" t="s">
        <v>193</v>
      </c>
      <c r="D45" s="108">
        <f>SUM(E45:H45)</f>
        <v>-5500</v>
      </c>
      <c r="E45" s="108">
        <f>+E46</f>
        <v>0</v>
      </c>
      <c r="F45" s="108">
        <f>+F46</f>
        <v>0</v>
      </c>
      <c r="G45" s="108">
        <f>+G46</f>
        <v>-5500</v>
      </c>
      <c r="H45" s="108">
        <f>+H46</f>
        <v>0</v>
      </c>
      <c r="I45" s="210"/>
      <c r="K45" s="109"/>
      <c r="L45" s="342"/>
    </row>
    <row r="46" spans="1:12" s="23" customFormat="1" ht="51" customHeight="1">
      <c r="A46" s="172"/>
      <c r="B46" s="172"/>
      <c r="C46" s="195" t="s">
        <v>339</v>
      </c>
      <c r="D46" s="51">
        <f>+E46+F46+G46+H46</f>
        <v>-5500</v>
      </c>
      <c r="E46" s="51"/>
      <c r="F46" s="51"/>
      <c r="G46" s="51">
        <f>+'Հավելված N 8'!I71+'Հավելված N 8'!I73</f>
        <v>-5500</v>
      </c>
      <c r="H46" s="51"/>
      <c r="K46" s="58"/>
      <c r="L46" s="341"/>
    </row>
    <row r="47" spans="1:12" s="110" customFormat="1" ht="16.95" customHeight="1">
      <c r="A47" s="117"/>
      <c r="B47" s="117"/>
      <c r="C47" s="211" t="s">
        <v>196</v>
      </c>
      <c r="D47" s="108">
        <f>SUM(E47:H47)</f>
        <v>-8175</v>
      </c>
      <c r="E47" s="108">
        <f>+E48</f>
        <v>0</v>
      </c>
      <c r="F47" s="108">
        <f>+F48</f>
        <v>0</v>
      </c>
      <c r="G47" s="108">
        <f>+G48</f>
        <v>-8175</v>
      </c>
      <c r="H47" s="108">
        <f>+H48</f>
        <v>0</v>
      </c>
      <c r="I47" s="210"/>
      <c r="K47" s="109"/>
      <c r="L47" s="342"/>
    </row>
    <row r="48" spans="1:12" s="23" customFormat="1" ht="51" customHeight="1">
      <c r="A48" s="172"/>
      <c r="B48" s="172"/>
      <c r="C48" s="195" t="s">
        <v>340</v>
      </c>
      <c r="D48" s="51">
        <f>+E48+F48+G48+H48</f>
        <v>-8175</v>
      </c>
      <c r="E48" s="51"/>
      <c r="F48" s="51"/>
      <c r="G48" s="51">
        <f>+'Հավելված N 8'!I72+'Հավելված N 8'!I74</f>
        <v>-8175</v>
      </c>
      <c r="H48" s="51"/>
      <c r="K48" s="58"/>
      <c r="L48" s="341"/>
    </row>
    <row r="49" spans="1:12" s="21" customFormat="1" ht="36">
      <c r="A49" s="56">
        <v>1075</v>
      </c>
      <c r="B49" s="56">
        <v>32012</v>
      </c>
      <c r="C49" s="57" t="s">
        <v>307</v>
      </c>
      <c r="D49" s="112">
        <f>SUM(E49:H49)</f>
        <v>960</v>
      </c>
      <c r="E49" s="112">
        <f>+E51</f>
        <v>0</v>
      </c>
      <c r="F49" s="112">
        <f t="shared" ref="F49:H49" si="8">+F51</f>
        <v>0</v>
      </c>
      <c r="G49" s="112">
        <f t="shared" si="8"/>
        <v>960</v>
      </c>
      <c r="H49" s="112">
        <f t="shared" si="8"/>
        <v>0</v>
      </c>
      <c r="I49" s="113"/>
      <c r="J49" s="113"/>
      <c r="K49" s="113"/>
      <c r="L49" s="340"/>
    </row>
    <row r="50" spans="1:12" s="3" customFormat="1">
      <c r="A50" s="114"/>
      <c r="B50" s="114"/>
      <c r="C50" s="162" t="s">
        <v>6</v>
      </c>
      <c r="D50" s="106"/>
      <c r="E50" s="116"/>
      <c r="F50" s="116"/>
      <c r="G50" s="116"/>
      <c r="H50" s="116"/>
      <c r="I50" s="113"/>
      <c r="J50" s="113"/>
      <c r="K50" s="113"/>
      <c r="L50" s="340"/>
    </row>
    <row r="51" spans="1:12" s="110" customFormat="1" ht="16.95" customHeight="1">
      <c r="A51" s="117"/>
      <c r="B51" s="117"/>
      <c r="C51" s="107" t="s">
        <v>49</v>
      </c>
      <c r="D51" s="108">
        <f>SUM(E51:H51)</f>
        <v>960</v>
      </c>
      <c r="E51" s="108">
        <f>+E52</f>
        <v>0</v>
      </c>
      <c r="F51" s="108">
        <f t="shared" ref="F51:H51" si="9">+F52</f>
        <v>0</v>
      </c>
      <c r="G51" s="108">
        <f t="shared" si="9"/>
        <v>960</v>
      </c>
      <c r="H51" s="108">
        <f t="shared" si="9"/>
        <v>0</v>
      </c>
      <c r="I51" s="109"/>
      <c r="J51" s="109"/>
      <c r="K51" s="109"/>
      <c r="L51" s="342"/>
    </row>
    <row r="52" spans="1:12" s="23" customFormat="1" ht="17.399999999999999">
      <c r="A52" s="70"/>
      <c r="B52" s="70"/>
      <c r="C52" s="119" t="s">
        <v>308</v>
      </c>
      <c r="D52" s="51">
        <f t="shared" ref="D52" si="10">+E52+F52+G52+H52</f>
        <v>960</v>
      </c>
      <c r="E52" s="51"/>
      <c r="F52" s="51"/>
      <c r="G52" s="51">
        <f>+'Հավելված N 8'!I24</f>
        <v>960</v>
      </c>
      <c r="H52" s="51"/>
      <c r="I52" s="58"/>
      <c r="J52" s="58"/>
      <c r="K52" s="58"/>
      <c r="L52" s="341"/>
    </row>
    <row r="53" spans="1:12" s="21" customFormat="1" ht="72">
      <c r="A53" s="56">
        <v>1130</v>
      </c>
      <c r="B53" s="56">
        <v>31001</v>
      </c>
      <c r="C53" s="71" t="s">
        <v>351</v>
      </c>
      <c r="D53" s="112">
        <f>SUM(E53:H53)</f>
        <v>5040</v>
      </c>
      <c r="E53" s="112">
        <v>0</v>
      </c>
      <c r="F53" s="112">
        <v>0</v>
      </c>
      <c r="G53" s="112">
        <v>0</v>
      </c>
      <c r="H53" s="112">
        <f>+'Հավելված N 8'!I161</f>
        <v>5040</v>
      </c>
      <c r="I53" s="113"/>
      <c r="J53" s="113"/>
      <c r="K53" s="113"/>
      <c r="L53" s="340"/>
    </row>
    <row r="54" spans="1:12" s="21" customFormat="1" ht="54">
      <c r="A54" s="56">
        <v>1148</v>
      </c>
      <c r="B54" s="56">
        <v>32005</v>
      </c>
      <c r="C54" s="71" t="s">
        <v>278</v>
      </c>
      <c r="D54" s="112">
        <f>SUM(E54:H54)</f>
        <v>12274.5</v>
      </c>
      <c r="E54" s="112">
        <f>+E56</f>
        <v>0</v>
      </c>
      <c r="F54" s="112">
        <f t="shared" ref="F54:H54" si="11">+F56</f>
        <v>0</v>
      </c>
      <c r="G54" s="112">
        <f t="shared" si="11"/>
        <v>12274.5</v>
      </c>
      <c r="H54" s="112">
        <f t="shared" si="11"/>
        <v>0</v>
      </c>
      <c r="I54" s="113"/>
      <c r="J54" s="113"/>
      <c r="K54" s="113"/>
      <c r="L54" s="340"/>
    </row>
    <row r="55" spans="1:12" s="3" customFormat="1">
      <c r="A55" s="114"/>
      <c r="B55" s="114"/>
      <c r="C55" s="115" t="s">
        <v>6</v>
      </c>
      <c r="D55" s="106"/>
      <c r="E55" s="116"/>
      <c r="F55" s="116"/>
      <c r="G55" s="116"/>
      <c r="H55" s="116"/>
      <c r="I55" s="113"/>
      <c r="J55" s="113"/>
      <c r="K55" s="113"/>
      <c r="L55" s="340"/>
    </row>
    <row r="56" spans="1:12" s="110" customFormat="1" ht="16.95" customHeight="1">
      <c r="A56" s="117"/>
      <c r="B56" s="117"/>
      <c r="C56" s="107" t="s">
        <v>49</v>
      </c>
      <c r="D56" s="108">
        <f>SUM(E56:H56)</f>
        <v>12274.5</v>
      </c>
      <c r="E56" s="108">
        <f>+E57</f>
        <v>0</v>
      </c>
      <c r="F56" s="108">
        <f t="shared" ref="F56" si="12">+F57</f>
        <v>0</v>
      </c>
      <c r="G56" s="108">
        <f t="shared" ref="G56" si="13">+G57</f>
        <v>12274.5</v>
      </c>
      <c r="H56" s="108">
        <f t="shared" ref="H56" si="14">+H57</f>
        <v>0</v>
      </c>
      <c r="I56" s="109"/>
      <c r="J56" s="109"/>
      <c r="K56" s="109"/>
      <c r="L56" s="342"/>
    </row>
    <row r="57" spans="1:12" s="23" customFormat="1" ht="34.799999999999997">
      <c r="A57" s="70"/>
      <c r="B57" s="70"/>
      <c r="C57" s="119" t="s">
        <v>279</v>
      </c>
      <c r="D57" s="51">
        <f t="shared" ref="D57" si="15">+E57+F57+G57+H57</f>
        <v>12274.5</v>
      </c>
      <c r="E57" s="51"/>
      <c r="F57" s="51"/>
      <c r="G57" s="51">
        <f>+'Հավելված N 8'!I135+'Հավելված N 8'!I136</f>
        <v>12274.5</v>
      </c>
      <c r="H57" s="51"/>
      <c r="I57" s="58"/>
      <c r="J57" s="58"/>
      <c r="K57" s="58"/>
      <c r="L57" s="341"/>
    </row>
    <row r="58" spans="1:12" s="21" customFormat="1" ht="54">
      <c r="A58" s="56">
        <v>1163</v>
      </c>
      <c r="B58" s="56">
        <v>12001</v>
      </c>
      <c r="C58" s="71" t="s">
        <v>289</v>
      </c>
      <c r="D58" s="112">
        <f>SUM(E58:H58)</f>
        <v>-550936.90000000014</v>
      </c>
      <c r="E58" s="112">
        <f>+E60</f>
        <v>-567074.90000000014</v>
      </c>
      <c r="F58" s="112">
        <f t="shared" ref="F58:H58" si="16">+F60</f>
        <v>0</v>
      </c>
      <c r="G58" s="112">
        <f t="shared" si="16"/>
        <v>16138</v>
      </c>
      <c r="H58" s="112">
        <f t="shared" si="16"/>
        <v>0</v>
      </c>
      <c r="I58" s="113"/>
      <c r="J58" s="113"/>
      <c r="K58" s="113"/>
      <c r="L58" s="340"/>
    </row>
    <row r="59" spans="1:12" s="3" customFormat="1">
      <c r="A59" s="114"/>
      <c r="B59" s="114"/>
      <c r="C59" s="115" t="s">
        <v>6</v>
      </c>
      <c r="D59" s="106"/>
      <c r="E59" s="116"/>
      <c r="F59" s="116"/>
      <c r="G59" s="116"/>
      <c r="H59" s="116"/>
      <c r="I59" s="113"/>
      <c r="J59" s="113"/>
      <c r="K59" s="113"/>
      <c r="L59" s="340"/>
    </row>
    <row r="60" spans="1:12" s="110" customFormat="1" ht="16.95" customHeight="1">
      <c r="A60" s="117"/>
      <c r="B60" s="117"/>
      <c r="C60" s="107" t="s">
        <v>191</v>
      </c>
      <c r="D60" s="108">
        <f>SUM(E60:H60)</f>
        <v>-550936.90000000014</v>
      </c>
      <c r="E60" s="108">
        <f>+E61+E62</f>
        <v>-567074.90000000014</v>
      </c>
      <c r="F60" s="108">
        <f t="shared" ref="F60:H60" si="17">+F61+F62</f>
        <v>0</v>
      </c>
      <c r="G60" s="108">
        <f t="shared" si="17"/>
        <v>16138</v>
      </c>
      <c r="H60" s="108">
        <f t="shared" si="17"/>
        <v>0</v>
      </c>
      <c r="I60" s="109"/>
      <c r="J60" s="109"/>
      <c r="K60" s="109"/>
      <c r="L60" s="342"/>
    </row>
    <row r="61" spans="1:12" s="23" customFormat="1" ht="17.399999999999999">
      <c r="A61" s="401"/>
      <c r="B61" s="401"/>
      <c r="C61" s="119" t="s">
        <v>276</v>
      </c>
      <c r="D61" s="51">
        <f t="shared" ref="D61" si="18">+E61+F61+G61+H61</f>
        <v>16138</v>
      </c>
      <c r="E61" s="51"/>
      <c r="F61" s="51"/>
      <c r="G61" s="51">
        <f>+'Հավելված N 8'!I149+'Հավելված N 8'!I150</f>
        <v>16138</v>
      </c>
      <c r="H61" s="51"/>
      <c r="I61" s="58"/>
      <c r="J61" s="58"/>
      <c r="K61" s="58"/>
      <c r="L61" s="341"/>
    </row>
    <row r="62" spans="1:12" s="23" customFormat="1" ht="34.799999999999997">
      <c r="A62" s="403"/>
      <c r="B62" s="403"/>
      <c r="C62" s="119" t="s">
        <v>357</v>
      </c>
      <c r="D62" s="51">
        <f t="shared" ref="D62" si="19">+E62+F62+G62+H62</f>
        <v>-567074.90000000014</v>
      </c>
      <c r="E62" s="51">
        <f>+'Հավելված N 8'!I224+'Հավելված N 8'!I226+'Հավելված N 8'!I227</f>
        <v>-567074.90000000014</v>
      </c>
      <c r="F62" s="51"/>
      <c r="G62" s="51"/>
      <c r="H62" s="51"/>
      <c r="I62" s="58"/>
      <c r="J62" s="58"/>
      <c r="K62" s="58"/>
      <c r="L62" s="341"/>
    </row>
    <row r="63" spans="1:12" s="21" customFormat="1">
      <c r="A63" s="56">
        <v>1163</v>
      </c>
      <c r="B63" s="56">
        <v>32001</v>
      </c>
      <c r="C63" s="71" t="s">
        <v>197</v>
      </c>
      <c r="D63" s="112">
        <f>SUM(E63:H63)</f>
        <v>-621286.79999999993</v>
      </c>
      <c r="E63" s="112">
        <f>+E65+E68+E71+E73+E75+E77</f>
        <v>-648149.19999999995</v>
      </c>
      <c r="F63" s="112">
        <f t="shared" ref="F63:H63" si="20">+F65+F68+F71+F73+F75+F77</f>
        <v>0</v>
      </c>
      <c r="G63" s="112">
        <f t="shared" si="20"/>
        <v>26862.400000000001</v>
      </c>
      <c r="H63" s="112">
        <f t="shared" si="20"/>
        <v>0</v>
      </c>
      <c r="I63" s="113"/>
      <c r="J63" s="113"/>
      <c r="K63" s="113"/>
      <c r="L63" s="340"/>
    </row>
    <row r="64" spans="1:12" s="3" customFormat="1">
      <c r="A64" s="114"/>
      <c r="B64" s="114"/>
      <c r="C64" s="115" t="s">
        <v>6</v>
      </c>
      <c r="D64" s="106"/>
      <c r="E64" s="116"/>
      <c r="F64" s="116"/>
      <c r="G64" s="116"/>
      <c r="H64" s="116"/>
      <c r="I64" s="113"/>
      <c r="J64" s="113"/>
      <c r="K64" s="113"/>
      <c r="L64" s="340"/>
    </row>
    <row r="65" spans="1:12" s="110" customFormat="1" ht="16.95" customHeight="1">
      <c r="A65" s="117"/>
      <c r="B65" s="117"/>
      <c r="C65" s="107" t="s">
        <v>49</v>
      </c>
      <c r="D65" s="108">
        <f>SUM(E65:H65)</f>
        <v>-168674.6</v>
      </c>
      <c r="E65" s="108">
        <f>+E66+E67</f>
        <v>-168674.6</v>
      </c>
      <c r="F65" s="108">
        <f t="shared" ref="F65" si="21">+F66+F67</f>
        <v>0</v>
      </c>
      <c r="G65" s="108">
        <f t="shared" ref="G65" si="22">+G66+G67</f>
        <v>0</v>
      </c>
      <c r="H65" s="108">
        <f t="shared" ref="H65" si="23">+H66+H67</f>
        <v>0</v>
      </c>
      <c r="I65" s="109"/>
      <c r="J65" s="109"/>
      <c r="K65" s="109"/>
      <c r="L65" s="342"/>
    </row>
    <row r="66" spans="1:12" s="23" customFormat="1" ht="17.399999999999999">
      <c r="A66" s="401"/>
      <c r="B66" s="401"/>
      <c r="C66" s="195" t="s">
        <v>362</v>
      </c>
      <c r="D66" s="51">
        <f t="shared" ref="D66:D67" si="24">+E66+F66+G66+H66</f>
        <v>-103600</v>
      </c>
      <c r="E66" s="51">
        <f>+'Հավելված N 8'!I230+'Հավելված N 8'!I236+'Հավելված N 8'!I241</f>
        <v>-103600</v>
      </c>
      <c r="F66" s="51"/>
      <c r="G66" s="51"/>
      <c r="H66" s="51"/>
      <c r="I66" s="58"/>
      <c r="J66" s="58"/>
      <c r="K66" s="58"/>
      <c r="L66" s="341"/>
    </row>
    <row r="67" spans="1:12" s="23" customFormat="1" ht="52.2">
      <c r="A67" s="403"/>
      <c r="B67" s="403"/>
      <c r="C67" s="195" t="s">
        <v>198</v>
      </c>
      <c r="D67" s="51">
        <f t="shared" si="24"/>
        <v>-65074.600000000006</v>
      </c>
      <c r="E67" s="51">
        <f>+'Հավելված N 8'!I231+'Հավելված N 8'!I237+'Հավելված N 8'!I242</f>
        <v>-65074.600000000006</v>
      </c>
      <c r="F67" s="51"/>
      <c r="G67" s="51"/>
      <c r="H67" s="51"/>
      <c r="I67" s="58"/>
      <c r="J67" s="58"/>
      <c r="K67" s="58"/>
      <c r="L67" s="341"/>
    </row>
    <row r="68" spans="1:12" s="110" customFormat="1" ht="16.95" customHeight="1">
      <c r="A68" s="106"/>
      <c r="B68" s="106"/>
      <c r="C68" s="107" t="s">
        <v>180</v>
      </c>
      <c r="D68" s="108">
        <f>SUM(E68:H68)</f>
        <v>-60829.100000000006</v>
      </c>
      <c r="E68" s="108">
        <f>+E69+E70</f>
        <v>-65074.600000000006</v>
      </c>
      <c r="F68" s="108">
        <f t="shared" ref="F68:H68" si="25">+F69+F70</f>
        <v>0</v>
      </c>
      <c r="G68" s="108">
        <f t="shared" si="25"/>
        <v>4245.5</v>
      </c>
      <c r="H68" s="108">
        <f t="shared" si="25"/>
        <v>0</v>
      </c>
      <c r="I68" s="109"/>
      <c r="J68" s="109"/>
      <c r="K68" s="109"/>
      <c r="L68" s="342"/>
    </row>
    <row r="69" spans="1:12" s="23" customFormat="1" ht="34.799999999999997">
      <c r="A69" s="401"/>
      <c r="B69" s="401"/>
      <c r="C69" s="195" t="s">
        <v>199</v>
      </c>
      <c r="D69" s="51">
        <f t="shared" ref="D69:D70" si="26">+E69+F69+G69+H69</f>
        <v>-65074.600000000006</v>
      </c>
      <c r="E69" s="51">
        <f>+'Հավելված N 8'!I232+'Հավելված N 8'!I238+'Հավելված N 8'!I243</f>
        <v>-65074.600000000006</v>
      </c>
      <c r="F69" s="51"/>
      <c r="G69" s="51"/>
      <c r="H69" s="51"/>
      <c r="I69" s="58"/>
      <c r="J69" s="58"/>
      <c r="K69" s="58"/>
      <c r="L69" s="341"/>
    </row>
    <row r="70" spans="1:12" s="23" customFormat="1" ht="17.399999999999999">
      <c r="A70" s="403"/>
      <c r="B70" s="403"/>
      <c r="C70" s="195" t="s">
        <v>372</v>
      </c>
      <c r="D70" s="51">
        <f t="shared" si="26"/>
        <v>4245.5</v>
      </c>
      <c r="E70" s="51"/>
      <c r="F70" s="51"/>
      <c r="G70" s="51">
        <f>+'Հավելված N 8'!I249+'Հավելված N 8'!I253</f>
        <v>4245.5</v>
      </c>
      <c r="H70" s="51"/>
      <c r="I70" s="58"/>
      <c r="J70" s="58"/>
      <c r="K70" s="58"/>
      <c r="L70" s="341"/>
    </row>
    <row r="71" spans="1:12" s="110" customFormat="1" ht="16.95" customHeight="1">
      <c r="A71" s="106"/>
      <c r="B71" s="106"/>
      <c r="C71" s="211" t="s">
        <v>181</v>
      </c>
      <c r="D71" s="108">
        <f>SUM(E71:H71)</f>
        <v>9185.7000000000007</v>
      </c>
      <c r="E71" s="108">
        <f>+E72</f>
        <v>0</v>
      </c>
      <c r="F71" s="108">
        <f t="shared" ref="F71" si="27">+F72</f>
        <v>0</v>
      </c>
      <c r="G71" s="108">
        <f t="shared" ref="G71" si="28">+G72</f>
        <v>9185.7000000000007</v>
      </c>
      <c r="H71" s="108">
        <f t="shared" ref="H71" si="29">+H72</f>
        <v>0</v>
      </c>
      <c r="I71" s="109"/>
      <c r="J71" s="109"/>
      <c r="K71" s="109"/>
      <c r="L71" s="342"/>
    </row>
    <row r="72" spans="1:12" s="23" customFormat="1" ht="17.399999999999999">
      <c r="A72" s="197"/>
      <c r="B72" s="197"/>
      <c r="C72" s="195" t="s">
        <v>365</v>
      </c>
      <c r="D72" s="51">
        <f t="shared" ref="D72" si="30">+E72+F72+G72+H72</f>
        <v>9185.7000000000007</v>
      </c>
      <c r="E72" s="51"/>
      <c r="F72" s="51"/>
      <c r="G72" s="51">
        <f>+'Հավելված N 8'!I246+'Հավելված N 8'!I250</f>
        <v>9185.7000000000007</v>
      </c>
      <c r="H72" s="51"/>
      <c r="I72" s="58"/>
      <c r="J72" s="58"/>
      <c r="K72" s="58"/>
      <c r="L72" s="341"/>
    </row>
    <row r="73" spans="1:12" s="110" customFormat="1" ht="16.95" customHeight="1">
      <c r="A73" s="106"/>
      <c r="B73" s="106"/>
      <c r="C73" s="211" t="s">
        <v>48</v>
      </c>
      <c r="D73" s="108">
        <f>SUM(E73:H73)</f>
        <v>4245.5</v>
      </c>
      <c r="E73" s="108">
        <f>+E74</f>
        <v>0</v>
      </c>
      <c r="F73" s="108">
        <f t="shared" ref="F73:H73" si="31">+F74</f>
        <v>0</v>
      </c>
      <c r="G73" s="108">
        <f t="shared" si="31"/>
        <v>4245.5</v>
      </c>
      <c r="H73" s="108">
        <f t="shared" si="31"/>
        <v>0</v>
      </c>
      <c r="I73" s="109"/>
      <c r="J73" s="109"/>
      <c r="K73" s="109"/>
      <c r="L73" s="342"/>
    </row>
    <row r="74" spans="1:12" s="23" customFormat="1" ht="17.399999999999999">
      <c r="A74" s="197"/>
      <c r="B74" s="197"/>
      <c r="C74" s="195" t="s">
        <v>373</v>
      </c>
      <c r="D74" s="51">
        <f t="shared" ref="D74" si="32">+E74+F74+G74+H74</f>
        <v>4245.5</v>
      </c>
      <c r="E74" s="51"/>
      <c r="F74" s="51"/>
      <c r="G74" s="51">
        <f>+'Հավելված N 8'!I248+'Հավելված N 8'!I252</f>
        <v>4245.5</v>
      </c>
      <c r="H74" s="51"/>
      <c r="I74" s="58"/>
      <c r="J74" s="58"/>
      <c r="K74" s="58"/>
      <c r="L74" s="341"/>
    </row>
    <row r="75" spans="1:12" s="110" customFormat="1" ht="16.95" customHeight="1">
      <c r="A75" s="106"/>
      <c r="B75" s="106"/>
      <c r="C75" s="211" t="s">
        <v>196</v>
      </c>
      <c r="D75" s="108">
        <f>SUM(E75:H75)</f>
        <v>-198014.3</v>
      </c>
      <c r="E75" s="108">
        <f>+E76</f>
        <v>-207200</v>
      </c>
      <c r="F75" s="108">
        <f t="shared" ref="F75" si="33">+F76</f>
        <v>0</v>
      </c>
      <c r="G75" s="108">
        <f t="shared" ref="G75" si="34">+G76</f>
        <v>9185.7000000000007</v>
      </c>
      <c r="H75" s="108">
        <f t="shared" ref="H75" si="35">+H76</f>
        <v>0</v>
      </c>
      <c r="I75" s="109"/>
      <c r="J75" s="109"/>
      <c r="K75" s="109"/>
      <c r="L75" s="342"/>
    </row>
    <row r="76" spans="1:12" s="23" customFormat="1" ht="17.399999999999999">
      <c r="A76" s="197"/>
      <c r="B76" s="197"/>
      <c r="C76" s="195" t="s">
        <v>363</v>
      </c>
      <c r="D76" s="51">
        <f t="shared" ref="D76" si="36">+E76+F76+G76+H76</f>
        <v>-198014.3</v>
      </c>
      <c r="E76" s="51">
        <f>+'Հավելված N 8'!I233+'Հավելված N 8'!I239+'Հավելված N 8'!I244</f>
        <v>-207200</v>
      </c>
      <c r="F76" s="51"/>
      <c r="G76" s="51">
        <f>+'Հավելված N 8'!I247+'Հավելված N 8'!I251</f>
        <v>9185.7000000000007</v>
      </c>
      <c r="H76" s="51"/>
      <c r="I76" s="58"/>
      <c r="J76" s="58"/>
      <c r="K76" s="58"/>
      <c r="L76" s="341"/>
    </row>
    <row r="77" spans="1:12" s="110" customFormat="1" ht="16.95" customHeight="1">
      <c r="A77" s="106"/>
      <c r="B77" s="106"/>
      <c r="C77" s="211" t="s">
        <v>188</v>
      </c>
      <c r="D77" s="108">
        <f>SUM(E77:H77)</f>
        <v>-207200</v>
      </c>
      <c r="E77" s="108">
        <f>+E78</f>
        <v>-207200</v>
      </c>
      <c r="F77" s="108">
        <f t="shared" ref="F77:H77" si="37">+F78</f>
        <v>0</v>
      </c>
      <c r="G77" s="108">
        <f t="shared" si="37"/>
        <v>0</v>
      </c>
      <c r="H77" s="108">
        <f t="shared" si="37"/>
        <v>0</v>
      </c>
      <c r="I77" s="109"/>
      <c r="J77" s="109"/>
      <c r="K77" s="109"/>
      <c r="L77" s="342"/>
    </row>
    <row r="78" spans="1:12" s="23" customFormat="1" ht="17.399999999999999">
      <c r="A78" s="197"/>
      <c r="B78" s="197"/>
      <c r="C78" s="195" t="s">
        <v>364</v>
      </c>
      <c r="D78" s="51">
        <f t="shared" ref="D78" si="38">+E78+F78+G78+H78</f>
        <v>-207200</v>
      </c>
      <c r="E78" s="51">
        <f>+'Հավելված N 8'!I234+'Հավելված N 8'!I240+'Հավելված N 8'!I245</f>
        <v>-207200</v>
      </c>
      <c r="F78" s="51"/>
      <c r="G78" s="51"/>
      <c r="H78" s="51"/>
      <c r="I78" s="58"/>
      <c r="J78" s="58"/>
      <c r="K78" s="58"/>
      <c r="L78" s="341"/>
    </row>
    <row r="79" spans="1:12" s="21" customFormat="1" ht="36">
      <c r="A79" s="56">
        <v>1163</v>
      </c>
      <c r="B79" s="56">
        <v>32003</v>
      </c>
      <c r="C79" s="71" t="s">
        <v>398</v>
      </c>
      <c r="D79" s="112">
        <f>SUM(E79:H79)</f>
        <v>-93026.599999999991</v>
      </c>
      <c r="E79" s="112">
        <f>+E81</f>
        <v>-93026.599999999991</v>
      </c>
      <c r="F79" s="112">
        <f t="shared" ref="F79:H79" si="39">+F81</f>
        <v>0</v>
      </c>
      <c r="G79" s="112">
        <f t="shared" si="39"/>
        <v>0</v>
      </c>
      <c r="H79" s="112">
        <f t="shared" si="39"/>
        <v>0</v>
      </c>
      <c r="I79" s="113"/>
      <c r="J79" s="113"/>
      <c r="K79" s="113"/>
      <c r="L79" s="340"/>
    </row>
    <row r="80" spans="1:12" s="3" customFormat="1">
      <c r="A80" s="114"/>
      <c r="B80" s="114"/>
      <c r="C80" s="115" t="s">
        <v>6</v>
      </c>
      <c r="D80" s="106"/>
      <c r="E80" s="116"/>
      <c r="F80" s="116"/>
      <c r="G80" s="116"/>
      <c r="H80" s="116"/>
      <c r="I80" s="113"/>
      <c r="J80" s="113"/>
      <c r="K80" s="113"/>
      <c r="L80" s="340"/>
    </row>
    <row r="81" spans="1:12" s="110" customFormat="1" ht="16.95" customHeight="1">
      <c r="A81" s="106"/>
      <c r="B81" s="106"/>
      <c r="C81" s="211" t="s">
        <v>62</v>
      </c>
      <c r="D81" s="108">
        <f>SUM(E81:H81)</f>
        <v>-93026.599999999991</v>
      </c>
      <c r="E81" s="108">
        <f>+E82</f>
        <v>-93026.599999999991</v>
      </c>
      <c r="F81" s="108">
        <f t="shared" ref="F81:H81" si="40">+F82</f>
        <v>0</v>
      </c>
      <c r="G81" s="108">
        <f t="shared" si="40"/>
        <v>0</v>
      </c>
      <c r="H81" s="108">
        <f t="shared" si="40"/>
        <v>0</v>
      </c>
      <c r="I81" s="109"/>
      <c r="J81" s="109"/>
      <c r="K81" s="109"/>
      <c r="L81" s="342"/>
    </row>
    <row r="82" spans="1:12" s="23" customFormat="1" ht="52.65" customHeight="1">
      <c r="A82" s="70"/>
      <c r="B82" s="70"/>
      <c r="C82" s="195" t="s">
        <v>399</v>
      </c>
      <c r="D82" s="51">
        <f t="shared" ref="D82" si="41">+E82+F82+G82+H82</f>
        <v>-93026.599999999991</v>
      </c>
      <c r="E82" s="51">
        <f>+'Հավելված N 8'!I17+'Հավելված N 8'!I19+'Հավելված N 8'!I20</f>
        <v>-93026.599999999991</v>
      </c>
      <c r="F82" s="51"/>
      <c r="G82" s="51"/>
      <c r="H82" s="51"/>
      <c r="I82" s="58"/>
      <c r="J82" s="58"/>
      <c r="K82" s="58"/>
      <c r="L82" s="341"/>
    </row>
    <row r="83" spans="1:12" s="21" customFormat="1" ht="54">
      <c r="A83" s="56">
        <v>1163</v>
      </c>
      <c r="B83" s="56">
        <v>32006</v>
      </c>
      <c r="C83" s="71" t="s">
        <v>393</v>
      </c>
      <c r="D83" s="112">
        <f>SUM(E83:H83)</f>
        <v>-200000</v>
      </c>
      <c r="E83" s="112">
        <f>+E85</f>
        <v>0</v>
      </c>
      <c r="F83" s="112">
        <f t="shared" ref="F83:H83" si="42">+F85</f>
        <v>0</v>
      </c>
      <c r="G83" s="112">
        <f t="shared" si="42"/>
        <v>-200000</v>
      </c>
      <c r="H83" s="112">
        <f t="shared" si="42"/>
        <v>0</v>
      </c>
      <c r="I83" s="113"/>
      <c r="J83" s="113"/>
      <c r="K83" s="113"/>
      <c r="L83" s="340"/>
    </row>
    <row r="84" spans="1:12" s="3" customFormat="1">
      <c r="A84" s="114"/>
      <c r="B84" s="114"/>
      <c r="C84" s="115" t="s">
        <v>6</v>
      </c>
      <c r="D84" s="106"/>
      <c r="E84" s="116"/>
      <c r="F84" s="116"/>
      <c r="G84" s="116"/>
      <c r="H84" s="116"/>
      <c r="I84" s="113"/>
      <c r="J84" s="113"/>
      <c r="K84" s="113"/>
      <c r="L84" s="340"/>
    </row>
    <row r="85" spans="1:12" s="110" customFormat="1" ht="16.95" customHeight="1">
      <c r="A85" s="117"/>
      <c r="B85" s="117"/>
      <c r="C85" s="107" t="s">
        <v>188</v>
      </c>
      <c r="D85" s="108">
        <f>SUM(E85:H85)</f>
        <v>-200000</v>
      </c>
      <c r="E85" s="108">
        <f>+E86</f>
        <v>0</v>
      </c>
      <c r="F85" s="108">
        <f t="shared" ref="F85:H85" si="43">+F86</f>
        <v>0</v>
      </c>
      <c r="G85" s="108">
        <f t="shared" si="43"/>
        <v>-200000</v>
      </c>
      <c r="H85" s="108">
        <f t="shared" si="43"/>
        <v>0</v>
      </c>
      <c r="I85" s="109"/>
      <c r="J85" s="109"/>
      <c r="K85" s="109"/>
      <c r="L85" s="342"/>
    </row>
    <row r="86" spans="1:12" s="23" customFormat="1" ht="34.799999999999997">
      <c r="A86" s="197"/>
      <c r="B86" s="197"/>
      <c r="C86" s="195" t="s">
        <v>394</v>
      </c>
      <c r="D86" s="51">
        <f t="shared" ref="D86" si="44">+E86+F86+G86+H86</f>
        <v>-200000</v>
      </c>
      <c r="E86" s="51"/>
      <c r="F86" s="51"/>
      <c r="G86" s="51">
        <f>+'Հավելված N 8'!I168+'Հավելված N 8'!I169</f>
        <v>-200000</v>
      </c>
      <c r="H86" s="51"/>
      <c r="I86" s="58"/>
      <c r="J86" s="58"/>
      <c r="K86" s="58"/>
      <c r="L86" s="341"/>
    </row>
    <row r="87" spans="1:12" s="21" customFormat="1" ht="54">
      <c r="A87" s="56">
        <v>1168</v>
      </c>
      <c r="B87" s="201">
        <v>32001</v>
      </c>
      <c r="C87" s="71" t="s">
        <v>151</v>
      </c>
      <c r="D87" s="112">
        <f>SUM(E87:H87)</f>
        <v>-128040.4</v>
      </c>
      <c r="E87" s="112">
        <f>+E89+E92</f>
        <v>0</v>
      </c>
      <c r="F87" s="112">
        <f t="shared" ref="F87:H87" si="45">+F89+F92</f>
        <v>-148040.4</v>
      </c>
      <c r="G87" s="112">
        <f t="shared" si="45"/>
        <v>20000</v>
      </c>
      <c r="H87" s="112">
        <f t="shared" si="45"/>
        <v>0</v>
      </c>
      <c r="I87" s="113"/>
      <c r="J87" s="113"/>
      <c r="K87" s="113"/>
      <c r="L87" s="340"/>
    </row>
    <row r="88" spans="1:12" s="3" customFormat="1">
      <c r="A88" s="114"/>
      <c r="B88" s="114"/>
      <c r="C88" s="162" t="s">
        <v>6</v>
      </c>
      <c r="D88" s="106"/>
      <c r="E88" s="116"/>
      <c r="F88" s="116"/>
      <c r="G88" s="116"/>
      <c r="H88" s="116"/>
      <c r="I88" s="113"/>
      <c r="J88" s="113"/>
      <c r="K88" s="113"/>
      <c r="L88" s="340"/>
    </row>
    <row r="89" spans="1:12" s="110" customFormat="1" ht="16.95" customHeight="1">
      <c r="A89" s="117"/>
      <c r="B89" s="117"/>
      <c r="C89" s="107" t="s">
        <v>49</v>
      </c>
      <c r="D89" s="108">
        <f>SUM(E89:H89)</f>
        <v>-42640.399999999994</v>
      </c>
      <c r="E89" s="108">
        <f>+E90+E91</f>
        <v>0</v>
      </c>
      <c r="F89" s="108">
        <f t="shared" ref="F89:H89" si="46">+F90+F91</f>
        <v>-62640.399999999994</v>
      </c>
      <c r="G89" s="108">
        <f t="shared" si="46"/>
        <v>20000</v>
      </c>
      <c r="H89" s="108">
        <f t="shared" si="46"/>
        <v>0</v>
      </c>
      <c r="I89" s="109"/>
      <c r="J89" s="109"/>
      <c r="K89" s="109"/>
      <c r="L89" s="342"/>
    </row>
    <row r="90" spans="1:12" s="23" customFormat="1" ht="34.799999999999997">
      <c r="A90" s="401"/>
      <c r="B90" s="401"/>
      <c r="C90" s="195" t="s">
        <v>403</v>
      </c>
      <c r="D90" s="51">
        <f t="shared" ref="D90" si="47">+E90+F90+G90+H90</f>
        <v>-62640.399999999994</v>
      </c>
      <c r="E90" s="51"/>
      <c r="F90" s="51">
        <f>+'Հավելված N 8'!I35+'Հավելված N 8'!I38+'Հավելված N 8'!I40</f>
        <v>-62640.399999999994</v>
      </c>
      <c r="G90" s="51"/>
      <c r="H90" s="51"/>
      <c r="I90" s="584">
        <v>4300</v>
      </c>
      <c r="J90" s="58"/>
      <c r="K90" s="58"/>
      <c r="L90" s="341"/>
    </row>
    <row r="91" spans="1:12" s="23" customFormat="1" ht="73.8" customHeight="1">
      <c r="A91" s="403"/>
      <c r="B91" s="403"/>
      <c r="C91" s="195" t="s">
        <v>454</v>
      </c>
      <c r="D91" s="51">
        <f t="shared" ref="D91" si="48">+E91+F91+G91+H91</f>
        <v>20000</v>
      </c>
      <c r="E91" s="51"/>
      <c r="F91" s="51"/>
      <c r="G91" s="51">
        <f>+'Հավելված N 8'!I42</f>
        <v>20000</v>
      </c>
      <c r="H91" s="51"/>
      <c r="I91" s="58"/>
      <c r="J91" s="58"/>
      <c r="K91" s="58"/>
      <c r="L91" s="341"/>
    </row>
    <row r="92" spans="1:12" s="110" customFormat="1" ht="16.95" customHeight="1">
      <c r="A92" s="117"/>
      <c r="B92" s="117"/>
      <c r="C92" s="107" t="s">
        <v>193</v>
      </c>
      <c r="D92" s="108">
        <f>SUM(E92:H92)</f>
        <v>-85400</v>
      </c>
      <c r="E92" s="108">
        <f>+E93</f>
        <v>0</v>
      </c>
      <c r="F92" s="108">
        <f t="shared" ref="F92" si="49">+F93</f>
        <v>-85400</v>
      </c>
      <c r="G92" s="108">
        <f t="shared" ref="G92" si="50">+G93</f>
        <v>0</v>
      </c>
      <c r="H92" s="108">
        <f t="shared" ref="H92" si="51">+H93</f>
        <v>0</v>
      </c>
      <c r="I92" s="109"/>
      <c r="J92" s="109"/>
      <c r="K92" s="109"/>
      <c r="L92" s="342"/>
    </row>
    <row r="93" spans="1:12" s="23" customFormat="1" ht="34.799999999999997">
      <c r="A93" s="70"/>
      <c r="B93" s="70"/>
      <c r="C93" s="195" t="s">
        <v>406</v>
      </c>
      <c r="D93" s="51">
        <f t="shared" ref="D93" si="52">+E93+F93+G93+H93</f>
        <v>-85400</v>
      </c>
      <c r="E93" s="51"/>
      <c r="F93" s="51">
        <f>+'Հավելված N 8'!I36+'Հավելված N 8'!I39+'Հավելված N 8'!I41</f>
        <v>-85400</v>
      </c>
      <c r="G93" s="51"/>
      <c r="H93" s="51"/>
      <c r="I93" s="58"/>
      <c r="J93" s="58"/>
      <c r="K93" s="58"/>
      <c r="L93" s="341"/>
    </row>
    <row r="94" spans="1:12" s="21" customFormat="1" ht="54">
      <c r="A94" s="56">
        <v>1168</v>
      </c>
      <c r="B94" s="56">
        <v>32007</v>
      </c>
      <c r="C94" s="57" t="s">
        <v>250</v>
      </c>
      <c r="D94" s="112">
        <f>SUM(E94:H94)</f>
        <v>804102.4</v>
      </c>
      <c r="E94" s="112">
        <f>+E96</f>
        <v>0</v>
      </c>
      <c r="F94" s="112">
        <f t="shared" ref="F94:H94" si="53">+F96</f>
        <v>0</v>
      </c>
      <c r="G94" s="112">
        <f t="shared" si="53"/>
        <v>0</v>
      </c>
      <c r="H94" s="112">
        <f t="shared" si="53"/>
        <v>804102.4</v>
      </c>
      <c r="I94" s="113"/>
      <c r="J94" s="113"/>
      <c r="K94" s="113"/>
      <c r="L94" s="340"/>
    </row>
    <row r="95" spans="1:12" s="3" customFormat="1">
      <c r="A95" s="114"/>
      <c r="B95" s="114"/>
      <c r="C95" s="162" t="s">
        <v>6</v>
      </c>
      <c r="D95" s="106"/>
      <c r="E95" s="116"/>
      <c r="F95" s="116"/>
      <c r="G95" s="116"/>
      <c r="H95" s="116"/>
      <c r="I95" s="113"/>
      <c r="J95" s="113"/>
      <c r="K95" s="113"/>
      <c r="L95" s="340"/>
    </row>
    <row r="96" spans="1:12" s="110" customFormat="1" ht="16.95" customHeight="1">
      <c r="A96" s="117"/>
      <c r="B96" s="117"/>
      <c r="C96" s="107" t="s">
        <v>49</v>
      </c>
      <c r="D96" s="108">
        <f>SUM(E96:H96)</f>
        <v>804102.4</v>
      </c>
      <c r="E96" s="108">
        <f>SUM(E97:E102)</f>
        <v>0</v>
      </c>
      <c r="F96" s="108">
        <f t="shared" ref="F96:H96" si="54">SUM(F97:F102)</f>
        <v>0</v>
      </c>
      <c r="G96" s="108">
        <f t="shared" si="54"/>
        <v>0</v>
      </c>
      <c r="H96" s="108">
        <f t="shared" si="54"/>
        <v>804102.4</v>
      </c>
      <c r="I96" s="109"/>
      <c r="J96" s="109"/>
      <c r="K96" s="109"/>
      <c r="L96" s="342"/>
    </row>
    <row r="97" spans="1:12" s="23" customFormat="1" ht="53.25" customHeight="1">
      <c r="A97" s="401"/>
      <c r="B97" s="401"/>
      <c r="C97" s="119" t="s">
        <v>251</v>
      </c>
      <c r="D97" s="51">
        <f t="shared" ref="D97:D102" si="55">+E97+F97+G97+H97</f>
        <v>476902.1</v>
      </c>
      <c r="E97" s="51"/>
      <c r="F97" s="51"/>
      <c r="G97" s="51"/>
      <c r="H97" s="51">
        <f>+'Հավելված N 8'!I45+'Հավելված N 8'!I46</f>
        <v>476902.1</v>
      </c>
      <c r="I97" s="58"/>
      <c r="J97" s="58"/>
      <c r="K97" s="58"/>
      <c r="L97" s="341"/>
    </row>
    <row r="98" spans="1:12" s="23" customFormat="1" ht="34.799999999999997">
      <c r="A98" s="402"/>
      <c r="B98" s="402"/>
      <c r="C98" s="119" t="s">
        <v>252</v>
      </c>
      <c r="D98" s="51">
        <f t="shared" si="55"/>
        <v>61860</v>
      </c>
      <c r="E98" s="51"/>
      <c r="F98" s="51"/>
      <c r="G98" s="51"/>
      <c r="H98" s="51">
        <f>+'Հավելված N 8'!I47+'Հավելված N 8'!I48</f>
        <v>61860</v>
      </c>
      <c r="I98" s="58"/>
      <c r="J98" s="58"/>
      <c r="K98" s="58"/>
      <c r="L98" s="341"/>
    </row>
    <row r="99" spans="1:12" s="23" customFormat="1" ht="33.9" customHeight="1">
      <c r="A99" s="402"/>
      <c r="B99" s="402"/>
      <c r="C99" s="119" t="s">
        <v>253</v>
      </c>
      <c r="D99" s="51">
        <f t="shared" si="55"/>
        <v>8144.9</v>
      </c>
      <c r="E99" s="51"/>
      <c r="F99" s="51"/>
      <c r="G99" s="51"/>
      <c r="H99" s="51">
        <f>+'Հավելված N 8'!I49+'Հավելված N 8'!I50+'Հավելված N 8'!I51+'Հավելված N 8'!I52</f>
        <v>8144.9</v>
      </c>
      <c r="I99" s="58"/>
      <c r="J99" s="58"/>
      <c r="K99" s="58"/>
      <c r="L99" s="341"/>
    </row>
    <row r="100" spans="1:12" s="23" customFormat="1" ht="33.9" customHeight="1">
      <c r="A100" s="402"/>
      <c r="B100" s="402"/>
      <c r="C100" s="119" t="s">
        <v>260</v>
      </c>
      <c r="D100" s="51">
        <f t="shared" ref="D100" si="56">+E100+F100+G100+H100</f>
        <v>102326.6</v>
      </c>
      <c r="E100" s="51"/>
      <c r="F100" s="51"/>
      <c r="G100" s="51"/>
      <c r="H100" s="51">
        <f>+'Հավելված N 8'!I53+'Հավելված N 8'!I54</f>
        <v>102326.6</v>
      </c>
      <c r="I100" s="58"/>
      <c r="J100" s="58"/>
      <c r="K100" s="58"/>
      <c r="L100" s="341"/>
    </row>
    <row r="101" spans="1:12" s="23" customFormat="1" ht="33.9" customHeight="1">
      <c r="A101" s="402"/>
      <c r="B101" s="402"/>
      <c r="C101" s="119" t="s">
        <v>266</v>
      </c>
      <c r="D101" s="51">
        <f t="shared" ref="D101" si="57">+E101+F101+G101+H101</f>
        <v>137138.80000000002</v>
      </c>
      <c r="E101" s="51"/>
      <c r="F101" s="51"/>
      <c r="G101" s="51"/>
      <c r="H101" s="51">
        <f>+'Հավելված N 8'!I55+'Հավելված N 8'!I56</f>
        <v>137138.80000000002</v>
      </c>
      <c r="I101" s="58"/>
      <c r="J101" s="58"/>
      <c r="K101" s="58"/>
      <c r="L101" s="341"/>
    </row>
    <row r="102" spans="1:12" s="23" customFormat="1" ht="34.799999999999997">
      <c r="A102" s="403"/>
      <c r="B102" s="403"/>
      <c r="C102" s="119" t="s">
        <v>254</v>
      </c>
      <c r="D102" s="51">
        <f t="shared" si="55"/>
        <v>17730</v>
      </c>
      <c r="E102" s="51"/>
      <c r="F102" s="51"/>
      <c r="G102" s="51"/>
      <c r="H102" s="51">
        <f>+'Հավելված N 8'!I57</f>
        <v>17730</v>
      </c>
      <c r="I102" s="58"/>
      <c r="J102" s="58"/>
      <c r="K102" s="58"/>
      <c r="L102" s="341"/>
    </row>
    <row r="103" spans="1:12" s="21" customFormat="1" ht="36">
      <c r="A103" s="56">
        <v>1183</v>
      </c>
      <c r="B103" s="56">
        <v>32001</v>
      </c>
      <c r="C103" s="71" t="s">
        <v>284</v>
      </c>
      <c r="D103" s="112">
        <f>SUM(E103:H103)</f>
        <v>111856.90000000001</v>
      </c>
      <c r="E103" s="112">
        <f>+E105+E107</f>
        <v>0</v>
      </c>
      <c r="F103" s="112">
        <f t="shared" ref="F103:H103" si="58">+F105+F107</f>
        <v>100325.90000000001</v>
      </c>
      <c r="G103" s="112">
        <f t="shared" si="58"/>
        <v>11531</v>
      </c>
      <c r="H103" s="112">
        <f t="shared" si="58"/>
        <v>0</v>
      </c>
      <c r="I103" s="113"/>
      <c r="J103" s="113"/>
      <c r="K103" s="113"/>
      <c r="L103" s="340"/>
    </row>
    <row r="104" spans="1:12" s="3" customFormat="1">
      <c r="A104" s="114"/>
      <c r="B104" s="114"/>
      <c r="C104" s="115" t="s">
        <v>6</v>
      </c>
      <c r="D104" s="106"/>
      <c r="E104" s="116"/>
      <c r="F104" s="116"/>
      <c r="G104" s="116"/>
      <c r="H104" s="116"/>
      <c r="I104" s="113"/>
      <c r="J104" s="113"/>
      <c r="K104" s="113"/>
      <c r="L104" s="340"/>
    </row>
    <row r="105" spans="1:12" s="110" customFormat="1" ht="16.95" customHeight="1">
      <c r="A105" s="117"/>
      <c r="B105" s="117"/>
      <c r="C105" s="107" t="s">
        <v>49</v>
      </c>
      <c r="D105" s="108">
        <f>SUM(E105:H105)</f>
        <v>11531</v>
      </c>
      <c r="E105" s="108">
        <f>+E106</f>
        <v>0</v>
      </c>
      <c r="F105" s="108">
        <f t="shared" ref="F105" si="59">+F106</f>
        <v>0</v>
      </c>
      <c r="G105" s="108">
        <f>+G106</f>
        <v>11531</v>
      </c>
      <c r="H105" s="108">
        <f t="shared" ref="H105" si="60">+H106</f>
        <v>0</v>
      </c>
      <c r="I105" s="109"/>
      <c r="J105" s="109"/>
      <c r="K105" s="109"/>
      <c r="L105" s="342"/>
    </row>
    <row r="106" spans="1:12" s="23" customFormat="1" ht="17.399999999999999">
      <c r="A106" s="70"/>
      <c r="B106" s="70"/>
      <c r="C106" s="119" t="s">
        <v>290</v>
      </c>
      <c r="D106" s="51">
        <f t="shared" ref="D106" si="61">+E106+F106+G106+H106</f>
        <v>11531</v>
      </c>
      <c r="E106" s="51"/>
      <c r="F106" s="51"/>
      <c r="G106" s="51">
        <f>+'Հավելված N 8'!I153+'Հավելված N 8'!I154</f>
        <v>11531</v>
      </c>
      <c r="H106" s="51"/>
      <c r="I106" s="58"/>
      <c r="J106" s="58"/>
      <c r="K106" s="58"/>
      <c r="L106" s="341"/>
    </row>
    <row r="107" spans="1:12" s="110" customFormat="1" ht="16.95" customHeight="1">
      <c r="A107" s="117"/>
      <c r="B107" s="117"/>
      <c r="C107" s="107" t="s">
        <v>180</v>
      </c>
      <c r="D107" s="108">
        <f>SUM(E107:H107)</f>
        <v>100325.90000000001</v>
      </c>
      <c r="E107" s="108">
        <f>+E108</f>
        <v>0</v>
      </c>
      <c r="F107" s="108">
        <f t="shared" ref="F107:H107" si="62">+F108</f>
        <v>100325.90000000001</v>
      </c>
      <c r="G107" s="108">
        <f t="shared" si="62"/>
        <v>0</v>
      </c>
      <c r="H107" s="108">
        <f t="shared" si="62"/>
        <v>0</v>
      </c>
      <c r="I107" s="109"/>
      <c r="J107" s="109"/>
      <c r="K107" s="109"/>
      <c r="L107" s="342"/>
    </row>
    <row r="108" spans="1:12" s="23" customFormat="1" ht="34.799999999999997">
      <c r="A108" s="70"/>
      <c r="B108" s="70"/>
      <c r="C108" s="248" t="s">
        <v>338</v>
      </c>
      <c r="D108" s="51">
        <f t="shared" ref="D108" si="63">+E108+F108+G108+H108</f>
        <v>100325.90000000001</v>
      </c>
      <c r="E108" s="51"/>
      <c r="F108" s="51">
        <f>+'Հավելված N 8'!I259</f>
        <v>100325.90000000001</v>
      </c>
      <c r="G108" s="51"/>
      <c r="H108" s="51"/>
      <c r="I108" s="58"/>
      <c r="J108" s="58"/>
      <c r="K108" s="58"/>
      <c r="L108" s="341"/>
    </row>
    <row r="109" spans="1:12" s="21" customFormat="1" ht="54">
      <c r="A109" s="56">
        <v>1183</v>
      </c>
      <c r="B109" s="56">
        <v>32004</v>
      </c>
      <c r="C109" s="68" t="s">
        <v>320</v>
      </c>
      <c r="D109" s="112">
        <f>SUM(E109:H109)</f>
        <v>13202.9</v>
      </c>
      <c r="E109" s="112">
        <f>+E111</f>
        <v>0</v>
      </c>
      <c r="F109" s="112">
        <f t="shared" ref="F109:H109" si="64">+F111</f>
        <v>0</v>
      </c>
      <c r="G109" s="112">
        <f>+G111</f>
        <v>13202.9</v>
      </c>
      <c r="H109" s="112">
        <f t="shared" si="64"/>
        <v>0</v>
      </c>
      <c r="I109" s="113"/>
      <c r="J109" s="113"/>
      <c r="K109" s="113"/>
      <c r="L109" s="340"/>
    </row>
    <row r="110" spans="1:12" s="3" customFormat="1">
      <c r="A110" s="114"/>
      <c r="B110" s="114"/>
      <c r="C110" s="115" t="s">
        <v>6</v>
      </c>
      <c r="D110" s="106"/>
      <c r="E110" s="116"/>
      <c r="F110" s="116"/>
      <c r="G110" s="116"/>
      <c r="H110" s="116"/>
      <c r="I110" s="113"/>
      <c r="J110" s="113"/>
      <c r="K110" s="113"/>
      <c r="L110" s="340"/>
    </row>
    <row r="111" spans="1:12" s="110" customFormat="1" ht="16.95" customHeight="1">
      <c r="A111" s="117"/>
      <c r="B111" s="117"/>
      <c r="C111" s="107" t="s">
        <v>191</v>
      </c>
      <c r="D111" s="108">
        <f>SUM(E111:H111)</f>
        <v>13202.9</v>
      </c>
      <c r="E111" s="108">
        <f>+E112</f>
        <v>0</v>
      </c>
      <c r="F111" s="108">
        <f t="shared" ref="F111:H111" si="65">+F112</f>
        <v>0</v>
      </c>
      <c r="G111" s="108">
        <f t="shared" si="65"/>
        <v>13202.9</v>
      </c>
      <c r="H111" s="108">
        <f t="shared" si="65"/>
        <v>0</v>
      </c>
      <c r="I111" s="109"/>
      <c r="J111" s="109"/>
      <c r="K111" s="109"/>
      <c r="L111" s="342"/>
    </row>
    <row r="112" spans="1:12" s="23" customFormat="1" ht="17.399999999999999">
      <c r="A112" s="70"/>
      <c r="B112" s="70"/>
      <c r="C112" s="119" t="s">
        <v>321</v>
      </c>
      <c r="D112" s="51">
        <f t="shared" ref="D112" si="66">+E112+F112+G112+H112</f>
        <v>13202.9</v>
      </c>
      <c r="E112" s="51"/>
      <c r="F112" s="51"/>
      <c r="G112" s="51">
        <f>+'Հավելված N 8'!I157+'Հավելված N 8'!I158</f>
        <v>13202.9</v>
      </c>
      <c r="H112" s="51"/>
      <c r="I112" s="58"/>
      <c r="J112" s="58"/>
      <c r="K112" s="58"/>
      <c r="L112" s="341"/>
    </row>
    <row r="113" spans="1:12" s="21" customFormat="1" ht="54">
      <c r="A113" s="56">
        <v>1183</v>
      </c>
      <c r="B113" s="201">
        <v>32007</v>
      </c>
      <c r="C113" s="71" t="s">
        <v>408</v>
      </c>
      <c r="D113" s="112">
        <f>SUM(E113:H113)</f>
        <v>-153182.79999999999</v>
      </c>
      <c r="E113" s="112">
        <f>+E115</f>
        <v>-153182.79999999999</v>
      </c>
      <c r="F113" s="112">
        <f t="shared" ref="F113:H113" si="67">+F115</f>
        <v>0</v>
      </c>
      <c r="G113" s="112">
        <f t="shared" si="67"/>
        <v>0</v>
      </c>
      <c r="H113" s="112">
        <f t="shared" si="67"/>
        <v>0</v>
      </c>
      <c r="I113" s="113"/>
      <c r="J113" s="113"/>
      <c r="K113" s="113"/>
      <c r="L113" s="340"/>
    </row>
    <row r="114" spans="1:12" s="3" customFormat="1">
      <c r="A114" s="114"/>
      <c r="B114" s="114"/>
      <c r="C114" s="115" t="s">
        <v>6</v>
      </c>
      <c r="D114" s="106"/>
      <c r="E114" s="116"/>
      <c r="F114" s="116"/>
      <c r="G114" s="116"/>
      <c r="H114" s="116"/>
      <c r="I114" s="113"/>
      <c r="J114" s="113"/>
      <c r="K114" s="113"/>
      <c r="L114" s="340"/>
    </row>
    <row r="115" spans="1:12" s="214" customFormat="1" ht="54">
      <c r="A115" s="243"/>
      <c r="B115" s="243"/>
      <c r="C115" s="107" t="s">
        <v>408</v>
      </c>
      <c r="D115" s="209">
        <f>SUM(E115:H115)</f>
        <v>-153182.79999999999</v>
      </c>
      <c r="E115" s="209">
        <v>-153182.79999999999</v>
      </c>
      <c r="F115" s="209">
        <v>0</v>
      </c>
      <c r="G115" s="209">
        <v>0</v>
      </c>
      <c r="H115" s="209">
        <v>0</v>
      </c>
      <c r="I115" s="213"/>
      <c r="J115" s="213"/>
      <c r="K115" s="213"/>
      <c r="L115" s="343"/>
    </row>
    <row r="116" spans="1:12" s="21" customFormat="1" ht="54">
      <c r="A116" s="56">
        <v>1196</v>
      </c>
      <c r="B116" s="56">
        <v>12001</v>
      </c>
      <c r="C116" s="68" t="s">
        <v>274</v>
      </c>
      <c r="D116" s="112">
        <f>SUM(E116:H116)</f>
        <v>47495.9</v>
      </c>
      <c r="E116" s="112">
        <f>+E118</f>
        <v>0</v>
      </c>
      <c r="F116" s="112">
        <f t="shared" ref="F116:H116" si="68">+F118</f>
        <v>47495.9</v>
      </c>
      <c r="G116" s="112">
        <f t="shared" si="68"/>
        <v>0</v>
      </c>
      <c r="H116" s="112">
        <f t="shared" si="68"/>
        <v>0</v>
      </c>
      <c r="I116" s="113"/>
      <c r="J116" s="113"/>
      <c r="K116" s="113"/>
      <c r="L116" s="340"/>
    </row>
    <row r="117" spans="1:12" s="3" customFormat="1">
      <c r="A117" s="114"/>
      <c r="B117" s="114"/>
      <c r="C117" s="115" t="s">
        <v>6</v>
      </c>
      <c r="D117" s="106"/>
      <c r="E117" s="116"/>
      <c r="F117" s="116"/>
      <c r="G117" s="116"/>
      <c r="H117" s="116"/>
      <c r="I117" s="113"/>
      <c r="J117" s="113"/>
      <c r="K117" s="113"/>
      <c r="L117" s="340"/>
    </row>
    <row r="118" spans="1:12" s="110" customFormat="1" ht="16.95" customHeight="1">
      <c r="A118" s="117"/>
      <c r="B118" s="117"/>
      <c r="C118" s="107" t="s">
        <v>191</v>
      </c>
      <c r="D118" s="108">
        <f>SUM(E118:H118)</f>
        <v>47495.9</v>
      </c>
      <c r="E118" s="108">
        <f>+E119</f>
        <v>0</v>
      </c>
      <c r="F118" s="108">
        <f t="shared" ref="F118:H118" si="69">+F119</f>
        <v>47495.9</v>
      </c>
      <c r="G118" s="108">
        <f t="shared" si="69"/>
        <v>0</v>
      </c>
      <c r="H118" s="108">
        <f t="shared" si="69"/>
        <v>0</v>
      </c>
      <c r="I118" s="109"/>
      <c r="J118" s="109"/>
      <c r="K118" s="109"/>
      <c r="L118" s="342"/>
    </row>
    <row r="119" spans="1:12" s="23" customFormat="1" ht="34.799999999999997">
      <c r="A119" s="70"/>
      <c r="B119" s="70"/>
      <c r="C119" s="119" t="s">
        <v>275</v>
      </c>
      <c r="D119" s="51">
        <f t="shared" ref="D119" si="70">+E119+F119+G119+H119</f>
        <v>47495.9</v>
      </c>
      <c r="E119" s="51"/>
      <c r="F119" s="51">
        <f>+'Հավելված N 8'!I28+'Հավելված N 8'!I30+'Հավելված N 8'!I31</f>
        <v>47495.9</v>
      </c>
      <c r="G119" s="51"/>
      <c r="H119" s="51"/>
      <c r="I119" s="58"/>
      <c r="J119" s="58"/>
      <c r="K119" s="58"/>
      <c r="L119" s="341"/>
    </row>
    <row r="120" spans="1:12" s="21" customFormat="1">
      <c r="A120" s="56">
        <v>1236</v>
      </c>
      <c r="B120" s="56">
        <v>32001</v>
      </c>
      <c r="C120" s="68" t="s">
        <v>169</v>
      </c>
      <c r="D120" s="112">
        <f>SUM(E120:H120)</f>
        <v>-168168.4</v>
      </c>
      <c r="E120" s="112">
        <f>+E122+E124+E128</f>
        <v>-168168.4</v>
      </c>
      <c r="F120" s="112">
        <f t="shared" ref="F120:H120" si="71">+F122+F124+F128</f>
        <v>0</v>
      </c>
      <c r="G120" s="112">
        <f t="shared" si="71"/>
        <v>0</v>
      </c>
      <c r="H120" s="112">
        <f t="shared" si="71"/>
        <v>0</v>
      </c>
      <c r="I120" s="113"/>
      <c r="J120" s="113"/>
      <c r="K120" s="113"/>
      <c r="L120" s="340"/>
    </row>
    <row r="121" spans="1:12" s="3" customFormat="1">
      <c r="A121" s="114"/>
      <c r="B121" s="114"/>
      <c r="C121" s="115" t="s">
        <v>6</v>
      </c>
      <c r="D121" s="106"/>
      <c r="E121" s="116"/>
      <c r="F121" s="116"/>
      <c r="G121" s="116"/>
      <c r="H121" s="116"/>
      <c r="I121" s="113"/>
      <c r="J121" s="113"/>
      <c r="K121" s="113"/>
      <c r="L121" s="340"/>
    </row>
    <row r="122" spans="1:12" s="110" customFormat="1" ht="16.95" customHeight="1">
      <c r="A122" s="106"/>
      <c r="B122" s="106"/>
      <c r="C122" s="107" t="s">
        <v>48</v>
      </c>
      <c r="D122" s="108">
        <f>SUM(E122:H122)</f>
        <v>29138</v>
      </c>
      <c r="E122" s="108">
        <f>+E123</f>
        <v>29138</v>
      </c>
      <c r="F122" s="108">
        <f t="shared" ref="F122:H122" si="72">+F123</f>
        <v>0</v>
      </c>
      <c r="G122" s="108">
        <f t="shared" si="72"/>
        <v>0</v>
      </c>
      <c r="H122" s="108">
        <f t="shared" si="72"/>
        <v>0</v>
      </c>
      <c r="I122" s="109"/>
      <c r="J122" s="109"/>
      <c r="K122" s="109"/>
      <c r="L122" s="342"/>
    </row>
    <row r="123" spans="1:12" s="23" customFormat="1" ht="34.799999999999997">
      <c r="A123" s="114"/>
      <c r="B123" s="114"/>
      <c r="C123" s="251" t="s">
        <v>449</v>
      </c>
      <c r="D123" s="51">
        <f t="shared" ref="D123" si="73">+E123+F123+G123+H123</f>
        <v>29138</v>
      </c>
      <c r="E123" s="51">
        <f>+'Հավելված N 8'!I79</f>
        <v>29138</v>
      </c>
      <c r="F123" s="51"/>
      <c r="G123" s="51"/>
      <c r="H123" s="51"/>
      <c r="I123" s="58"/>
      <c r="J123" s="58"/>
      <c r="K123" s="58"/>
      <c r="L123" s="341"/>
    </row>
    <row r="124" spans="1:12" s="110" customFormat="1" ht="16.95" customHeight="1">
      <c r="A124" s="117"/>
      <c r="B124" s="117"/>
      <c r="C124" s="107" t="s">
        <v>63</v>
      </c>
      <c r="D124" s="108">
        <f>SUM(E124:H124)</f>
        <v>186252.6</v>
      </c>
      <c r="E124" s="108">
        <f>SUM(E125:E127)</f>
        <v>186252.6</v>
      </c>
      <c r="F124" s="108">
        <f t="shared" ref="F124:H124" si="74">SUM(F125:F127)</f>
        <v>0</v>
      </c>
      <c r="G124" s="108">
        <f t="shared" si="74"/>
        <v>0</v>
      </c>
      <c r="H124" s="108">
        <f t="shared" si="74"/>
        <v>0</v>
      </c>
      <c r="I124" s="109"/>
      <c r="J124" s="109"/>
      <c r="K124" s="109"/>
      <c r="L124" s="342"/>
    </row>
    <row r="125" spans="1:12" s="23" customFormat="1" ht="52.2">
      <c r="A125" s="401"/>
      <c r="B125" s="401"/>
      <c r="C125" s="119" t="s">
        <v>409</v>
      </c>
      <c r="D125" s="51">
        <f t="shared" ref="D125" si="75">+E125+F125+G125+H125</f>
        <v>-73591.8</v>
      </c>
      <c r="E125" s="51">
        <f>+'Հավելված N 8'!I173+'Հավելված N 8'!I179+'Հավելված N 8'!I184</f>
        <v>-73591.8</v>
      </c>
      <c r="F125" s="51"/>
      <c r="G125" s="51"/>
      <c r="H125" s="51"/>
      <c r="I125" s="58"/>
      <c r="J125" s="58"/>
      <c r="K125" s="58"/>
      <c r="L125" s="341"/>
    </row>
    <row r="126" spans="1:12" s="371" customFormat="1" ht="52.2">
      <c r="A126" s="402"/>
      <c r="B126" s="402"/>
      <c r="C126" s="251" t="s">
        <v>728</v>
      </c>
      <c r="D126" s="51">
        <f t="shared" ref="D126" si="76">+E126+F126+G126+H126</f>
        <v>407176.6</v>
      </c>
      <c r="E126" s="51">
        <f>+'Հավելված N 8'!I174+'Հավելված N 8'!I180+'Հավելված N 8'!I185</f>
        <v>407176.6</v>
      </c>
      <c r="F126" s="369"/>
      <c r="G126" s="369"/>
      <c r="H126" s="369"/>
      <c r="I126" s="370"/>
      <c r="J126" s="370"/>
      <c r="K126" s="370"/>
      <c r="L126" s="341"/>
    </row>
    <row r="127" spans="1:12" s="23" customFormat="1" ht="52.2">
      <c r="A127" s="403"/>
      <c r="B127" s="403"/>
      <c r="C127" s="119" t="s">
        <v>410</v>
      </c>
      <c r="D127" s="51">
        <f t="shared" ref="D127" si="77">+E127+F127+G127+H127</f>
        <v>-147332.19999999998</v>
      </c>
      <c r="E127" s="51">
        <f>+'Հավելված N 8'!I175+'Հավելված N 8'!I181+'Հավելված N 8'!I186</f>
        <v>-147332.19999999998</v>
      </c>
      <c r="F127" s="51"/>
      <c r="G127" s="51"/>
      <c r="H127" s="51"/>
      <c r="I127" s="58"/>
      <c r="J127" s="58"/>
      <c r="K127" s="58"/>
      <c r="L127" s="341"/>
    </row>
    <row r="128" spans="1:12" s="110" customFormat="1" ht="16.95" customHeight="1">
      <c r="A128" s="117"/>
      <c r="B128" s="117"/>
      <c r="C128" s="107" t="s">
        <v>191</v>
      </c>
      <c r="D128" s="108">
        <f>SUM(E128:H128)</f>
        <v>-383559</v>
      </c>
      <c r="E128" s="108">
        <f>SUM(E129:E130)</f>
        <v>-383559</v>
      </c>
      <c r="F128" s="108">
        <f t="shared" ref="F128" si="78">SUM(F129:F130)</f>
        <v>0</v>
      </c>
      <c r="G128" s="108">
        <f t="shared" ref="G128" si="79">SUM(G129:G130)</f>
        <v>0</v>
      </c>
      <c r="H128" s="108">
        <f t="shared" ref="H128" si="80">SUM(H129:H130)</f>
        <v>0</v>
      </c>
      <c r="I128" s="109"/>
      <c r="J128" s="109"/>
      <c r="K128" s="109"/>
      <c r="L128" s="342"/>
    </row>
    <row r="129" spans="1:12" s="23" customFormat="1" ht="52.2">
      <c r="A129" s="401"/>
      <c r="B129" s="401"/>
      <c r="C129" s="119" t="s">
        <v>411</v>
      </c>
      <c r="D129" s="51">
        <f t="shared" ref="D129:D130" si="81">+E129+F129+G129+H129</f>
        <v>-190425.3</v>
      </c>
      <c r="E129" s="51">
        <f>+'Հավելված N 8'!I176+'Հավելված N 8'!I182+'Հավելված N 8'!I187</f>
        <v>-190425.3</v>
      </c>
      <c r="F129" s="51"/>
      <c r="G129" s="51"/>
      <c r="H129" s="51"/>
      <c r="I129" s="58"/>
      <c r="J129" s="58"/>
      <c r="K129" s="58"/>
      <c r="L129" s="341"/>
    </row>
    <row r="130" spans="1:12" s="23" customFormat="1" ht="52.2">
      <c r="A130" s="403"/>
      <c r="B130" s="403"/>
      <c r="C130" s="119" t="s">
        <v>412</v>
      </c>
      <c r="D130" s="51">
        <f t="shared" si="81"/>
        <v>-193133.7</v>
      </c>
      <c r="E130" s="51">
        <f>+'Հավելված N 8'!I177+'Հավելված N 8'!I183+'Հավելված N 8'!I188</f>
        <v>-193133.7</v>
      </c>
      <c r="F130" s="51"/>
      <c r="G130" s="51"/>
      <c r="H130" s="51"/>
      <c r="I130" s="58"/>
      <c r="J130" s="58"/>
      <c r="K130" s="58"/>
      <c r="L130" s="341"/>
    </row>
    <row r="131" spans="1:12" s="21" customFormat="1" ht="36">
      <c r="A131" s="56">
        <v>1236</v>
      </c>
      <c r="B131" s="201">
        <v>32003</v>
      </c>
      <c r="C131" s="68" t="s">
        <v>187</v>
      </c>
      <c r="D131" s="112">
        <f>SUM(E131:H131)</f>
        <v>6579931.6129999999</v>
      </c>
      <c r="E131" s="112">
        <f>+E133+E134+E136+E138+E140+E143+E147+E152+E156+E158</f>
        <v>6567231.6129999999</v>
      </c>
      <c r="F131" s="112">
        <f>+F133+F134+F136+F138+F140+F143+F147+F152+F156+F158</f>
        <v>0</v>
      </c>
      <c r="G131" s="112">
        <f>+G133+G134+G136+G138+G140+G143+G147+G152+G156+G158</f>
        <v>12700</v>
      </c>
      <c r="H131" s="112">
        <f>+H133+H134+H136+H138+H140+H143+H147+H152+H156+H158</f>
        <v>0</v>
      </c>
      <c r="I131" s="113"/>
      <c r="J131" s="113"/>
      <c r="K131" s="113"/>
      <c r="L131" s="340"/>
    </row>
    <row r="132" spans="1:12" s="3" customFormat="1">
      <c r="A132" s="114"/>
      <c r="B132" s="114"/>
      <c r="C132" s="115" t="s">
        <v>6</v>
      </c>
      <c r="D132" s="106"/>
      <c r="E132" s="116"/>
      <c r="F132" s="116"/>
      <c r="G132" s="116"/>
      <c r="H132" s="116"/>
      <c r="I132" s="113"/>
      <c r="J132" s="113"/>
      <c r="K132" s="113"/>
      <c r="L132" s="340"/>
    </row>
    <row r="133" spans="1:12" s="214" customFormat="1" ht="36">
      <c r="A133" s="212"/>
      <c r="B133" s="212"/>
      <c r="C133" s="107" t="s">
        <v>187</v>
      </c>
      <c r="D133" s="209">
        <f>SUM(E133:H133)</f>
        <v>9000000</v>
      </c>
      <c r="E133" s="209">
        <f>7500000+1500000</f>
        <v>9000000</v>
      </c>
      <c r="F133" s="209">
        <v>0</v>
      </c>
      <c r="G133" s="209">
        <v>0</v>
      </c>
      <c r="H133" s="209">
        <v>0</v>
      </c>
      <c r="I133" s="213"/>
      <c r="J133" s="213"/>
      <c r="K133" s="213"/>
      <c r="L133" s="343"/>
    </row>
    <row r="134" spans="1:12" s="110" customFormat="1" ht="16.95" customHeight="1">
      <c r="A134" s="106"/>
      <c r="B134" s="106"/>
      <c r="C134" s="107" t="s">
        <v>49</v>
      </c>
      <c r="D134" s="108">
        <f>SUM(E134:H134)</f>
        <v>11100</v>
      </c>
      <c r="E134" s="108">
        <f>+E135</f>
        <v>0</v>
      </c>
      <c r="F134" s="108">
        <f>+F135</f>
        <v>0</v>
      </c>
      <c r="G134" s="108">
        <f>+G135</f>
        <v>11100</v>
      </c>
      <c r="H134" s="108">
        <f>+H135</f>
        <v>0</v>
      </c>
      <c r="I134" s="109"/>
      <c r="J134" s="109"/>
      <c r="K134" s="109"/>
      <c r="L134" s="342"/>
    </row>
    <row r="135" spans="1:12" s="23" customFormat="1" ht="17.399999999999999">
      <c r="A135" s="202"/>
      <c r="B135" s="202"/>
      <c r="C135" s="195" t="s">
        <v>433</v>
      </c>
      <c r="D135" s="51">
        <f t="shared" ref="D135" si="82">+E135+F135+G135+H135</f>
        <v>11100</v>
      </c>
      <c r="E135" s="51"/>
      <c r="F135" s="51"/>
      <c r="G135" s="51">
        <f>+'Հավելված N 8'!I201</f>
        <v>11100</v>
      </c>
      <c r="H135" s="51"/>
      <c r="I135" s="58"/>
      <c r="J135" s="58"/>
      <c r="K135" s="58"/>
      <c r="L135" s="341"/>
    </row>
    <row r="136" spans="1:12" s="110" customFormat="1" ht="16.95" customHeight="1">
      <c r="A136" s="106"/>
      <c r="B136" s="106"/>
      <c r="C136" s="107" t="s">
        <v>181</v>
      </c>
      <c r="D136" s="108">
        <f>SUM(E136:H136)</f>
        <v>1600</v>
      </c>
      <c r="E136" s="108">
        <f>+E137</f>
        <v>0</v>
      </c>
      <c r="F136" s="108">
        <f t="shared" ref="F136:H136" si="83">+F137</f>
        <v>0</v>
      </c>
      <c r="G136" s="108">
        <f t="shared" si="83"/>
        <v>1600</v>
      </c>
      <c r="H136" s="108">
        <f t="shared" si="83"/>
        <v>0</v>
      </c>
      <c r="I136" s="109"/>
      <c r="J136" s="109"/>
      <c r="K136" s="109"/>
      <c r="L136" s="342"/>
    </row>
    <row r="137" spans="1:12" s="23" customFormat="1" ht="17.399999999999999">
      <c r="A137" s="202"/>
      <c r="B137" s="202"/>
      <c r="C137" s="195" t="s">
        <v>326</v>
      </c>
      <c r="D137" s="51">
        <f t="shared" ref="D137" si="84">+E137+F137+G137+H137</f>
        <v>1600</v>
      </c>
      <c r="E137" s="51"/>
      <c r="F137" s="51"/>
      <c r="G137" s="51">
        <f>+'Հավելված N 8'!I98</f>
        <v>1600</v>
      </c>
      <c r="H137" s="51"/>
      <c r="I137" s="58"/>
      <c r="J137" s="58"/>
      <c r="K137" s="58"/>
      <c r="L137" s="341"/>
    </row>
    <row r="138" spans="1:12" s="110" customFormat="1" ht="16.95" customHeight="1">
      <c r="A138" s="106"/>
      <c r="B138" s="106"/>
      <c r="C138" s="107" t="s">
        <v>72</v>
      </c>
      <c r="D138" s="108">
        <f>SUM(E138:H138)</f>
        <v>-11962.7</v>
      </c>
      <c r="E138" s="108">
        <f>+E139</f>
        <v>-11962.7</v>
      </c>
      <c r="F138" s="108">
        <f t="shared" ref="F138:H138" si="85">+F139</f>
        <v>0</v>
      </c>
      <c r="G138" s="108">
        <f t="shared" si="85"/>
        <v>0</v>
      </c>
      <c r="H138" s="108">
        <f t="shared" si="85"/>
        <v>0</v>
      </c>
      <c r="I138" s="109"/>
      <c r="J138" s="109"/>
      <c r="K138" s="109"/>
      <c r="L138" s="342"/>
    </row>
    <row r="139" spans="1:12" s="23" customFormat="1" ht="17.399999999999999">
      <c r="A139" s="202"/>
      <c r="B139" s="202"/>
      <c r="C139" s="195" t="s">
        <v>638</v>
      </c>
      <c r="D139" s="51">
        <f t="shared" ref="D139" si="86">+E139+F139+G139+H139</f>
        <v>-11962.7</v>
      </c>
      <c r="E139" s="51">
        <f>+'Հավելված N 8'!I83</f>
        <v>-11962.7</v>
      </c>
      <c r="F139" s="51"/>
      <c r="G139" s="51"/>
      <c r="H139" s="51"/>
      <c r="I139" s="58"/>
      <c r="J139" s="58"/>
      <c r="K139" s="58"/>
      <c r="L139" s="341"/>
    </row>
    <row r="140" spans="1:12" s="110" customFormat="1" ht="16.95" customHeight="1">
      <c r="A140" s="106"/>
      <c r="B140" s="106"/>
      <c r="C140" s="107" t="s">
        <v>63</v>
      </c>
      <c r="D140" s="108">
        <f>SUM(E140:H140)</f>
        <v>-119080.8</v>
      </c>
      <c r="E140" s="108">
        <f>SUM(E141:E142)</f>
        <v>-119080.8</v>
      </c>
      <c r="F140" s="108">
        <f t="shared" ref="F140:H140" si="87">SUM(F141:F142)</f>
        <v>0</v>
      </c>
      <c r="G140" s="108">
        <f t="shared" si="87"/>
        <v>0</v>
      </c>
      <c r="H140" s="108">
        <f t="shared" si="87"/>
        <v>0</v>
      </c>
      <c r="I140" s="109"/>
      <c r="J140" s="109"/>
      <c r="K140" s="109"/>
      <c r="L140" s="342"/>
    </row>
    <row r="141" spans="1:12" s="23" customFormat="1" ht="34.799999999999997">
      <c r="A141" s="445"/>
      <c r="B141" s="445"/>
      <c r="C141" s="195" t="s">
        <v>643</v>
      </c>
      <c r="D141" s="51">
        <f t="shared" ref="D141" si="88">+E141+F141+G141+H141</f>
        <v>-53440.800000000003</v>
      </c>
      <c r="E141" s="51">
        <f>+'Հավելված N 8'!I84</f>
        <v>-53440.800000000003</v>
      </c>
      <c r="F141" s="51"/>
      <c r="G141" s="51"/>
      <c r="H141" s="51"/>
      <c r="I141" s="58"/>
      <c r="J141" s="58"/>
      <c r="K141" s="58"/>
      <c r="L141" s="341"/>
    </row>
    <row r="142" spans="1:12" s="23" customFormat="1" ht="17.399999999999999">
      <c r="A142" s="447"/>
      <c r="B142" s="447"/>
      <c r="C142" s="195" t="s">
        <v>722</v>
      </c>
      <c r="D142" s="51">
        <f t="shared" ref="D142" si="89">+E142+F142+G142+H142</f>
        <v>-65640</v>
      </c>
      <c r="E142" s="51">
        <f>+'Հավելված N 8'!I85</f>
        <v>-65640</v>
      </c>
      <c r="F142" s="51"/>
      <c r="G142" s="51"/>
      <c r="H142" s="51"/>
      <c r="I142" s="58"/>
      <c r="J142" s="58"/>
      <c r="K142" s="58"/>
      <c r="L142" s="341"/>
    </row>
    <row r="143" spans="1:12" s="110" customFormat="1" ht="16.95" customHeight="1">
      <c r="A143" s="106"/>
      <c r="B143" s="106"/>
      <c r="C143" s="107" t="s">
        <v>62</v>
      </c>
      <c r="D143" s="108">
        <f>SUM(E143:H143)</f>
        <v>-405091.7</v>
      </c>
      <c r="E143" s="108">
        <f>SUM(E144:E146)</f>
        <v>-405091.7</v>
      </c>
      <c r="F143" s="108">
        <f>SUM(F144:F146)</f>
        <v>0</v>
      </c>
      <c r="G143" s="108">
        <f>SUM(G144:G146)</f>
        <v>0</v>
      </c>
      <c r="H143" s="108">
        <f>SUM(H144:H146)</f>
        <v>0</v>
      </c>
      <c r="I143" s="109"/>
      <c r="J143" s="109"/>
      <c r="K143" s="109"/>
      <c r="L143" s="342"/>
    </row>
    <row r="144" spans="1:12" s="23" customFormat="1" ht="17.399999999999999">
      <c r="A144" s="446"/>
      <c r="B144" s="446"/>
      <c r="C144" s="195" t="s">
        <v>639</v>
      </c>
      <c r="D144" s="51">
        <f t="shared" ref="D144:D145" si="90">+E144+F144+G144+H144</f>
        <v>-27000</v>
      </c>
      <c r="E144" s="51">
        <f>+'Հավելված N 8'!I86</f>
        <v>-27000</v>
      </c>
      <c r="F144" s="51"/>
      <c r="G144" s="51"/>
      <c r="H144" s="51"/>
      <c r="I144" s="58"/>
      <c r="J144" s="58"/>
      <c r="K144" s="58"/>
      <c r="L144" s="341"/>
    </row>
    <row r="145" spans="1:12" s="23" customFormat="1" ht="17.399999999999999">
      <c r="A145" s="446"/>
      <c r="B145" s="446"/>
      <c r="C145" s="195" t="s">
        <v>640</v>
      </c>
      <c r="D145" s="51">
        <f t="shared" si="90"/>
        <v>-260000</v>
      </c>
      <c r="E145" s="51">
        <f>+'Հավելված N 8'!I87</f>
        <v>-260000</v>
      </c>
      <c r="F145" s="51"/>
      <c r="G145" s="51"/>
      <c r="H145" s="51"/>
      <c r="I145" s="58"/>
      <c r="J145" s="58"/>
      <c r="K145" s="58"/>
      <c r="L145" s="341"/>
    </row>
    <row r="146" spans="1:12" s="23" customFormat="1" ht="34.799999999999997">
      <c r="A146" s="447"/>
      <c r="B146" s="447"/>
      <c r="C146" s="195" t="s">
        <v>189</v>
      </c>
      <c r="D146" s="51">
        <f t="shared" ref="D146" si="91">+E146+F146+G146+H146</f>
        <v>-118091.7</v>
      </c>
      <c r="E146" s="51">
        <f>+'Հավելված N 8'!I192+'Հավելված N 8'!I196+'Հավելված N 8'!I200</f>
        <v>-118091.7</v>
      </c>
      <c r="F146" s="51"/>
      <c r="G146" s="51"/>
      <c r="H146" s="51"/>
      <c r="I146" s="58"/>
      <c r="J146" s="58"/>
      <c r="K146" s="58"/>
      <c r="L146" s="341"/>
    </row>
    <row r="147" spans="1:12" s="110" customFormat="1" ht="16.95" customHeight="1">
      <c r="A147" s="106"/>
      <c r="B147" s="106"/>
      <c r="C147" s="107" t="s">
        <v>191</v>
      </c>
      <c r="D147" s="108">
        <f>SUM(E147:H147)</f>
        <v>-374428.4</v>
      </c>
      <c r="E147" s="108">
        <f>SUM(E148:E151)</f>
        <v>-374428.4</v>
      </c>
      <c r="F147" s="108">
        <f t="shared" ref="F147:H147" si="92">SUM(F148:F151)</f>
        <v>0</v>
      </c>
      <c r="G147" s="108">
        <f t="shared" si="92"/>
        <v>0</v>
      </c>
      <c r="H147" s="108">
        <f t="shared" si="92"/>
        <v>0</v>
      </c>
      <c r="I147" s="109"/>
      <c r="J147" s="109"/>
      <c r="K147" s="109"/>
      <c r="L147" s="342"/>
    </row>
    <row r="148" spans="1:12" s="23" customFormat="1" ht="17.399999999999999">
      <c r="A148" s="445"/>
      <c r="B148" s="445"/>
      <c r="C148" s="195" t="s">
        <v>645</v>
      </c>
      <c r="D148" s="51">
        <f t="shared" ref="D148:D150" si="93">+E148+F148+G148+H148</f>
        <v>-55147.6</v>
      </c>
      <c r="E148" s="51">
        <f>+'Հավելված N 8'!I88</f>
        <v>-55147.6</v>
      </c>
      <c r="F148" s="51"/>
      <c r="G148" s="51"/>
      <c r="H148" s="51"/>
      <c r="I148" s="58"/>
      <c r="J148" s="58"/>
      <c r="K148" s="58"/>
      <c r="L148" s="341"/>
    </row>
    <row r="149" spans="1:12" s="23" customFormat="1" ht="17.399999999999999">
      <c r="A149" s="446"/>
      <c r="B149" s="446"/>
      <c r="C149" s="195" t="s">
        <v>646</v>
      </c>
      <c r="D149" s="51">
        <f t="shared" si="93"/>
        <v>-90564.6</v>
      </c>
      <c r="E149" s="51">
        <f>+'Հավելված N 8'!I89</f>
        <v>-90564.6</v>
      </c>
      <c r="F149" s="51"/>
      <c r="G149" s="51"/>
      <c r="H149" s="51"/>
      <c r="I149" s="58"/>
      <c r="J149" s="58"/>
      <c r="K149" s="58"/>
      <c r="L149" s="341"/>
    </row>
    <row r="150" spans="1:12" s="23" customFormat="1" ht="17.399999999999999">
      <c r="A150" s="446"/>
      <c r="B150" s="446"/>
      <c r="C150" s="195" t="s">
        <v>647</v>
      </c>
      <c r="D150" s="51">
        <f t="shared" si="93"/>
        <v>-26739</v>
      </c>
      <c r="E150" s="51">
        <f>+'Հավելված N 8'!I90</f>
        <v>-26739</v>
      </c>
      <c r="F150" s="51"/>
      <c r="G150" s="51"/>
      <c r="H150" s="51"/>
      <c r="I150" s="58"/>
      <c r="J150" s="58"/>
      <c r="K150" s="58"/>
      <c r="L150" s="341"/>
    </row>
    <row r="151" spans="1:12" s="23" customFormat="1" ht="17.399999999999999">
      <c r="A151" s="447"/>
      <c r="B151" s="447"/>
      <c r="C151" s="195" t="s">
        <v>427</v>
      </c>
      <c r="D151" s="51">
        <f t="shared" ref="D151" si="94">+E151+F151+G151+H151</f>
        <v>-201977.2</v>
      </c>
      <c r="E151" s="51">
        <f>+'Հավելված N 8'!I193+'Հավելված N 8'!I198-1383.2</f>
        <v>-201977.2</v>
      </c>
      <c r="F151" s="51"/>
      <c r="G151" s="51"/>
      <c r="H151" s="51"/>
      <c r="I151" s="58"/>
      <c r="J151" s="58"/>
      <c r="K151" s="58"/>
      <c r="L151" s="341"/>
    </row>
    <row r="152" spans="1:12" s="110" customFormat="1" ht="16.95" customHeight="1">
      <c r="A152" s="106"/>
      <c r="B152" s="106"/>
      <c r="C152" s="107" t="s">
        <v>193</v>
      </c>
      <c r="D152" s="108">
        <f>SUM(E152:H152)</f>
        <v>-896571.4</v>
      </c>
      <c r="E152" s="108">
        <f>SUM(E153:E155)</f>
        <v>-896571.4</v>
      </c>
      <c r="F152" s="108">
        <f t="shared" ref="F152:H152" si="95">SUM(F153:F155)</f>
        <v>0</v>
      </c>
      <c r="G152" s="108">
        <f t="shared" si="95"/>
        <v>0</v>
      </c>
      <c r="H152" s="108">
        <f t="shared" si="95"/>
        <v>0</v>
      </c>
      <c r="I152" s="109"/>
      <c r="J152" s="109"/>
      <c r="K152" s="109"/>
      <c r="L152" s="342"/>
    </row>
    <row r="153" spans="1:12" s="23" customFormat="1" ht="34.799999999999997">
      <c r="A153" s="445"/>
      <c r="B153" s="445"/>
      <c r="C153" s="248" t="s">
        <v>651</v>
      </c>
      <c r="D153" s="51">
        <f t="shared" ref="D153" si="96">+E153+F153+G153+H153</f>
        <v>-425600</v>
      </c>
      <c r="E153" s="51">
        <f>+'Հավելված N 8'!I91</f>
        <v>-425600</v>
      </c>
      <c r="F153" s="51"/>
      <c r="G153" s="51"/>
      <c r="H153" s="51"/>
      <c r="I153" s="58"/>
      <c r="J153" s="58"/>
      <c r="K153" s="58"/>
      <c r="L153" s="341"/>
    </row>
    <row r="154" spans="1:12" s="23" customFormat="1" ht="17.399999999999999">
      <c r="A154" s="446"/>
      <c r="B154" s="446"/>
      <c r="C154" s="248" t="s">
        <v>652</v>
      </c>
      <c r="D154" s="51">
        <f t="shared" ref="D154" si="97">+E154+F154+G154+H154</f>
        <v>-250000</v>
      </c>
      <c r="E154" s="51">
        <f>+'Հավելված N 8'!I92</f>
        <v>-250000</v>
      </c>
      <c r="F154" s="51"/>
      <c r="G154" s="51"/>
      <c r="H154" s="51"/>
      <c r="I154" s="58"/>
      <c r="J154" s="58"/>
      <c r="K154" s="58"/>
      <c r="L154" s="341"/>
    </row>
    <row r="155" spans="1:12" s="23" customFormat="1" ht="17.399999999999999">
      <c r="A155" s="447"/>
      <c r="B155" s="447"/>
      <c r="C155" s="195" t="s">
        <v>656</v>
      </c>
      <c r="D155" s="51">
        <f t="shared" ref="D155" si="98">+E155+F155+G155+H155</f>
        <v>-220971.40000000002</v>
      </c>
      <c r="E155" s="51">
        <f>+'Հավելված N 8'!I93</f>
        <v>-220971.40000000002</v>
      </c>
      <c r="F155" s="51"/>
      <c r="G155" s="51"/>
      <c r="H155" s="51"/>
      <c r="I155" s="58"/>
      <c r="J155" s="58"/>
      <c r="K155" s="58"/>
      <c r="L155" s="341"/>
    </row>
    <row r="156" spans="1:12" s="110" customFormat="1" ht="16.95" customHeight="1">
      <c r="A156" s="106"/>
      <c r="B156" s="106"/>
      <c r="C156" s="107" t="s">
        <v>196</v>
      </c>
      <c r="D156" s="108">
        <f>SUM(E156:H156)</f>
        <v>-248863.48699999999</v>
      </c>
      <c r="E156" s="108">
        <f>+E157</f>
        <v>-248863.48699999999</v>
      </c>
      <c r="F156" s="108">
        <f t="shared" ref="F156:H156" si="99">+F157</f>
        <v>0</v>
      </c>
      <c r="G156" s="108">
        <f t="shared" si="99"/>
        <v>0</v>
      </c>
      <c r="H156" s="108">
        <f t="shared" si="99"/>
        <v>0</v>
      </c>
      <c r="I156" s="109"/>
      <c r="J156" s="109"/>
      <c r="K156" s="109"/>
      <c r="L156" s="342"/>
    </row>
    <row r="157" spans="1:12" s="23" customFormat="1" ht="17.399999999999999">
      <c r="A157" s="202"/>
      <c r="B157" s="202"/>
      <c r="C157" s="195" t="s">
        <v>657</v>
      </c>
      <c r="D157" s="51">
        <f t="shared" ref="D157" si="100">+E157+F157+G157+H157</f>
        <v>-248863.48699999999</v>
      </c>
      <c r="E157" s="51">
        <f>+'Հավելված N 8'!I94</f>
        <v>-248863.48699999999</v>
      </c>
      <c r="F157" s="51"/>
      <c r="G157" s="51"/>
      <c r="H157" s="51"/>
      <c r="I157" s="58"/>
      <c r="J157" s="58"/>
      <c r="K157" s="58"/>
      <c r="L157" s="341"/>
    </row>
    <row r="158" spans="1:12" s="110" customFormat="1" ht="16.95" customHeight="1">
      <c r="A158" s="106"/>
      <c r="B158" s="106"/>
      <c r="C158" s="107" t="s">
        <v>188</v>
      </c>
      <c r="D158" s="108">
        <f>SUM(E158:H158)</f>
        <v>-376769.89999999997</v>
      </c>
      <c r="E158" s="108">
        <f>SUM(E159:E161)</f>
        <v>-376769.89999999997</v>
      </c>
      <c r="F158" s="108">
        <f t="shared" ref="F158:H158" si="101">SUM(F159:F161)</f>
        <v>0</v>
      </c>
      <c r="G158" s="108">
        <f t="shared" si="101"/>
        <v>0</v>
      </c>
      <c r="H158" s="108">
        <f t="shared" si="101"/>
        <v>0</v>
      </c>
      <c r="I158" s="109"/>
      <c r="J158" s="109"/>
      <c r="K158" s="109"/>
      <c r="L158" s="342"/>
    </row>
    <row r="159" spans="1:12" s="23" customFormat="1" ht="34.799999999999997">
      <c r="A159" s="445"/>
      <c r="B159" s="445"/>
      <c r="C159" s="195" t="s">
        <v>659</v>
      </c>
      <c r="D159" s="51">
        <f t="shared" ref="D159:D160" si="102">+E159+F159+G159+H159</f>
        <v>-158663.4</v>
      </c>
      <c r="E159" s="51">
        <f>+'Հավելված N 8'!I95</f>
        <v>-158663.4</v>
      </c>
      <c r="F159" s="51"/>
      <c r="G159" s="51"/>
      <c r="H159" s="51"/>
      <c r="I159" s="58"/>
      <c r="J159" s="58"/>
      <c r="K159" s="58"/>
      <c r="L159" s="341"/>
    </row>
    <row r="160" spans="1:12" s="23" customFormat="1" ht="17.399999999999999">
      <c r="A160" s="446"/>
      <c r="B160" s="446"/>
      <c r="C160" s="195" t="s">
        <v>660</v>
      </c>
      <c r="D160" s="51">
        <f t="shared" si="102"/>
        <v>-45072.7</v>
      </c>
      <c r="E160" s="51">
        <f>+'Հավելված N 8'!I96</f>
        <v>-45072.7</v>
      </c>
      <c r="F160" s="51"/>
      <c r="G160" s="51"/>
      <c r="H160" s="51"/>
      <c r="I160" s="58"/>
      <c r="J160" s="58"/>
      <c r="K160" s="58"/>
      <c r="L160" s="341"/>
    </row>
    <row r="161" spans="1:12" s="23" customFormat="1" ht="17.399999999999999">
      <c r="A161" s="447"/>
      <c r="B161" s="447"/>
      <c r="C161" s="248" t="s">
        <v>431</v>
      </c>
      <c r="D161" s="51">
        <f t="shared" ref="D161" si="103">+E161+F161+G161+H161</f>
        <v>-173033.8</v>
      </c>
      <c r="E161" s="51">
        <f>+'Հավելված N 8'!I194+'Հավելված N 8'!I197-157.9</f>
        <v>-173033.8</v>
      </c>
      <c r="F161" s="51"/>
      <c r="G161" s="51"/>
      <c r="H161" s="51"/>
      <c r="I161" s="58"/>
      <c r="J161" s="58"/>
      <c r="K161" s="58"/>
      <c r="L161" s="341"/>
    </row>
    <row r="162" spans="1:12" s="21" customFormat="1" ht="36">
      <c r="A162" s="56">
        <v>1236</v>
      </c>
      <c r="B162" s="201">
        <v>32004</v>
      </c>
      <c r="C162" s="71" t="s">
        <v>436</v>
      </c>
      <c r="D162" s="112">
        <f>SUM(E162:H162)</f>
        <v>9245548.6999999993</v>
      </c>
      <c r="E162" s="112">
        <f>+E164+E165</f>
        <v>0</v>
      </c>
      <c r="F162" s="112">
        <f t="shared" ref="F162:H162" si="104">+F164+F165</f>
        <v>9245548.6999999993</v>
      </c>
      <c r="G162" s="112">
        <f t="shared" si="104"/>
        <v>0</v>
      </c>
      <c r="H162" s="112">
        <f t="shared" si="104"/>
        <v>0</v>
      </c>
      <c r="I162" s="113"/>
      <c r="J162" s="113"/>
      <c r="K162" s="113"/>
      <c r="L162" s="340"/>
    </row>
    <row r="163" spans="1:12" s="3" customFormat="1">
      <c r="A163" s="114"/>
      <c r="B163" s="114"/>
      <c r="C163" s="115" t="s">
        <v>6</v>
      </c>
      <c r="D163" s="106"/>
      <c r="E163" s="116"/>
      <c r="F163" s="116"/>
      <c r="G163" s="116"/>
      <c r="H163" s="116"/>
      <c r="I163" s="113"/>
      <c r="J163" s="113"/>
      <c r="K163" s="113"/>
      <c r="L163" s="340"/>
    </row>
    <row r="164" spans="1:12" s="214" customFormat="1" ht="36">
      <c r="A164" s="212"/>
      <c r="B164" s="212"/>
      <c r="C164" s="107" t="s">
        <v>436</v>
      </c>
      <c r="D164" s="209">
        <f>SUM(E164:H164)</f>
        <v>9300000</v>
      </c>
      <c r="E164" s="209">
        <v>0</v>
      </c>
      <c r="F164" s="209">
        <f>1300000+8000000</f>
        <v>9300000</v>
      </c>
      <c r="G164" s="209">
        <v>0</v>
      </c>
      <c r="H164" s="209">
        <v>0</v>
      </c>
      <c r="I164" s="213"/>
      <c r="J164" s="213"/>
      <c r="K164" s="213"/>
      <c r="L164" s="343"/>
    </row>
    <row r="165" spans="1:12" s="110" customFormat="1" ht="16.95" customHeight="1">
      <c r="A165" s="106"/>
      <c r="B165" s="106"/>
      <c r="C165" s="107" t="s">
        <v>49</v>
      </c>
      <c r="D165" s="108">
        <f>SUM(E165:H165)</f>
        <v>-54451.3</v>
      </c>
      <c r="E165" s="108">
        <f>+E166</f>
        <v>0</v>
      </c>
      <c r="F165" s="108">
        <f t="shared" ref="F165" si="105">+F166</f>
        <v>-54451.3</v>
      </c>
      <c r="G165" s="108">
        <f t="shared" ref="G165" si="106">+G166</f>
        <v>0</v>
      </c>
      <c r="H165" s="108">
        <f t="shared" ref="H165" si="107">+H166</f>
        <v>0</v>
      </c>
      <c r="I165" s="109"/>
      <c r="J165" s="109"/>
      <c r="K165" s="109"/>
      <c r="L165" s="342"/>
    </row>
    <row r="166" spans="1:12" s="23" customFormat="1" ht="17.399999999999999">
      <c r="A166" s="202"/>
      <c r="B166" s="202"/>
      <c r="C166" s="195" t="s">
        <v>433</v>
      </c>
      <c r="D166" s="51">
        <f t="shared" ref="D166" si="108">+E166+F166+G166+H166</f>
        <v>-54451.3</v>
      </c>
      <c r="E166" s="51"/>
      <c r="F166" s="51">
        <f>+'Հավելված N 8'!I204+'Հավելված N 8'!I205</f>
        <v>-54451.3</v>
      </c>
      <c r="G166" s="51"/>
      <c r="H166" s="51"/>
      <c r="I166" s="58"/>
      <c r="J166" s="58"/>
      <c r="K166" s="58"/>
      <c r="L166" s="341"/>
    </row>
    <row r="167" spans="1:12" s="21" customFormat="1">
      <c r="A167" s="56">
        <v>1236</v>
      </c>
      <c r="B167" s="201">
        <v>32005</v>
      </c>
      <c r="C167" s="71" t="s">
        <v>663</v>
      </c>
      <c r="D167" s="112">
        <f>SUM(E167:H167)</f>
        <v>-1702872.8</v>
      </c>
      <c r="E167" s="112">
        <f>+E169+E170+E172+E176+E178+E185+E188+E190+E194+E201+E205</f>
        <v>-1702872.8</v>
      </c>
      <c r="F167" s="112">
        <f>+F169+F170+F172+F176+F178+F185+F188+F190+F194+F201+F205</f>
        <v>0</v>
      </c>
      <c r="G167" s="112">
        <f>+G169+G170+G172+G176+G178+G185+G188+G190+G194+G201+G205</f>
        <v>0</v>
      </c>
      <c r="H167" s="112">
        <f>+H169+H170+H172+H176+H178+H185+H188+H190+H194+H201+H205</f>
        <v>0</v>
      </c>
      <c r="I167" s="113"/>
      <c r="J167" s="113"/>
      <c r="K167" s="113"/>
      <c r="L167" s="340"/>
    </row>
    <row r="168" spans="1:12" s="3" customFormat="1">
      <c r="A168" s="114"/>
      <c r="B168" s="114"/>
      <c r="C168" s="115" t="s">
        <v>6</v>
      </c>
      <c r="D168" s="106"/>
      <c r="E168" s="116"/>
      <c r="F168" s="116"/>
      <c r="G168" s="116"/>
      <c r="H168" s="116"/>
      <c r="I168" s="113"/>
      <c r="J168" s="113"/>
      <c r="K168" s="113"/>
      <c r="L168" s="340"/>
    </row>
    <row r="169" spans="1:12" s="214" customFormat="1">
      <c r="A169" s="212"/>
      <c r="B169" s="212"/>
      <c r="C169" s="107" t="s">
        <v>663</v>
      </c>
      <c r="D169" s="209">
        <f>SUM(E169:H169)</f>
        <v>2500000</v>
      </c>
      <c r="E169" s="209">
        <v>2500000</v>
      </c>
      <c r="F169" s="209">
        <v>0</v>
      </c>
      <c r="G169" s="209">
        <v>0</v>
      </c>
      <c r="H169" s="209">
        <v>0</v>
      </c>
      <c r="I169" s="213"/>
      <c r="J169" s="213"/>
      <c r="K169" s="213"/>
      <c r="L169" s="343"/>
    </row>
    <row r="170" spans="1:12" s="110" customFormat="1" ht="16.95" customHeight="1">
      <c r="A170" s="106"/>
      <c r="B170" s="106"/>
      <c r="C170" s="107" t="s">
        <v>180</v>
      </c>
      <c r="D170" s="108">
        <f>SUM(E170:H170)</f>
        <v>-10938.599999999999</v>
      </c>
      <c r="E170" s="108">
        <f>+E171</f>
        <v>-10938.599999999999</v>
      </c>
      <c r="F170" s="108">
        <f t="shared" ref="F170:H170" si="109">+F171</f>
        <v>0</v>
      </c>
      <c r="G170" s="108">
        <f t="shared" si="109"/>
        <v>0</v>
      </c>
      <c r="H170" s="108">
        <f t="shared" si="109"/>
        <v>0</v>
      </c>
      <c r="I170" s="109"/>
      <c r="J170" s="109"/>
      <c r="K170" s="109"/>
      <c r="L170" s="342"/>
    </row>
    <row r="171" spans="1:12" s="23" customFormat="1" ht="17.399999999999999">
      <c r="A171" s="202"/>
      <c r="B171" s="202"/>
      <c r="C171" s="195" t="s">
        <v>664</v>
      </c>
      <c r="D171" s="51">
        <f t="shared" ref="D171" si="110">+E171+F171+G171+H171</f>
        <v>-10938.599999999999</v>
      </c>
      <c r="E171" s="51">
        <f>+'Հավելված N 8'!I101</f>
        <v>-10938.599999999999</v>
      </c>
      <c r="F171" s="51"/>
      <c r="G171" s="51"/>
      <c r="H171" s="51"/>
      <c r="I171" s="58"/>
      <c r="J171" s="58"/>
      <c r="K171" s="58"/>
      <c r="L171" s="341"/>
    </row>
    <row r="172" spans="1:12" s="110" customFormat="1" ht="16.95" customHeight="1">
      <c r="A172" s="106"/>
      <c r="B172" s="106"/>
      <c r="C172" s="107" t="s">
        <v>181</v>
      </c>
      <c r="D172" s="108">
        <f>SUM(E172:H172)</f>
        <v>-671003.30000000005</v>
      </c>
      <c r="E172" s="108">
        <f>SUM(E173:E175)</f>
        <v>-671003.30000000005</v>
      </c>
      <c r="F172" s="108">
        <f t="shared" ref="F172:H172" si="111">SUM(F173:F175)</f>
        <v>0</v>
      </c>
      <c r="G172" s="108">
        <f t="shared" si="111"/>
        <v>0</v>
      </c>
      <c r="H172" s="108">
        <f t="shared" si="111"/>
        <v>0</v>
      </c>
      <c r="I172" s="109"/>
      <c r="J172" s="109"/>
      <c r="K172" s="109"/>
      <c r="L172" s="342"/>
    </row>
    <row r="173" spans="1:12" s="23" customFormat="1" ht="17.399999999999999">
      <c r="A173" s="445"/>
      <c r="B173" s="445"/>
      <c r="C173" s="195" t="s">
        <v>671</v>
      </c>
      <c r="D173" s="51">
        <f t="shared" ref="D173" si="112">+E173+F173+G173+H173</f>
        <v>-71714.899999999994</v>
      </c>
      <c r="E173" s="51">
        <f>+'Հավելված N 8'!I102</f>
        <v>-71714.899999999994</v>
      </c>
      <c r="F173" s="51"/>
      <c r="G173" s="51"/>
      <c r="H173" s="51"/>
      <c r="I173" s="58"/>
      <c r="J173" s="58"/>
      <c r="K173" s="58"/>
      <c r="L173" s="341"/>
    </row>
    <row r="174" spans="1:12" s="23" customFormat="1" ht="17.399999999999999">
      <c r="A174" s="446"/>
      <c r="B174" s="446"/>
      <c r="C174" s="195" t="s">
        <v>672</v>
      </c>
      <c r="D174" s="51">
        <f t="shared" ref="D174:D175" si="113">+E174+F174+G174+H174</f>
        <v>-26946.9</v>
      </c>
      <c r="E174" s="51">
        <f>+'Հավելված N 8'!I103</f>
        <v>-26946.9</v>
      </c>
      <c r="F174" s="51"/>
      <c r="G174" s="51"/>
      <c r="H174" s="51"/>
      <c r="I174" s="58"/>
      <c r="J174" s="58"/>
      <c r="K174" s="58"/>
      <c r="L174" s="341"/>
    </row>
    <row r="175" spans="1:12" s="23" customFormat="1" ht="17.399999999999999">
      <c r="A175" s="447"/>
      <c r="B175" s="447"/>
      <c r="C175" s="195" t="s">
        <v>673</v>
      </c>
      <c r="D175" s="51">
        <f t="shared" si="113"/>
        <v>-572341.5</v>
      </c>
      <c r="E175" s="51">
        <f>+'Հավելված N 8'!I104</f>
        <v>-572341.5</v>
      </c>
      <c r="F175" s="51"/>
      <c r="G175" s="51"/>
      <c r="H175" s="51"/>
      <c r="I175" s="58"/>
      <c r="J175" s="58"/>
      <c r="K175" s="58"/>
      <c r="L175" s="341"/>
    </row>
    <row r="176" spans="1:12" s="110" customFormat="1" ht="16.95" customHeight="1">
      <c r="A176" s="106"/>
      <c r="B176" s="106"/>
      <c r="C176" s="107" t="s">
        <v>48</v>
      </c>
      <c r="D176" s="108">
        <f>SUM(E176:H176)</f>
        <v>-147986.29999999999</v>
      </c>
      <c r="E176" s="108">
        <f>+E177</f>
        <v>-147986.29999999999</v>
      </c>
      <c r="F176" s="108">
        <f t="shared" ref="F176:H176" si="114">+F177</f>
        <v>0</v>
      </c>
      <c r="G176" s="108">
        <f t="shared" si="114"/>
        <v>0</v>
      </c>
      <c r="H176" s="108">
        <f t="shared" si="114"/>
        <v>0</v>
      </c>
      <c r="I176" s="109"/>
      <c r="J176" s="109"/>
      <c r="K176" s="109"/>
      <c r="L176" s="342"/>
    </row>
    <row r="177" spans="1:12" s="23" customFormat="1" ht="17.399999999999999">
      <c r="A177" s="202"/>
      <c r="B177" s="202"/>
      <c r="C177" s="195" t="s">
        <v>675</v>
      </c>
      <c r="D177" s="51">
        <f t="shared" ref="D177" si="115">+E177+F177+G177+H177</f>
        <v>-147986.29999999999</v>
      </c>
      <c r="E177" s="51">
        <f>+'Հավելված N 8'!I105</f>
        <v>-147986.29999999999</v>
      </c>
      <c r="F177" s="51"/>
      <c r="G177" s="51"/>
      <c r="H177" s="51"/>
      <c r="I177" s="58"/>
      <c r="J177" s="58"/>
      <c r="K177" s="58"/>
      <c r="L177" s="341"/>
    </row>
    <row r="178" spans="1:12" s="110" customFormat="1" ht="16.95" customHeight="1">
      <c r="A178" s="106"/>
      <c r="B178" s="106"/>
      <c r="C178" s="107" t="s">
        <v>72</v>
      </c>
      <c r="D178" s="108">
        <f>SUM(E178:H178)</f>
        <v>-549722.79999999993</v>
      </c>
      <c r="E178" s="108">
        <f>SUM(E179:E184)</f>
        <v>-549722.79999999993</v>
      </c>
      <c r="F178" s="108">
        <f t="shared" ref="F178:H178" si="116">SUM(F179:F184)</f>
        <v>0</v>
      </c>
      <c r="G178" s="108">
        <f t="shared" si="116"/>
        <v>0</v>
      </c>
      <c r="H178" s="108">
        <f t="shared" si="116"/>
        <v>0</v>
      </c>
      <c r="I178" s="109"/>
      <c r="J178" s="109"/>
      <c r="K178" s="109"/>
      <c r="L178" s="342"/>
    </row>
    <row r="179" spans="1:12" s="23" customFormat="1" ht="17.399999999999999">
      <c r="A179" s="445"/>
      <c r="B179" s="445"/>
      <c r="C179" s="195" t="s">
        <v>676</v>
      </c>
      <c r="D179" s="51">
        <f t="shared" ref="D179:D181" si="117">+E179+F179+G179+H179</f>
        <v>-209469.7</v>
      </c>
      <c r="E179" s="51">
        <f>+'Հավելված N 8'!I106</f>
        <v>-209469.7</v>
      </c>
      <c r="F179" s="51"/>
      <c r="G179" s="51"/>
      <c r="H179" s="51"/>
      <c r="I179" s="58"/>
      <c r="J179" s="58"/>
      <c r="K179" s="58"/>
      <c r="L179" s="341"/>
    </row>
    <row r="180" spans="1:12" s="23" customFormat="1" ht="17.399999999999999">
      <c r="A180" s="446"/>
      <c r="B180" s="446"/>
      <c r="C180" s="195" t="s">
        <v>677</v>
      </c>
      <c r="D180" s="51">
        <f t="shared" si="117"/>
        <v>-74413.399999999994</v>
      </c>
      <c r="E180" s="51">
        <f>+'Հավելված N 8'!I107</f>
        <v>-74413.399999999994</v>
      </c>
      <c r="F180" s="51"/>
      <c r="G180" s="51"/>
      <c r="H180" s="51"/>
      <c r="I180" s="58"/>
      <c r="J180" s="58"/>
      <c r="K180" s="58"/>
      <c r="L180" s="341"/>
    </row>
    <row r="181" spans="1:12" s="23" customFormat="1" ht="17.399999999999999">
      <c r="A181" s="446"/>
      <c r="B181" s="446"/>
      <c r="C181" s="195" t="s">
        <v>678</v>
      </c>
      <c r="D181" s="51">
        <f t="shared" si="117"/>
        <v>-76668.7</v>
      </c>
      <c r="E181" s="51">
        <f>+'Հավելված N 8'!I108</f>
        <v>-76668.7</v>
      </c>
      <c r="F181" s="51"/>
      <c r="G181" s="51"/>
      <c r="H181" s="51"/>
      <c r="I181" s="58"/>
      <c r="J181" s="58"/>
      <c r="K181" s="58"/>
      <c r="L181" s="341"/>
    </row>
    <row r="182" spans="1:12" s="23" customFormat="1" ht="17.399999999999999">
      <c r="A182" s="446"/>
      <c r="B182" s="446"/>
      <c r="C182" s="195" t="s">
        <v>679</v>
      </c>
      <c r="D182" s="51">
        <f t="shared" ref="D182:D184" si="118">+E182+F182+G182+H182</f>
        <v>-92252.5</v>
      </c>
      <c r="E182" s="51">
        <f>+'Հավելված N 8'!I109</f>
        <v>-92252.5</v>
      </c>
      <c r="F182" s="51"/>
      <c r="G182" s="51"/>
      <c r="H182" s="51"/>
      <c r="I182" s="58"/>
      <c r="J182" s="58"/>
      <c r="K182" s="58"/>
      <c r="L182" s="341"/>
    </row>
    <row r="183" spans="1:12" s="23" customFormat="1" ht="17.399999999999999">
      <c r="A183" s="446"/>
      <c r="B183" s="446"/>
      <c r="C183" s="195" t="s">
        <v>680</v>
      </c>
      <c r="D183" s="51">
        <f t="shared" si="118"/>
        <v>-95254.399999999994</v>
      </c>
      <c r="E183" s="51">
        <f>+'Հավելված N 8'!I110</f>
        <v>-95254.399999999994</v>
      </c>
      <c r="F183" s="51"/>
      <c r="G183" s="51"/>
      <c r="H183" s="51"/>
      <c r="I183" s="58"/>
      <c r="J183" s="58"/>
      <c r="K183" s="58"/>
      <c r="L183" s="341"/>
    </row>
    <row r="184" spans="1:12" s="23" customFormat="1" ht="17.399999999999999">
      <c r="A184" s="447"/>
      <c r="B184" s="447"/>
      <c r="C184" s="195" t="s">
        <v>681</v>
      </c>
      <c r="D184" s="51">
        <f t="shared" si="118"/>
        <v>-1664.1</v>
      </c>
      <c r="E184" s="51">
        <f>+'Հավելված N 8'!I111</f>
        <v>-1664.1</v>
      </c>
      <c r="F184" s="51"/>
      <c r="G184" s="51"/>
      <c r="H184" s="51"/>
      <c r="I184" s="58"/>
      <c r="J184" s="58"/>
      <c r="K184" s="58"/>
      <c r="L184" s="341"/>
    </row>
    <row r="185" spans="1:12" s="110" customFormat="1" ht="16.95" customHeight="1">
      <c r="A185" s="106"/>
      <c r="B185" s="106"/>
      <c r="C185" s="107" t="s">
        <v>63</v>
      </c>
      <c r="D185" s="108">
        <f>SUM(E185:H185)</f>
        <v>-314421.09999999998</v>
      </c>
      <c r="E185" s="108">
        <f>SUM(E186:E187)</f>
        <v>-314421.09999999998</v>
      </c>
      <c r="F185" s="108">
        <f t="shared" ref="F185:H185" si="119">SUM(F186:F187)</f>
        <v>0</v>
      </c>
      <c r="G185" s="108">
        <f t="shared" si="119"/>
        <v>0</v>
      </c>
      <c r="H185" s="108">
        <f t="shared" si="119"/>
        <v>0</v>
      </c>
      <c r="I185" s="109"/>
      <c r="J185" s="109"/>
      <c r="K185" s="109"/>
      <c r="L185" s="342"/>
    </row>
    <row r="186" spans="1:12" s="23" customFormat="1" ht="17.399999999999999">
      <c r="A186" s="445"/>
      <c r="B186" s="445"/>
      <c r="C186" s="195" t="s">
        <v>688</v>
      </c>
      <c r="D186" s="51">
        <f t="shared" ref="D186:D187" si="120">+E186+F186+G186+H186</f>
        <v>-191976.1</v>
      </c>
      <c r="E186" s="51">
        <f>+'Հավելված N 8'!I112</f>
        <v>-191976.1</v>
      </c>
      <c r="F186" s="51"/>
      <c r="G186" s="51"/>
      <c r="H186" s="51"/>
      <c r="I186" s="58"/>
      <c r="J186" s="58"/>
      <c r="K186" s="58"/>
      <c r="L186" s="341"/>
    </row>
    <row r="187" spans="1:12" s="23" customFormat="1" ht="17.399999999999999">
      <c r="A187" s="447"/>
      <c r="B187" s="447"/>
      <c r="C187" s="195" t="s">
        <v>689</v>
      </c>
      <c r="D187" s="51">
        <f t="shared" si="120"/>
        <v>-122445</v>
      </c>
      <c r="E187" s="51">
        <f>+'Հավելված N 8'!I113</f>
        <v>-122445</v>
      </c>
      <c r="F187" s="51"/>
      <c r="G187" s="51"/>
      <c r="H187" s="51"/>
      <c r="I187" s="58"/>
      <c r="J187" s="58"/>
      <c r="K187" s="58"/>
      <c r="L187" s="341"/>
    </row>
    <row r="188" spans="1:12" s="110" customFormat="1" ht="16.95" customHeight="1">
      <c r="A188" s="106"/>
      <c r="B188" s="106"/>
      <c r="C188" s="107" t="s">
        <v>62</v>
      </c>
      <c r="D188" s="108">
        <f>SUM(E188:H188)</f>
        <v>-371105.6</v>
      </c>
      <c r="E188" s="108">
        <f>+E189</f>
        <v>-371105.6</v>
      </c>
      <c r="F188" s="108">
        <f t="shared" ref="F188:H188" si="121">+F189</f>
        <v>0</v>
      </c>
      <c r="G188" s="108">
        <f t="shared" si="121"/>
        <v>0</v>
      </c>
      <c r="H188" s="108">
        <f t="shared" si="121"/>
        <v>0</v>
      </c>
      <c r="I188" s="109"/>
      <c r="J188" s="109"/>
      <c r="K188" s="109"/>
      <c r="L188" s="342"/>
    </row>
    <row r="189" spans="1:12" s="23" customFormat="1" ht="17.399999999999999">
      <c r="A189" s="202"/>
      <c r="B189" s="202"/>
      <c r="C189" s="195" t="s">
        <v>692</v>
      </c>
      <c r="D189" s="51">
        <f t="shared" ref="D189" si="122">+E189+F189+G189+H189</f>
        <v>-371105.6</v>
      </c>
      <c r="E189" s="51">
        <f>+'Հավելված N 8'!I114</f>
        <v>-371105.6</v>
      </c>
      <c r="F189" s="51"/>
      <c r="G189" s="51"/>
      <c r="H189" s="51"/>
      <c r="I189" s="58"/>
      <c r="J189" s="58"/>
      <c r="K189" s="58"/>
      <c r="L189" s="341"/>
    </row>
    <row r="190" spans="1:12" s="110" customFormat="1" ht="16.95" customHeight="1">
      <c r="A190" s="106"/>
      <c r="B190" s="106"/>
      <c r="C190" s="107" t="s">
        <v>191</v>
      </c>
      <c r="D190" s="108">
        <f>SUM(E190:H190)</f>
        <v>-125022.5</v>
      </c>
      <c r="E190" s="108">
        <f>SUM(E191:E193)</f>
        <v>-125022.5</v>
      </c>
      <c r="F190" s="108">
        <f t="shared" ref="F190:H190" si="123">SUM(F191:F193)</f>
        <v>0</v>
      </c>
      <c r="G190" s="108">
        <f t="shared" si="123"/>
        <v>0</v>
      </c>
      <c r="H190" s="108">
        <f t="shared" si="123"/>
        <v>0</v>
      </c>
      <c r="I190" s="109"/>
      <c r="J190" s="109"/>
      <c r="K190" s="109"/>
      <c r="L190" s="342"/>
    </row>
    <row r="191" spans="1:12" s="23" customFormat="1" ht="17.399999999999999">
      <c r="A191" s="445"/>
      <c r="B191" s="445"/>
      <c r="C191" s="195" t="s">
        <v>694</v>
      </c>
      <c r="D191" s="51">
        <f t="shared" ref="D191:D192" si="124">+E191+F191+G191+H191</f>
        <v>-48248.2</v>
      </c>
      <c r="E191" s="51">
        <f>+'Հավելված N 8'!I115</f>
        <v>-48248.2</v>
      </c>
      <c r="F191" s="51"/>
      <c r="G191" s="51"/>
      <c r="H191" s="51"/>
      <c r="I191" s="58"/>
      <c r="J191" s="58"/>
      <c r="K191" s="58"/>
      <c r="L191" s="341"/>
    </row>
    <row r="192" spans="1:12" s="23" customFormat="1" ht="17.399999999999999">
      <c r="A192" s="446"/>
      <c r="B192" s="446"/>
      <c r="C192" s="195" t="s">
        <v>695</v>
      </c>
      <c r="D192" s="51">
        <f t="shared" si="124"/>
        <v>-30886.300000000003</v>
      </c>
      <c r="E192" s="51">
        <f>+'Հավելված N 8'!I116</f>
        <v>-30886.300000000003</v>
      </c>
      <c r="F192" s="51"/>
      <c r="G192" s="51"/>
      <c r="H192" s="51"/>
      <c r="I192" s="58"/>
      <c r="J192" s="58"/>
      <c r="K192" s="58"/>
      <c r="L192" s="341"/>
    </row>
    <row r="193" spans="1:12" s="23" customFormat="1" ht="17.399999999999999">
      <c r="A193" s="447"/>
      <c r="B193" s="447"/>
      <c r="C193" s="195" t="s">
        <v>696</v>
      </c>
      <c r="D193" s="51">
        <f t="shared" ref="D193" si="125">+E193+F193+G193+H193</f>
        <v>-45888</v>
      </c>
      <c r="E193" s="51">
        <f>+'Հավելված N 8'!I117</f>
        <v>-45888</v>
      </c>
      <c r="F193" s="51"/>
      <c r="G193" s="51"/>
      <c r="H193" s="51"/>
      <c r="I193" s="58"/>
      <c r="J193" s="58"/>
      <c r="K193" s="58"/>
      <c r="L193" s="341"/>
    </row>
    <row r="194" spans="1:12" s="110" customFormat="1" ht="16.95" customHeight="1">
      <c r="A194" s="106"/>
      <c r="B194" s="106"/>
      <c r="C194" s="107" t="s">
        <v>193</v>
      </c>
      <c r="D194" s="108">
        <f>SUM(E194:H194)</f>
        <v>-1676054.8</v>
      </c>
      <c r="E194" s="108">
        <f>SUM(E195:E200)</f>
        <v>-1676054.8</v>
      </c>
      <c r="F194" s="108">
        <f>SUM(F195:F199)</f>
        <v>0</v>
      </c>
      <c r="G194" s="108">
        <f>SUM(G195:G199)</f>
        <v>0</v>
      </c>
      <c r="H194" s="108">
        <f>SUM(H195:H199)</f>
        <v>0</v>
      </c>
      <c r="I194" s="109"/>
      <c r="J194" s="109"/>
      <c r="K194" s="109"/>
      <c r="L194" s="342"/>
    </row>
    <row r="195" spans="1:12" s="23" customFormat="1" ht="17.399999999999999">
      <c r="A195" s="445"/>
      <c r="B195" s="445"/>
      <c r="C195" s="195" t="s">
        <v>706</v>
      </c>
      <c r="D195" s="51">
        <f t="shared" ref="D195:D197" si="126">+E195+F195+G195+H195</f>
        <v>-223351.3</v>
      </c>
      <c r="E195" s="51">
        <f>+'Հավելված N 8'!I118</f>
        <v>-223351.3</v>
      </c>
      <c r="F195" s="51"/>
      <c r="G195" s="51"/>
      <c r="H195" s="51"/>
      <c r="I195" s="58"/>
      <c r="J195" s="58"/>
      <c r="K195" s="58"/>
      <c r="L195" s="341"/>
    </row>
    <row r="196" spans="1:12" s="23" customFormat="1" ht="17.399999999999999">
      <c r="A196" s="446"/>
      <c r="B196" s="446"/>
      <c r="C196" s="195" t="s">
        <v>707</v>
      </c>
      <c r="D196" s="51">
        <f t="shared" si="126"/>
        <v>-106381.3</v>
      </c>
      <c r="E196" s="51">
        <f>+'Հավելված N 8'!I119</f>
        <v>-106381.3</v>
      </c>
      <c r="F196" s="51"/>
      <c r="G196" s="51"/>
      <c r="H196" s="51"/>
      <c r="I196" s="58"/>
      <c r="J196" s="58"/>
      <c r="K196" s="58"/>
      <c r="L196" s="341"/>
    </row>
    <row r="197" spans="1:12" s="23" customFormat="1" ht="17.399999999999999">
      <c r="A197" s="446"/>
      <c r="B197" s="446"/>
      <c r="C197" s="195" t="s">
        <v>708</v>
      </c>
      <c r="D197" s="51">
        <f t="shared" si="126"/>
        <v>-133170.20000000001</v>
      </c>
      <c r="E197" s="51">
        <f>+'Հավելված N 8'!I120</f>
        <v>-133170.20000000001</v>
      </c>
      <c r="F197" s="51"/>
      <c r="G197" s="51"/>
      <c r="H197" s="51"/>
      <c r="I197" s="58"/>
      <c r="J197" s="58"/>
      <c r="K197" s="58"/>
      <c r="L197" s="341"/>
    </row>
    <row r="198" spans="1:12" s="23" customFormat="1" ht="34.799999999999997">
      <c r="A198" s="446"/>
      <c r="B198" s="446"/>
      <c r="C198" s="195" t="s">
        <v>709</v>
      </c>
      <c r="D198" s="51">
        <f t="shared" ref="D198:D199" si="127">+E198+F198+G198+H198</f>
        <v>-400000</v>
      </c>
      <c r="E198" s="51">
        <f>+'Հավելված N 8'!I121</f>
        <v>-400000</v>
      </c>
      <c r="F198" s="51"/>
      <c r="G198" s="51"/>
      <c r="H198" s="51"/>
      <c r="I198" s="58"/>
      <c r="J198" s="58"/>
      <c r="K198" s="58"/>
      <c r="L198" s="341"/>
    </row>
    <row r="199" spans="1:12" s="23" customFormat="1" ht="34.799999999999997">
      <c r="A199" s="446"/>
      <c r="B199" s="446"/>
      <c r="C199" s="195" t="s">
        <v>710</v>
      </c>
      <c r="D199" s="51">
        <f t="shared" si="127"/>
        <v>-258674</v>
      </c>
      <c r="E199" s="51">
        <f>+'Հավելված N 8'!I122</f>
        <v>-258674</v>
      </c>
      <c r="F199" s="51"/>
      <c r="G199" s="51"/>
      <c r="H199" s="51"/>
      <c r="I199" s="58"/>
      <c r="J199" s="58"/>
      <c r="K199" s="58"/>
      <c r="L199" s="341"/>
    </row>
    <row r="200" spans="1:12" s="23" customFormat="1" ht="17.399999999999999">
      <c r="A200" s="447"/>
      <c r="B200" s="447"/>
      <c r="C200" s="195" t="s">
        <v>711</v>
      </c>
      <c r="D200" s="51">
        <f t="shared" ref="D200" si="128">+E200+F200+G200+H200</f>
        <v>-554478</v>
      </c>
      <c r="E200" s="51">
        <f>+'Հավելված N 8'!I123</f>
        <v>-554478</v>
      </c>
      <c r="F200" s="51"/>
      <c r="G200" s="51"/>
      <c r="H200" s="51"/>
      <c r="I200" s="58"/>
      <c r="J200" s="58"/>
      <c r="K200" s="58"/>
      <c r="L200" s="341"/>
    </row>
    <row r="201" spans="1:12" s="110" customFormat="1" ht="16.95" customHeight="1">
      <c r="A201" s="106"/>
      <c r="B201" s="106"/>
      <c r="C201" s="107" t="s">
        <v>196</v>
      </c>
      <c r="D201" s="108">
        <f>SUM(E201:H201)</f>
        <v>-141647.29999999999</v>
      </c>
      <c r="E201" s="108">
        <f>SUM(E202:E204)</f>
        <v>-141647.29999999999</v>
      </c>
      <c r="F201" s="108">
        <f t="shared" ref="F201" si="129">SUM(F202:F204)</f>
        <v>0</v>
      </c>
      <c r="G201" s="108">
        <f t="shared" ref="G201" si="130">SUM(G202:G204)</f>
        <v>0</v>
      </c>
      <c r="H201" s="108">
        <f t="shared" ref="H201" si="131">SUM(H202:H204)</f>
        <v>0</v>
      </c>
      <c r="I201" s="109"/>
      <c r="J201" s="109"/>
      <c r="K201" s="109"/>
      <c r="L201" s="342"/>
    </row>
    <row r="202" spans="1:12" s="23" customFormat="1" ht="17.399999999999999">
      <c r="A202" s="445"/>
      <c r="B202" s="445"/>
      <c r="C202" s="195" t="s">
        <v>700</v>
      </c>
      <c r="D202" s="51">
        <f t="shared" ref="D202:D204" si="132">+E202+F202+G202+H202</f>
        <v>-8640.2000000000007</v>
      </c>
      <c r="E202" s="51">
        <f>+'Հավելված N 8'!I124</f>
        <v>-8640.2000000000007</v>
      </c>
      <c r="F202" s="51"/>
      <c r="G202" s="51"/>
      <c r="H202" s="51"/>
      <c r="I202" s="58"/>
      <c r="J202" s="58"/>
      <c r="K202" s="58"/>
      <c r="L202" s="341"/>
    </row>
    <row r="203" spans="1:12" s="23" customFormat="1" ht="17.399999999999999">
      <c r="A203" s="446"/>
      <c r="B203" s="446"/>
      <c r="C203" s="195" t="s">
        <v>701</v>
      </c>
      <c r="D203" s="51">
        <f t="shared" si="132"/>
        <v>-46698</v>
      </c>
      <c r="E203" s="51">
        <f>+'Հավելված N 8'!I125</f>
        <v>-46698</v>
      </c>
      <c r="F203" s="51"/>
      <c r="G203" s="51"/>
      <c r="H203" s="51"/>
      <c r="I203" s="58"/>
      <c r="J203" s="58"/>
      <c r="K203" s="58"/>
      <c r="L203" s="341"/>
    </row>
    <row r="204" spans="1:12" s="23" customFormat="1" ht="17.399999999999999">
      <c r="A204" s="447"/>
      <c r="B204" s="447"/>
      <c r="C204" s="195" t="s">
        <v>702</v>
      </c>
      <c r="D204" s="51">
        <f t="shared" si="132"/>
        <v>-86309.1</v>
      </c>
      <c r="E204" s="51">
        <f>+'Հավելված N 8'!I126</f>
        <v>-86309.1</v>
      </c>
      <c r="F204" s="51"/>
      <c r="G204" s="51"/>
      <c r="H204" s="51"/>
      <c r="I204" s="58"/>
      <c r="J204" s="58"/>
      <c r="K204" s="58"/>
      <c r="L204" s="341"/>
    </row>
    <row r="205" spans="1:12" s="110" customFormat="1" ht="16.95" customHeight="1">
      <c r="A205" s="106"/>
      <c r="B205" s="106"/>
      <c r="C205" s="107" t="s">
        <v>188</v>
      </c>
      <c r="D205" s="108">
        <f>SUM(E205:H205)</f>
        <v>-194970.5</v>
      </c>
      <c r="E205" s="108">
        <f>SUM(E206:E207)</f>
        <v>-194970.5</v>
      </c>
      <c r="F205" s="108">
        <f t="shared" ref="F205:H205" si="133">SUM(F206:F207)</f>
        <v>0</v>
      </c>
      <c r="G205" s="108">
        <f t="shared" si="133"/>
        <v>0</v>
      </c>
      <c r="H205" s="108">
        <f t="shared" si="133"/>
        <v>0</v>
      </c>
      <c r="I205" s="109"/>
      <c r="J205" s="109"/>
      <c r="K205" s="109"/>
      <c r="L205" s="342"/>
    </row>
    <row r="206" spans="1:12" s="23" customFormat="1" ht="17.399999999999999">
      <c r="A206" s="445"/>
      <c r="B206" s="445"/>
      <c r="C206" s="195" t="s">
        <v>718</v>
      </c>
      <c r="D206" s="51">
        <f t="shared" ref="D206:D207" si="134">+E206+F206+G206+H206</f>
        <v>-120642.9</v>
      </c>
      <c r="E206" s="51">
        <f>+'Հավելված N 8'!I127</f>
        <v>-120642.9</v>
      </c>
      <c r="F206" s="51"/>
      <c r="G206" s="51"/>
      <c r="H206" s="51"/>
      <c r="I206" s="58"/>
      <c r="J206" s="58"/>
      <c r="K206" s="58"/>
      <c r="L206" s="341"/>
    </row>
    <row r="207" spans="1:12" s="23" customFormat="1" ht="17.399999999999999">
      <c r="A207" s="447"/>
      <c r="B207" s="447"/>
      <c r="C207" s="195" t="s">
        <v>719</v>
      </c>
      <c r="D207" s="51">
        <f t="shared" si="134"/>
        <v>-74327.600000000006</v>
      </c>
      <c r="E207" s="51">
        <f>+'Հավելված N 8'!I128</f>
        <v>-74327.600000000006</v>
      </c>
      <c r="F207" s="51"/>
      <c r="G207" s="51"/>
      <c r="H207" s="51"/>
      <c r="I207" s="58"/>
      <c r="J207" s="58"/>
      <c r="K207" s="58"/>
      <c r="L207" s="341"/>
    </row>
    <row r="208" spans="1:12" s="21" customFormat="1" ht="54">
      <c r="A208" s="56">
        <v>1236</v>
      </c>
      <c r="B208" s="201">
        <v>32006</v>
      </c>
      <c r="C208" s="71" t="s">
        <v>480</v>
      </c>
      <c r="D208" s="112">
        <f>SUM(E208:H208)</f>
        <v>-690.5</v>
      </c>
      <c r="E208" s="112">
        <f>+E210</f>
        <v>0</v>
      </c>
      <c r="F208" s="112">
        <f t="shared" ref="F208:H208" si="135">+F210</f>
        <v>0</v>
      </c>
      <c r="G208" s="112">
        <f t="shared" si="135"/>
        <v>0</v>
      </c>
      <c r="H208" s="112">
        <f t="shared" si="135"/>
        <v>-690.5</v>
      </c>
      <c r="I208" s="113"/>
      <c r="J208" s="113"/>
      <c r="K208" s="113"/>
      <c r="L208" s="340"/>
    </row>
    <row r="209" spans="1:12" s="3" customFormat="1">
      <c r="A209" s="114"/>
      <c r="B209" s="114"/>
      <c r="C209" s="115" t="s">
        <v>6</v>
      </c>
      <c r="D209" s="106"/>
      <c r="E209" s="116"/>
      <c r="F209" s="116"/>
      <c r="G209" s="116"/>
      <c r="H209" s="116"/>
      <c r="I209" s="113"/>
      <c r="J209" s="113"/>
      <c r="K209" s="113"/>
      <c r="L209" s="340"/>
    </row>
    <row r="210" spans="1:12" s="214" customFormat="1" ht="54">
      <c r="A210" s="212"/>
      <c r="B210" s="212"/>
      <c r="C210" s="107" t="s">
        <v>480</v>
      </c>
      <c r="D210" s="209">
        <f>SUM(E210:H210)</f>
        <v>-690.5</v>
      </c>
      <c r="E210" s="209">
        <f>+E211</f>
        <v>0</v>
      </c>
      <c r="F210" s="209">
        <f t="shared" ref="F210:G210" si="136">+F211</f>
        <v>0</v>
      </c>
      <c r="G210" s="209">
        <f t="shared" si="136"/>
        <v>0</v>
      </c>
      <c r="H210" s="209">
        <f>+'Հավելված N 8'!I130</f>
        <v>-690.5</v>
      </c>
      <c r="I210" s="213"/>
      <c r="J210" s="213"/>
      <c r="K210" s="213"/>
      <c r="L210" s="343"/>
    </row>
  </sheetData>
  <mergeCells count="47">
    <mergeCell ref="B206:B207"/>
    <mergeCell ref="A206:A207"/>
    <mergeCell ref="B141:B142"/>
    <mergeCell ref="A141:A142"/>
    <mergeCell ref="B195:B200"/>
    <mergeCell ref="A195:A200"/>
    <mergeCell ref="A202:A204"/>
    <mergeCell ref="B202:B204"/>
    <mergeCell ref="B186:B187"/>
    <mergeCell ref="A186:A187"/>
    <mergeCell ref="B191:B193"/>
    <mergeCell ref="A191:A193"/>
    <mergeCell ref="B179:B184"/>
    <mergeCell ref="A179:A184"/>
    <mergeCell ref="B159:B161"/>
    <mergeCell ref="A159:A161"/>
    <mergeCell ref="A9:B9"/>
    <mergeCell ref="C9:C10"/>
    <mergeCell ref="D9:D10"/>
    <mergeCell ref="E9:H9"/>
    <mergeCell ref="A97:A102"/>
    <mergeCell ref="B97:B102"/>
    <mergeCell ref="A61:A62"/>
    <mergeCell ref="B61:B62"/>
    <mergeCell ref="A66:A67"/>
    <mergeCell ref="F1:H1"/>
    <mergeCell ref="F2:H2"/>
    <mergeCell ref="F3:H3"/>
    <mergeCell ref="A5:H6"/>
    <mergeCell ref="G8:H8"/>
    <mergeCell ref="A129:A130"/>
    <mergeCell ref="B129:B130"/>
    <mergeCell ref="B66:B67"/>
    <mergeCell ref="B69:B70"/>
    <mergeCell ref="A69:A70"/>
    <mergeCell ref="B125:B127"/>
    <mergeCell ref="A125:A127"/>
    <mergeCell ref="B90:B91"/>
    <mergeCell ref="A90:A91"/>
    <mergeCell ref="B173:B175"/>
    <mergeCell ref="A173:A175"/>
    <mergeCell ref="B144:B146"/>
    <mergeCell ref="A144:A146"/>
    <mergeCell ref="B148:B151"/>
    <mergeCell ref="A148:A151"/>
    <mergeCell ref="B153:B155"/>
    <mergeCell ref="A153:A155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92D050"/>
    <pageSetUpPr fitToPage="1"/>
  </sheetPr>
  <dimension ref="B1:G270"/>
  <sheetViews>
    <sheetView topLeftCell="A207" zoomScale="85" zoomScaleNormal="85" workbookViewId="0">
      <selection activeCell="E220" sqref="E220"/>
    </sheetView>
  </sheetViews>
  <sheetFormatPr defaultColWidth="9.109375" defaultRowHeight="17.399999999999999"/>
  <cols>
    <col min="1" max="3" width="9.109375" style="50"/>
    <col min="4" max="4" width="54.21875" style="50" customWidth="1"/>
    <col min="5" max="6" width="22.44140625" style="50" customWidth="1"/>
    <col min="7" max="7" width="30.44140625" style="50" customWidth="1"/>
    <col min="8" max="16384" width="9.109375" style="50"/>
  </cols>
  <sheetData>
    <row r="1" spans="2:7" s="260" customFormat="1" ht="25.5" customHeight="1">
      <c r="E1" s="465" t="s">
        <v>90</v>
      </c>
      <c r="F1" s="465"/>
    </row>
    <row r="2" spans="2:7" s="54" customFormat="1" ht="17.850000000000001" customHeight="1">
      <c r="D2" s="425" t="s">
        <v>97</v>
      </c>
      <c r="E2" s="425"/>
      <c r="F2" s="425"/>
    </row>
    <row r="3" spans="2:7" s="54" customFormat="1">
      <c r="D3" s="261"/>
      <c r="E3" s="466" t="s">
        <v>20</v>
      </c>
      <c r="F3" s="466"/>
    </row>
    <row r="4" spans="2:7" s="54" customFormat="1" ht="13.65" customHeight="1">
      <c r="D4" s="261"/>
      <c r="E4" s="261"/>
      <c r="F4" s="261"/>
    </row>
    <row r="5" spans="2:7" s="54" customFormat="1" ht="13.65" customHeight="1">
      <c r="D5" s="261"/>
      <c r="E5" s="261"/>
      <c r="F5" s="261"/>
    </row>
    <row r="6" spans="2:7" s="54" customFormat="1" ht="85.65" customHeight="1">
      <c r="B6" s="467" t="s">
        <v>104</v>
      </c>
      <c r="C6" s="467"/>
      <c r="D6" s="467"/>
      <c r="E6" s="467"/>
      <c r="F6" s="467"/>
    </row>
    <row r="7" spans="2:7" s="54" customFormat="1">
      <c r="E7" s="332"/>
      <c r="F7" s="332"/>
    </row>
    <row r="8" spans="2:7" s="54" customFormat="1">
      <c r="E8" s="262"/>
      <c r="F8" s="262" t="s">
        <v>9</v>
      </c>
    </row>
    <row r="9" spans="2:7" s="54" customFormat="1" ht="69" customHeight="1">
      <c r="B9" s="453" t="s">
        <v>36</v>
      </c>
      <c r="C9" s="454"/>
      <c r="D9" s="455" t="s">
        <v>37</v>
      </c>
      <c r="E9" s="468" t="s">
        <v>55</v>
      </c>
      <c r="F9" s="461"/>
    </row>
    <row r="10" spans="2:7" s="54" customFormat="1" ht="88.2" customHeight="1">
      <c r="B10" s="263" t="s">
        <v>14</v>
      </c>
      <c r="C10" s="263" t="s">
        <v>15</v>
      </c>
      <c r="D10" s="456"/>
      <c r="E10" s="264" t="s">
        <v>2</v>
      </c>
      <c r="F10" s="264" t="s">
        <v>3</v>
      </c>
      <c r="G10" s="250"/>
    </row>
    <row r="11" spans="2:7" s="54" customFormat="1" ht="54">
      <c r="B11" s="263"/>
      <c r="C11" s="263"/>
      <c r="D11" s="265" t="s">
        <v>17</v>
      </c>
      <c r="E11" s="227">
        <f>+E13+E25+E37+E57+E63+E66+E72+E82+E100+E106+E112+E121+E132+E142+E148+E151+E157+E172+E213+E223+E266</f>
        <v>1929281.2999999996</v>
      </c>
      <c r="F11" s="227">
        <f>+F13+F25+F37+F57+F63+F66+F72+F82+F100+F106+F112+F121+F132+F142+F148+F151+F157+F172+F213+F223+F266</f>
        <v>12622143.412999999</v>
      </c>
    </row>
    <row r="12" spans="2:7" s="54" customFormat="1" ht="18">
      <c r="B12" s="263"/>
      <c r="C12" s="263"/>
      <c r="D12" s="266" t="s">
        <v>46</v>
      </c>
      <c r="E12" s="165"/>
      <c r="F12" s="165"/>
      <c r="G12" s="312"/>
    </row>
    <row r="13" spans="2:7" s="54" customFormat="1" ht="54">
      <c r="B13" s="56">
        <v>1045</v>
      </c>
      <c r="C13" s="56">
        <v>32001</v>
      </c>
      <c r="D13" s="71" t="s">
        <v>379</v>
      </c>
      <c r="E13" s="145">
        <f>+E15+E21</f>
        <v>-232319.6</v>
      </c>
      <c r="F13" s="145">
        <f>+F15+F21</f>
        <v>-207565</v>
      </c>
      <c r="G13" s="312"/>
    </row>
    <row r="14" spans="2:7" s="54" customFormat="1">
      <c r="B14" s="64"/>
      <c r="C14" s="64"/>
      <c r="D14" s="67" t="s">
        <v>16</v>
      </c>
      <c r="E14" s="147"/>
      <c r="F14" s="147"/>
    </row>
    <row r="15" spans="2:7" s="54" customFormat="1" ht="36">
      <c r="B15" s="41"/>
      <c r="C15" s="41"/>
      <c r="D15" s="42" t="s">
        <v>12</v>
      </c>
      <c r="E15" s="148">
        <f>+E17+E19</f>
        <v>-145295.6</v>
      </c>
      <c r="F15" s="148">
        <f>+F17+F19</f>
        <v>-107565</v>
      </c>
      <c r="G15" s="250"/>
    </row>
    <row r="16" spans="2:7" s="54" customFormat="1">
      <c r="B16" s="55"/>
      <c r="C16" s="55"/>
      <c r="D16" s="52" t="s">
        <v>101</v>
      </c>
      <c r="E16" s="149"/>
      <c r="F16" s="238"/>
    </row>
    <row r="17" spans="2:7" s="241" customFormat="1" ht="18">
      <c r="B17" s="239"/>
      <c r="C17" s="239"/>
      <c r="D17" s="211" t="s">
        <v>72</v>
      </c>
      <c r="E17" s="240">
        <f>+E18</f>
        <v>-72167.600000000006</v>
      </c>
      <c r="F17" s="240">
        <f>+F18</f>
        <v>-53096.5</v>
      </c>
    </row>
    <row r="18" spans="2:7" s="54" customFormat="1">
      <c r="B18" s="225"/>
      <c r="C18" s="225"/>
      <c r="D18" s="195" t="str">
        <f>+'Հավելված N 3'!C20</f>
        <v>«Գավառի պետական բժշկական քոլեջ» ՊՈԱԿ</v>
      </c>
      <c r="E18" s="146">
        <v>-72167.600000000006</v>
      </c>
      <c r="F18" s="146">
        <f>+'Հավելված N 3'!D20</f>
        <v>-53096.5</v>
      </c>
    </row>
    <row r="19" spans="2:7" s="241" customFormat="1" ht="18">
      <c r="B19" s="239"/>
      <c r="C19" s="239"/>
      <c r="D19" s="211" t="s">
        <v>191</v>
      </c>
      <c r="E19" s="240">
        <f>+E20</f>
        <v>-73128</v>
      </c>
      <c r="F19" s="240">
        <f>+F20</f>
        <v>-54468.5</v>
      </c>
    </row>
    <row r="20" spans="2:7" s="54" customFormat="1">
      <c r="B20" s="225"/>
      <c r="C20" s="225"/>
      <c r="D20" s="195" t="str">
        <f>+'Հավելված N 3'!C22</f>
        <v>«Գյումրու պետական բժշկական քոլեջ» ՊՈԱԿ</v>
      </c>
      <c r="E20" s="146">
        <v>-73128</v>
      </c>
      <c r="F20" s="146">
        <f>+'Հավելված N 3'!D22</f>
        <v>-54468.5</v>
      </c>
    </row>
    <row r="21" spans="2:7" s="54" customFormat="1" ht="18">
      <c r="B21" s="41"/>
      <c r="C21" s="41"/>
      <c r="D21" s="42" t="s">
        <v>168</v>
      </c>
      <c r="E21" s="148">
        <f>+E23</f>
        <v>-87024</v>
      </c>
      <c r="F21" s="148">
        <f t="shared" ref="F21" si="0">+F23</f>
        <v>-100000</v>
      </c>
    </row>
    <row r="22" spans="2:7" s="54" customFormat="1">
      <c r="B22" s="55"/>
      <c r="C22" s="55"/>
      <c r="D22" s="52" t="s">
        <v>101</v>
      </c>
      <c r="E22" s="149"/>
      <c r="F22" s="238"/>
    </row>
    <row r="23" spans="2:7" s="241" customFormat="1" ht="18">
      <c r="B23" s="239"/>
      <c r="C23" s="239"/>
      <c r="D23" s="211" t="s">
        <v>181</v>
      </c>
      <c r="E23" s="240">
        <f>+E24</f>
        <v>-87024</v>
      </c>
      <c r="F23" s="240">
        <f>+F24</f>
        <v>-100000</v>
      </c>
    </row>
    <row r="24" spans="2:7" s="54" customFormat="1" ht="34.799999999999997">
      <c r="B24" s="225"/>
      <c r="C24" s="225"/>
      <c r="D24" s="195" t="str">
        <f>+'Հավելված N 3'!C18</f>
        <v>«Մասիսի պետական գյուղատնտեսական քոլեջ» ՊՈԱԿ</v>
      </c>
      <c r="E24" s="146">
        <v>-87024</v>
      </c>
      <c r="F24" s="146">
        <f>+'Հավելված N 3'!D18</f>
        <v>-100000</v>
      </c>
      <c r="G24" s="361"/>
    </row>
    <row r="25" spans="2:7" s="54" customFormat="1" ht="36">
      <c r="B25" s="56">
        <v>1045</v>
      </c>
      <c r="C25" s="56">
        <v>32005</v>
      </c>
      <c r="D25" s="71" t="s">
        <v>201</v>
      </c>
      <c r="E25" s="145">
        <f>+E27</f>
        <v>-126666.4</v>
      </c>
      <c r="F25" s="145">
        <f>+F27</f>
        <v>-261132.3</v>
      </c>
    </row>
    <row r="26" spans="2:7" s="54" customFormat="1">
      <c r="B26" s="64"/>
      <c r="C26" s="64"/>
      <c r="D26" s="67" t="s">
        <v>16</v>
      </c>
      <c r="E26" s="147"/>
      <c r="F26" s="147"/>
    </row>
    <row r="27" spans="2:7" s="54" customFormat="1" ht="18">
      <c r="B27" s="41"/>
      <c r="C27" s="41"/>
      <c r="D27" s="42" t="s">
        <v>168</v>
      </c>
      <c r="E27" s="148">
        <f>+E29+E31+E33+E35</f>
        <v>-126666.4</v>
      </c>
      <c r="F27" s="148">
        <f>+F29+F31+F33+F35</f>
        <v>-261132.3</v>
      </c>
    </row>
    <row r="28" spans="2:7" s="54" customFormat="1">
      <c r="B28" s="55"/>
      <c r="C28" s="55"/>
      <c r="D28" s="52" t="s">
        <v>101</v>
      </c>
      <c r="E28" s="149"/>
      <c r="F28" s="238"/>
    </row>
    <row r="29" spans="2:7" s="241" customFormat="1" ht="18">
      <c r="B29" s="239"/>
      <c r="C29" s="239"/>
      <c r="D29" s="211" t="s">
        <v>72</v>
      </c>
      <c r="E29" s="240">
        <f t="shared" ref="E29:E31" si="1">+E30</f>
        <v>101519.5</v>
      </c>
      <c r="F29" s="240">
        <f>+F30</f>
        <v>0</v>
      </c>
    </row>
    <row r="30" spans="2:7" s="54" customFormat="1" ht="34.799999999999997">
      <c r="B30" s="225"/>
      <c r="C30" s="225"/>
      <c r="D30" s="195" t="s">
        <v>630</v>
      </c>
      <c r="E30" s="146">
        <v>101519.5</v>
      </c>
      <c r="F30" s="146">
        <f>+'Հավելված N 3'!D24</f>
        <v>0</v>
      </c>
    </row>
    <row r="31" spans="2:7" s="241" customFormat="1" ht="18">
      <c r="B31" s="239"/>
      <c r="C31" s="239"/>
      <c r="D31" s="211" t="s">
        <v>63</v>
      </c>
      <c r="E31" s="240">
        <f t="shared" si="1"/>
        <v>-72520</v>
      </c>
      <c r="F31" s="240">
        <f>+F32</f>
        <v>-103600</v>
      </c>
    </row>
    <row r="32" spans="2:7" s="54" customFormat="1" ht="34.799999999999997">
      <c r="B32" s="225"/>
      <c r="C32" s="225"/>
      <c r="D32" s="195" t="str">
        <f>+'Հավելված N 3'!C26</f>
        <v>«Ստեփանավանի պրոֆ. Քալանթարի անվան պետական գյուղատնտեսական քոլեջ» ՊՈԱԿ</v>
      </c>
      <c r="E32" s="146">
        <v>-72520</v>
      </c>
      <c r="F32" s="146">
        <f>+'Հավելված N 3'!D26</f>
        <v>-103600</v>
      </c>
    </row>
    <row r="33" spans="2:6" s="241" customFormat="1" ht="18">
      <c r="B33" s="239"/>
      <c r="C33" s="239"/>
      <c r="D33" s="211" t="s">
        <v>193</v>
      </c>
      <c r="E33" s="240">
        <f>+E34</f>
        <v>-83145.899999999994</v>
      </c>
      <c r="F33" s="240">
        <f>+F34</f>
        <v>-103932.3</v>
      </c>
    </row>
    <row r="34" spans="2:6" s="54" customFormat="1" ht="34.799999999999997">
      <c r="B34" s="225"/>
      <c r="C34" s="225"/>
      <c r="D34" s="195" t="str">
        <f>+'Հավելված N 3'!C28</f>
        <v>«Գորիսի պրոֆեսոր Խ. Երիցյանի անվան պետական գյուղատնտեսական քոլեջ» ՊՈԱԿ</v>
      </c>
      <c r="E34" s="146">
        <f>-80000-2633.7-512.2</f>
        <v>-83145.899999999994</v>
      </c>
      <c r="F34" s="146">
        <f>+'Հավելված N 3'!D28</f>
        <v>-103932.3</v>
      </c>
    </row>
    <row r="35" spans="2:6" s="241" customFormat="1" ht="18">
      <c r="B35" s="239"/>
      <c r="C35" s="239"/>
      <c r="D35" s="211" t="s">
        <v>188</v>
      </c>
      <c r="E35" s="240">
        <f>+E36</f>
        <v>-72520</v>
      </c>
      <c r="F35" s="240">
        <f>+F36</f>
        <v>-53600</v>
      </c>
    </row>
    <row r="36" spans="2:6" s="54" customFormat="1">
      <c r="B36" s="225"/>
      <c r="C36" s="225"/>
      <c r="D36" s="195" t="str">
        <f>+'Հավելված N 3'!C30</f>
        <v>«Նոյեմբերյանի պետական քոլեջ» ՊՈԱԿ</v>
      </c>
      <c r="E36" s="146">
        <v>-72520</v>
      </c>
      <c r="F36" s="146">
        <f>+'Հավելված N 3'!D30</f>
        <v>-53600</v>
      </c>
    </row>
    <row r="37" spans="2:6" s="54" customFormat="1" ht="36">
      <c r="B37" s="56">
        <v>1075</v>
      </c>
      <c r="C37" s="46">
        <v>21001</v>
      </c>
      <c r="D37" s="71" t="s">
        <v>298</v>
      </c>
      <c r="E37" s="112">
        <f>+E39</f>
        <v>-52813.5</v>
      </c>
      <c r="F37" s="112">
        <f>+F39</f>
        <v>-111367</v>
      </c>
    </row>
    <row r="38" spans="2:6" s="54" customFormat="1" ht="18">
      <c r="B38" s="215"/>
      <c r="C38" s="215"/>
      <c r="D38" s="67" t="s">
        <v>16</v>
      </c>
      <c r="E38" s="216"/>
      <c r="F38" s="216"/>
    </row>
    <row r="39" spans="2:6" s="54" customFormat="1" ht="36">
      <c r="B39" s="217"/>
      <c r="C39" s="217"/>
      <c r="D39" s="218" t="s">
        <v>12</v>
      </c>
      <c r="E39" s="219">
        <f>+E41+E49</f>
        <v>-52813.5</v>
      </c>
      <c r="F39" s="219">
        <f>+F41+F49</f>
        <v>-111367</v>
      </c>
    </row>
    <row r="40" spans="2:6" s="54" customFormat="1">
      <c r="B40" s="217"/>
      <c r="C40" s="217"/>
      <c r="D40" s="70" t="s">
        <v>361</v>
      </c>
      <c r="E40" s="55"/>
      <c r="F40" s="55"/>
    </row>
    <row r="41" spans="2:6" s="54" customFormat="1" ht="18">
      <c r="B41" s="217"/>
      <c r="C41" s="217"/>
      <c r="D41" s="201" t="s">
        <v>437</v>
      </c>
      <c r="E41" s="220">
        <f>+E43+E45+E47</f>
        <v>-37813.5</v>
      </c>
      <c r="F41" s="220">
        <f>+F43+F45+F47</f>
        <v>-82692</v>
      </c>
    </row>
    <row r="42" spans="2:6" s="54" customFormat="1">
      <c r="B42" s="217"/>
      <c r="C42" s="217"/>
      <c r="D42" s="70" t="s">
        <v>343</v>
      </c>
      <c r="E42" s="55"/>
      <c r="F42" s="55"/>
    </row>
    <row r="43" spans="2:6" s="54" customFormat="1" ht="18">
      <c r="B43" s="55"/>
      <c r="C43" s="55"/>
      <c r="D43" s="221" t="s">
        <v>72</v>
      </c>
      <c r="E43" s="222">
        <f>+E44</f>
        <v>-6658.5</v>
      </c>
      <c r="F43" s="222">
        <f>+F44</f>
        <v>-20686</v>
      </c>
    </row>
    <row r="44" spans="2:6" s="54" customFormat="1" ht="34.799999999999997">
      <c r="B44" s="223"/>
      <c r="C44" s="223"/>
      <c r="D44" s="190" t="str">
        <f>+'Հավելված N 3'!C36</f>
        <v>Բերդկունքի Սպիտակ բերդի նորոգում, ամրակայում և վերականգնում</v>
      </c>
      <c r="E44" s="224">
        <v>-6658.5</v>
      </c>
      <c r="F44" s="224">
        <f>+'Հավելված N 3'!D36</f>
        <v>-20686</v>
      </c>
    </row>
    <row r="45" spans="2:6" s="54" customFormat="1" ht="18">
      <c r="B45" s="55"/>
      <c r="C45" s="55"/>
      <c r="D45" s="221" t="s">
        <v>63</v>
      </c>
      <c r="E45" s="222">
        <f>+E46</f>
        <v>-10330</v>
      </c>
      <c r="F45" s="222">
        <f>+F46</f>
        <v>-20660</v>
      </c>
    </row>
    <row r="46" spans="2:6" s="54" customFormat="1" ht="69.599999999999994">
      <c r="B46" s="223"/>
      <c r="C46" s="223"/>
      <c r="D46" s="190" t="str">
        <f>+'Հավելված N 3'!C38</f>
        <v>Ալավերդի համայնքի Կաճաճկուտ բնակավայրի Սեդվի վանական համալիրի փլուզված եռահարկ աշտարակի նորոգում, ամրակայում, վերականգնում և տարածքի բարեկարգում</v>
      </c>
      <c r="E46" s="224">
        <v>-10330</v>
      </c>
      <c r="F46" s="224">
        <f>+'Հավելված N 3'!D38</f>
        <v>-20660</v>
      </c>
    </row>
    <row r="47" spans="2:6" s="54" customFormat="1" ht="18">
      <c r="B47" s="55"/>
      <c r="C47" s="55"/>
      <c r="D47" s="221" t="s">
        <v>196</v>
      </c>
      <c r="E47" s="222">
        <f>+E48</f>
        <v>-20825</v>
      </c>
      <c r="F47" s="222">
        <f>+F48</f>
        <v>-41346</v>
      </c>
    </row>
    <row r="48" spans="2:6" s="54" customFormat="1" ht="34.799999999999997">
      <c r="B48" s="223"/>
      <c r="C48" s="223"/>
      <c r="D48" s="190" t="str">
        <f>+'Հավելված N 3'!C40</f>
        <v>Հորսի  իշխան Չեսար Օրբելյանի ապարանքի  ամրակայում, նորոգում, վերականգնում</v>
      </c>
      <c r="E48" s="224">
        <v>-20825</v>
      </c>
      <c r="F48" s="224">
        <f>+'Հավելված N 3'!D40</f>
        <v>-41346</v>
      </c>
    </row>
    <row r="49" spans="2:6" s="54" customFormat="1" ht="72">
      <c r="B49" s="217"/>
      <c r="C49" s="217"/>
      <c r="D49" s="208" t="s">
        <v>344</v>
      </c>
      <c r="E49" s="220">
        <f>+E51+E53+E55</f>
        <v>-15000</v>
      </c>
      <c r="F49" s="220">
        <f>+F51+F53+F55</f>
        <v>-28675</v>
      </c>
    </row>
    <row r="50" spans="2:6" s="54" customFormat="1">
      <c r="B50" s="217"/>
      <c r="C50" s="217"/>
      <c r="D50" s="70" t="s">
        <v>343</v>
      </c>
      <c r="E50" s="55"/>
      <c r="F50" s="55"/>
    </row>
    <row r="51" spans="2:6" s="54" customFormat="1" ht="18">
      <c r="B51" s="55"/>
      <c r="C51" s="55"/>
      <c r="D51" s="221" t="s">
        <v>48</v>
      </c>
      <c r="E51" s="222">
        <f>+E52</f>
        <v>-15000</v>
      </c>
      <c r="F51" s="222">
        <f>+F52</f>
        <v>-15000</v>
      </c>
    </row>
    <row r="52" spans="2:6" s="54" customFormat="1" ht="52.2">
      <c r="B52" s="223"/>
      <c r="C52" s="223"/>
      <c r="D52" s="190" t="str">
        <f>+'Հավելված N 3'!C44</f>
        <v>Պատմական Երվանդաշատ մայրաքաղաքի հնագիտական գեոռադարային ուսումնասիրություն</v>
      </c>
      <c r="E52" s="224">
        <v>-15000</v>
      </c>
      <c r="F52" s="224">
        <f>+'Հավելված N 3'!D44</f>
        <v>-15000</v>
      </c>
    </row>
    <row r="53" spans="2:6" s="54" customFormat="1" ht="18">
      <c r="B53" s="55"/>
      <c r="C53" s="55"/>
      <c r="D53" s="221" t="s">
        <v>193</v>
      </c>
      <c r="E53" s="222">
        <f>+E54</f>
        <v>0</v>
      </c>
      <c r="F53" s="222">
        <f>+F54</f>
        <v>-5500</v>
      </c>
    </row>
    <row r="54" spans="2:6" s="54" customFormat="1" ht="52.2">
      <c r="B54" s="223"/>
      <c r="C54" s="223"/>
      <c r="D54" s="190" t="str">
        <f>+'Հավելված N 3'!C46</f>
        <v>Հալիձոր բերդի համալիրի ամրակայման, նորոգման և վերականգնման գիտանախագծային փաստաթղթեր</v>
      </c>
      <c r="E54" s="224">
        <v>0</v>
      </c>
      <c r="F54" s="224">
        <f>+'Հավելված N 3'!D46</f>
        <v>-5500</v>
      </c>
    </row>
    <row r="55" spans="2:6" s="54" customFormat="1" ht="18">
      <c r="B55" s="55"/>
      <c r="C55" s="55"/>
      <c r="D55" s="221" t="s">
        <v>178</v>
      </c>
      <c r="E55" s="222">
        <f>+E56</f>
        <v>0</v>
      </c>
      <c r="F55" s="222">
        <f>+F56</f>
        <v>-8175</v>
      </c>
    </row>
    <row r="56" spans="2:6" s="54" customFormat="1" ht="52.2">
      <c r="B56" s="223"/>
      <c r="C56" s="223"/>
      <c r="D56" s="190" t="str">
        <f>+'Հավելված N 3'!C48</f>
        <v>Կավարտ գյուղի հունական եկեղեցու  ամրակայման, նորոգման և վերականգնման գիտանախագծային փաստաթղթեր</v>
      </c>
      <c r="E56" s="224">
        <v>0</v>
      </c>
      <c r="F56" s="224">
        <f>+'Հավելված N 3'!D48</f>
        <v>-8175</v>
      </c>
    </row>
    <row r="57" spans="2:6" s="54" customFormat="1" ht="18.75" customHeight="1">
      <c r="B57" s="56">
        <v>1075</v>
      </c>
      <c r="C57" s="56">
        <v>32012</v>
      </c>
      <c r="D57" s="57" t="s">
        <v>307</v>
      </c>
      <c r="E57" s="145">
        <f>+E59</f>
        <v>960</v>
      </c>
      <c r="F57" s="145">
        <f>+F59</f>
        <v>960</v>
      </c>
    </row>
    <row r="58" spans="2:6" s="54" customFormat="1">
      <c r="B58" s="64"/>
      <c r="C58" s="64"/>
      <c r="D58" s="67" t="s">
        <v>16</v>
      </c>
      <c r="E58" s="147"/>
      <c r="F58" s="147"/>
    </row>
    <row r="59" spans="2:6" s="54" customFormat="1" ht="36">
      <c r="B59" s="41"/>
      <c r="C59" s="41"/>
      <c r="D59" s="42" t="s">
        <v>12</v>
      </c>
      <c r="E59" s="148">
        <f>+E61</f>
        <v>960</v>
      </c>
      <c r="F59" s="148">
        <f>+F61</f>
        <v>960</v>
      </c>
    </row>
    <row r="60" spans="2:6" s="54" customFormat="1">
      <c r="B60" s="55"/>
      <c r="C60" s="55"/>
      <c r="D60" s="52" t="s">
        <v>101</v>
      </c>
      <c r="E60" s="149"/>
      <c r="F60" s="149"/>
    </row>
    <row r="61" spans="2:6" s="54" customFormat="1" ht="18">
      <c r="B61" s="41"/>
      <c r="C61" s="41"/>
      <c r="D61" s="65" t="s">
        <v>49</v>
      </c>
      <c r="E61" s="150">
        <f>+E62</f>
        <v>960</v>
      </c>
      <c r="F61" s="150">
        <f>+F62</f>
        <v>960</v>
      </c>
    </row>
    <row r="62" spans="2:6" s="54" customFormat="1">
      <c r="B62" s="152"/>
      <c r="C62" s="152"/>
      <c r="D62" s="66" t="str">
        <f>+'Հավելված N 3'!C52</f>
        <v>«Հ. Թումանյանի թանգարան» ՊՈԱԿ</v>
      </c>
      <c r="E62" s="124">
        <f>+F62</f>
        <v>960</v>
      </c>
      <c r="F62" s="146">
        <f>+'Հավելված N 3'!D52</f>
        <v>960</v>
      </c>
    </row>
    <row r="63" spans="2:6" s="54" customFormat="1" ht="53.7" customHeight="1">
      <c r="B63" s="56">
        <v>1130</v>
      </c>
      <c r="C63" s="56">
        <v>31001</v>
      </c>
      <c r="D63" s="71" t="s">
        <v>356</v>
      </c>
      <c r="E63" s="145">
        <f>+E65</f>
        <v>0</v>
      </c>
      <c r="F63" s="145">
        <f>+F65</f>
        <v>5040</v>
      </c>
    </row>
    <row r="64" spans="2:6" s="54" customFormat="1">
      <c r="B64" s="64"/>
      <c r="C64" s="64"/>
      <c r="D64" s="67" t="s">
        <v>16</v>
      </c>
      <c r="E64" s="147"/>
      <c r="F64" s="147"/>
    </row>
    <row r="65" spans="2:7" s="54" customFormat="1" ht="36">
      <c r="B65" s="41"/>
      <c r="C65" s="41"/>
      <c r="D65" s="42" t="s">
        <v>12</v>
      </c>
      <c r="E65" s="148">
        <v>0</v>
      </c>
      <c r="F65" s="148">
        <f>+'Հավելված N 3'!D53</f>
        <v>5040</v>
      </c>
    </row>
    <row r="66" spans="2:7" s="54" customFormat="1" ht="54">
      <c r="B66" s="56">
        <v>1148</v>
      </c>
      <c r="C66" s="56">
        <v>32005</v>
      </c>
      <c r="D66" s="71" t="s">
        <v>278</v>
      </c>
      <c r="E66" s="145">
        <f>+E68</f>
        <v>0</v>
      </c>
      <c r="F66" s="145">
        <f>+F68</f>
        <v>12274.5</v>
      </c>
    </row>
    <row r="67" spans="2:7" s="54" customFormat="1">
      <c r="B67" s="64"/>
      <c r="C67" s="64"/>
      <c r="D67" s="67" t="s">
        <v>16</v>
      </c>
      <c r="E67" s="147"/>
      <c r="F67" s="147"/>
    </row>
    <row r="68" spans="2:7" s="54" customFormat="1" ht="36">
      <c r="B68" s="41"/>
      <c r="C68" s="41"/>
      <c r="D68" s="42" t="s">
        <v>12</v>
      </c>
      <c r="E68" s="148">
        <f>+E70</f>
        <v>0</v>
      </c>
      <c r="F68" s="148">
        <f>+F70</f>
        <v>12274.5</v>
      </c>
    </row>
    <row r="69" spans="2:7" s="54" customFormat="1">
      <c r="B69" s="55"/>
      <c r="C69" s="55"/>
      <c r="D69" s="52" t="s">
        <v>101</v>
      </c>
      <c r="E69" s="149"/>
      <c r="F69" s="149"/>
    </row>
    <row r="70" spans="2:7" s="54" customFormat="1" ht="18">
      <c r="B70" s="41"/>
      <c r="C70" s="41"/>
      <c r="D70" s="65" t="s">
        <v>49</v>
      </c>
      <c r="E70" s="150">
        <f>+E71</f>
        <v>0</v>
      </c>
      <c r="F70" s="150">
        <f>+F71</f>
        <v>12274.5</v>
      </c>
    </row>
    <row r="71" spans="2:7" s="54" customFormat="1" ht="34.799999999999997">
      <c r="B71" s="163"/>
      <c r="C71" s="163"/>
      <c r="D71" s="66" t="str">
        <f>+'Հավելված N 3'!C57</f>
        <v>«Տիգրան Պետրոսյանի անվան շախմատի-տուն մարզադպրոց» ՊՈԱԿ</v>
      </c>
      <c r="E71" s="124">
        <v>0</v>
      </c>
      <c r="F71" s="146">
        <f>+'Հավելված N 3'!D57</f>
        <v>12274.5</v>
      </c>
      <c r="G71" s="361"/>
    </row>
    <row r="72" spans="2:7" s="54" customFormat="1" ht="54">
      <c r="B72" s="56">
        <v>1163</v>
      </c>
      <c r="C72" s="56">
        <v>12001</v>
      </c>
      <c r="D72" s="71" t="s">
        <v>289</v>
      </c>
      <c r="E72" s="145">
        <f>+E74+E78</f>
        <v>-239793.5</v>
      </c>
      <c r="F72" s="145">
        <f>+F74+F78</f>
        <v>-550936.90000000014</v>
      </c>
    </row>
    <row r="73" spans="2:7" s="54" customFormat="1">
      <c r="B73" s="64"/>
      <c r="C73" s="64"/>
      <c r="D73" s="67" t="s">
        <v>16</v>
      </c>
      <c r="E73" s="147"/>
      <c r="F73" s="147"/>
    </row>
    <row r="74" spans="2:7" s="54" customFormat="1" ht="36">
      <c r="B74" s="41"/>
      <c r="C74" s="41"/>
      <c r="D74" s="42" t="s">
        <v>12</v>
      </c>
      <c r="E74" s="148">
        <f>+E76</f>
        <v>0</v>
      </c>
      <c r="F74" s="148">
        <f>+F76</f>
        <v>16138</v>
      </c>
    </row>
    <row r="75" spans="2:7" s="54" customFormat="1">
      <c r="B75" s="55"/>
      <c r="C75" s="55"/>
      <c r="D75" s="52" t="s">
        <v>101</v>
      </c>
      <c r="E75" s="149"/>
      <c r="F75" s="149"/>
    </row>
    <row r="76" spans="2:7" s="54" customFormat="1" ht="18">
      <c r="B76" s="41"/>
      <c r="C76" s="41"/>
      <c r="D76" s="65" t="s">
        <v>191</v>
      </c>
      <c r="E76" s="150">
        <f>+E77</f>
        <v>0</v>
      </c>
      <c r="F76" s="150">
        <f>+F77</f>
        <v>16138</v>
      </c>
    </row>
    <row r="77" spans="2:7" s="54" customFormat="1">
      <c r="B77" s="163"/>
      <c r="C77" s="163"/>
      <c r="D77" s="66" t="str">
        <f>+'Հավելված N 3'!C61</f>
        <v>Անի համայնքի Մարալիկ քաղաքի մարզադաշտ</v>
      </c>
      <c r="E77" s="124">
        <v>0</v>
      </c>
      <c r="F77" s="146">
        <f>+'Հավելված N 3'!D61</f>
        <v>16138</v>
      </c>
    </row>
    <row r="78" spans="2:7" s="54" customFormat="1" ht="18">
      <c r="B78" s="41"/>
      <c r="C78" s="41"/>
      <c r="D78" s="42" t="s">
        <v>168</v>
      </c>
      <c r="E78" s="148">
        <f>+E80</f>
        <v>-239793.5</v>
      </c>
      <c r="F78" s="148">
        <f>+F80</f>
        <v>-567074.90000000014</v>
      </c>
    </row>
    <row r="79" spans="2:7" s="54" customFormat="1">
      <c r="B79" s="55"/>
      <c r="C79" s="55"/>
      <c r="D79" s="52" t="s">
        <v>101</v>
      </c>
      <c r="E79" s="149"/>
      <c r="F79" s="149"/>
    </row>
    <row r="80" spans="2:7" s="54" customFormat="1" ht="18">
      <c r="B80" s="41"/>
      <c r="C80" s="41"/>
      <c r="D80" s="65" t="s">
        <v>191</v>
      </c>
      <c r="E80" s="150">
        <f>+E81</f>
        <v>-239793.5</v>
      </c>
      <c r="F80" s="150">
        <f>+F81</f>
        <v>-567074.90000000014</v>
      </c>
    </row>
    <row r="81" spans="2:6" s="54" customFormat="1" ht="34.799999999999997">
      <c r="B81" s="163"/>
      <c r="C81" s="163"/>
      <c r="D81" s="66" t="str">
        <f>+'Հավելված N 3'!C62</f>
        <v xml:space="preserve">Արթուր Ալեքսանյանի անվան նոր սպորտային համալիր </v>
      </c>
      <c r="E81" s="124">
        <f>-239065.7-727.8</f>
        <v>-239793.5</v>
      </c>
      <c r="F81" s="146">
        <f>+'Հավելված N 3'!D62</f>
        <v>-567074.90000000014</v>
      </c>
    </row>
    <row r="82" spans="2:6" s="54" customFormat="1" ht="18">
      <c r="B82" s="56">
        <v>1163</v>
      </c>
      <c r="C82" s="56">
        <v>32001</v>
      </c>
      <c r="D82" s="71" t="s">
        <v>197</v>
      </c>
      <c r="E82" s="145">
        <f>+E84</f>
        <v>-539354.6</v>
      </c>
      <c r="F82" s="145">
        <f>+F84</f>
        <v>-621286.80000000005</v>
      </c>
    </row>
    <row r="83" spans="2:6" s="54" customFormat="1">
      <c r="B83" s="64"/>
      <c r="C83" s="64"/>
      <c r="D83" s="67" t="s">
        <v>16</v>
      </c>
      <c r="E83" s="147"/>
      <c r="F83" s="147"/>
    </row>
    <row r="84" spans="2:6" s="54" customFormat="1" ht="18">
      <c r="B84" s="41"/>
      <c r="C84" s="41"/>
      <c r="D84" s="42" t="s">
        <v>168</v>
      </c>
      <c r="E84" s="148">
        <f>+E86+E89+E92+E94+E96+E98</f>
        <v>-539354.6</v>
      </c>
      <c r="F84" s="148">
        <f>+F86+F89+F92+F94+F96+F98</f>
        <v>-621286.80000000005</v>
      </c>
    </row>
    <row r="85" spans="2:6" s="54" customFormat="1">
      <c r="B85" s="55"/>
      <c r="C85" s="55"/>
      <c r="D85" s="52" t="s">
        <v>101</v>
      </c>
      <c r="E85" s="149"/>
      <c r="F85" s="149"/>
    </row>
    <row r="86" spans="2:6" s="54" customFormat="1" ht="18">
      <c r="B86" s="41"/>
      <c r="C86" s="41"/>
      <c r="D86" s="65" t="s">
        <v>49</v>
      </c>
      <c r="E86" s="150">
        <f>+E87+E88</f>
        <v>-204872.2</v>
      </c>
      <c r="F86" s="150">
        <f>+F87+F88</f>
        <v>-168674.6</v>
      </c>
    </row>
    <row r="87" spans="2:6" s="54" customFormat="1">
      <c r="B87" s="469"/>
      <c r="C87" s="469"/>
      <c r="D87" s="66" t="str">
        <f>+'Հավելված N 3'!C66</f>
        <v>Արթուր Աբրահամի անվան մարզահամալիր</v>
      </c>
      <c r="E87" s="124">
        <f>-120000-3600-720</f>
        <v>-124320</v>
      </c>
      <c r="F87" s="146">
        <f>+'Հավելված N 3'!D66</f>
        <v>-103600</v>
      </c>
    </row>
    <row r="88" spans="2:6" s="54" customFormat="1" ht="52.2">
      <c r="B88" s="470"/>
      <c r="C88" s="470"/>
      <c r="D88" s="66" t="str">
        <f>+'Հավելված N 3'!C67</f>
        <v>«Երևանի օլիմպիական հերթափոխի պետական մարզական քոլեջ» ՊՈԱԿ (բռնցքամարտի և ձյուդոյի մարզադահլիճ)</v>
      </c>
      <c r="E88" s="124">
        <f>-77753.1-2332.6-466.5</f>
        <v>-80552.200000000012</v>
      </c>
      <c r="F88" s="146">
        <f>+'Հավելված N 3'!D67</f>
        <v>-65074.600000000006</v>
      </c>
    </row>
    <row r="89" spans="2:6" s="54" customFormat="1" ht="18">
      <c r="B89" s="41"/>
      <c r="C89" s="41"/>
      <c r="D89" s="65" t="s">
        <v>180</v>
      </c>
      <c r="E89" s="150">
        <f>+E90+E91</f>
        <v>-39462.400000000001</v>
      </c>
      <c r="F89" s="150">
        <f>+F90+F91</f>
        <v>-60829.100000000006</v>
      </c>
    </row>
    <row r="90" spans="2:6" s="54" customFormat="1" ht="34.799999999999997">
      <c r="B90" s="469"/>
      <c r="C90" s="469"/>
      <c r="D90" s="66" t="str">
        <f>+'Հավելված N 3'!C69</f>
        <v>Ալագյազ համայնքում Մալխաս և Ռոման Ամոյանների անվան նոր մարզադպրոց</v>
      </c>
      <c r="E90" s="124">
        <f>-33322.8-999.7-199.9</f>
        <v>-34522.400000000001</v>
      </c>
      <c r="F90" s="146">
        <f>+'Հավելված N 3'!D69</f>
        <v>-65074.600000000006</v>
      </c>
    </row>
    <row r="91" spans="2:6" s="54" customFormat="1">
      <c r="B91" s="470"/>
      <c r="C91" s="470"/>
      <c r="D91" s="66" t="str">
        <f>+'Հավելված N 3'!C70</f>
        <v>Մարզական համալիր Աշտարակում</v>
      </c>
      <c r="E91" s="124">
        <f>-4700-240</f>
        <v>-4940</v>
      </c>
      <c r="F91" s="146">
        <f>+'Հավելված N 3'!D70</f>
        <v>4245.5</v>
      </c>
    </row>
    <row r="92" spans="2:6" s="54" customFormat="1" ht="18">
      <c r="B92" s="41"/>
      <c r="C92" s="41"/>
      <c r="D92" s="65" t="s">
        <v>181</v>
      </c>
      <c r="E92" s="150">
        <f>+E93</f>
        <v>0</v>
      </c>
      <c r="F92" s="150">
        <f>+F93</f>
        <v>9185.7000000000007</v>
      </c>
    </row>
    <row r="93" spans="2:6" s="54" customFormat="1">
      <c r="B93" s="163"/>
      <c r="C93" s="163"/>
      <c r="D93" s="66" t="str">
        <f>+'Հավելված N 3'!C72</f>
        <v>Մարզական համալիր Արարատում</v>
      </c>
      <c r="E93" s="124">
        <v>0</v>
      </c>
      <c r="F93" s="146">
        <f>+'Հավելված N 3'!D72</f>
        <v>9185.7000000000007</v>
      </c>
    </row>
    <row r="94" spans="2:6" s="54" customFormat="1" ht="18">
      <c r="B94" s="41"/>
      <c r="C94" s="41"/>
      <c r="D94" s="65" t="s">
        <v>48</v>
      </c>
      <c r="E94" s="150">
        <f>+E95</f>
        <v>-4940</v>
      </c>
      <c r="F94" s="150">
        <f>+F95</f>
        <v>4245.5</v>
      </c>
    </row>
    <row r="95" spans="2:6" s="54" customFormat="1">
      <c r="B95" s="163"/>
      <c r="C95" s="163"/>
      <c r="D95" s="66" t="str">
        <f>+'Հավելված N 3'!C74</f>
        <v>Մարզական համալիր Արմավիրում</v>
      </c>
      <c r="E95" s="124">
        <f>-4700-240</f>
        <v>-4940</v>
      </c>
      <c r="F95" s="146">
        <f>+'Հավելված N 3'!D74</f>
        <v>4245.5</v>
      </c>
    </row>
    <row r="96" spans="2:6" s="54" customFormat="1" ht="18">
      <c r="B96" s="41"/>
      <c r="C96" s="41"/>
      <c r="D96" s="65" t="s">
        <v>196</v>
      </c>
      <c r="E96" s="150">
        <f>+E97</f>
        <v>-145040</v>
      </c>
      <c r="F96" s="150">
        <f>+F97</f>
        <v>-198014.3</v>
      </c>
    </row>
    <row r="97" spans="2:6" s="54" customFormat="1">
      <c r="B97" s="163"/>
      <c r="C97" s="163"/>
      <c r="D97" s="66" t="str">
        <f>+'Հավելված N 3'!C76</f>
        <v>Մարզական համալիր Եղեգնաձորում</v>
      </c>
      <c r="E97" s="124">
        <f>-140000-4200-840</f>
        <v>-145040</v>
      </c>
      <c r="F97" s="146">
        <f>+'Հավելված N 3'!D76</f>
        <v>-198014.3</v>
      </c>
    </row>
    <row r="98" spans="2:6" s="54" customFormat="1" ht="18">
      <c r="B98" s="41"/>
      <c r="C98" s="41"/>
      <c r="D98" s="65" t="s">
        <v>188</v>
      </c>
      <c r="E98" s="150">
        <f>+E99</f>
        <v>-145040</v>
      </c>
      <c r="F98" s="150">
        <f>+F99</f>
        <v>-207200</v>
      </c>
    </row>
    <row r="99" spans="2:6" s="54" customFormat="1">
      <c r="B99" s="163"/>
      <c r="C99" s="163"/>
      <c r="D99" s="66" t="str">
        <f>+'Հավելված N 3'!C78</f>
        <v>Մարզական համալիր Բերդում</v>
      </c>
      <c r="E99" s="124">
        <f>-140000-4200-840</f>
        <v>-145040</v>
      </c>
      <c r="F99" s="146">
        <f>+'Հավելված N 3'!D78</f>
        <v>-207200</v>
      </c>
    </row>
    <row r="100" spans="2:6" s="54" customFormat="1" ht="36">
      <c r="B100" s="56">
        <v>1163</v>
      </c>
      <c r="C100" s="56">
        <v>32003</v>
      </c>
      <c r="D100" s="71" t="s">
        <v>398</v>
      </c>
      <c r="E100" s="145">
        <f>+E102</f>
        <v>-93026.5</v>
      </c>
      <c r="F100" s="145">
        <f>+F102</f>
        <v>-93026.599999999991</v>
      </c>
    </row>
    <row r="101" spans="2:6" s="54" customFormat="1">
      <c r="B101" s="64"/>
      <c r="C101" s="64"/>
      <c r="D101" s="67" t="s">
        <v>16</v>
      </c>
      <c r="E101" s="147"/>
      <c r="F101" s="147"/>
    </row>
    <row r="102" spans="2:6" s="54" customFormat="1" ht="36">
      <c r="B102" s="41"/>
      <c r="C102" s="41"/>
      <c r="D102" s="42" t="s">
        <v>12</v>
      </c>
      <c r="E102" s="148">
        <f>+E104</f>
        <v>-93026.5</v>
      </c>
      <c r="F102" s="148">
        <f>+F104</f>
        <v>-93026.599999999991</v>
      </c>
    </row>
    <row r="103" spans="2:6" s="54" customFormat="1">
      <c r="B103" s="55"/>
      <c r="C103" s="55"/>
      <c r="D103" s="52" t="s">
        <v>101</v>
      </c>
      <c r="E103" s="149"/>
      <c r="F103" s="149"/>
    </row>
    <row r="104" spans="2:6" s="54" customFormat="1" ht="18">
      <c r="B104" s="41"/>
      <c r="C104" s="41"/>
      <c r="D104" s="65" t="s">
        <v>62</v>
      </c>
      <c r="E104" s="150">
        <f>+E105</f>
        <v>-93026.5</v>
      </c>
      <c r="F104" s="150">
        <f>+F105</f>
        <v>-93026.599999999991</v>
      </c>
    </row>
    <row r="105" spans="2:6" s="54" customFormat="1" ht="37.799999999999997" customHeight="1">
      <c r="B105" s="163"/>
      <c r="C105" s="163"/>
      <c r="D105" s="66" t="str">
        <f>+'Հավելված N 3'!C82</f>
        <v>ՀՀ Կոտայքի մարզի Նաիրի համայնքում Զովունի գյուղում թեթև կոնստրուկցիաներով մարզադահլիճ</v>
      </c>
      <c r="E105" s="124">
        <v>-93026.5</v>
      </c>
      <c r="F105" s="146">
        <f>+'Հավելված N 3'!D82</f>
        <v>-93026.599999999991</v>
      </c>
    </row>
    <row r="106" spans="2:6" s="54" customFormat="1" ht="54">
      <c r="B106" s="56">
        <v>1163</v>
      </c>
      <c r="C106" s="56">
        <v>32006</v>
      </c>
      <c r="D106" s="71" t="s">
        <v>393</v>
      </c>
      <c r="E106" s="145">
        <f>+E108</f>
        <v>0</v>
      </c>
      <c r="F106" s="145">
        <f>+F108</f>
        <v>-200000</v>
      </c>
    </row>
    <row r="107" spans="2:6" s="54" customFormat="1">
      <c r="B107" s="64"/>
      <c r="C107" s="64"/>
      <c r="D107" s="67" t="s">
        <v>16</v>
      </c>
      <c r="E107" s="147"/>
      <c r="F107" s="147"/>
    </row>
    <row r="108" spans="2:6" s="54" customFormat="1" ht="18">
      <c r="B108" s="41"/>
      <c r="C108" s="41"/>
      <c r="D108" s="42" t="s">
        <v>168</v>
      </c>
      <c r="E108" s="148">
        <f>+E110</f>
        <v>0</v>
      </c>
      <c r="F108" s="148">
        <f>+F110</f>
        <v>-200000</v>
      </c>
    </row>
    <row r="109" spans="2:6" s="54" customFormat="1">
      <c r="B109" s="55"/>
      <c r="C109" s="55"/>
      <c r="D109" s="52" t="s">
        <v>101</v>
      </c>
      <c r="E109" s="149"/>
      <c r="F109" s="149"/>
    </row>
    <row r="110" spans="2:6" s="54" customFormat="1" ht="18">
      <c r="B110" s="41"/>
      <c r="C110" s="41"/>
      <c r="D110" s="65" t="s">
        <v>188</v>
      </c>
      <c r="E110" s="150">
        <f>+E111</f>
        <v>0</v>
      </c>
      <c r="F110" s="150">
        <f>+F111</f>
        <v>-200000</v>
      </c>
    </row>
    <row r="111" spans="2:6" s="54" customFormat="1" ht="34.799999999999997">
      <c r="B111" s="163"/>
      <c r="C111" s="163"/>
      <c r="D111" s="66" t="str">
        <f>+'Հավելված N 3'!C86</f>
        <v>Ֆուտբոլի մարզադաշտ Իջևանում ՈՒԵՖԱ ստանդարտներով</v>
      </c>
      <c r="E111" s="124">
        <v>0</v>
      </c>
      <c r="F111" s="146">
        <f>+'Հավելված N 3'!D86</f>
        <v>-200000</v>
      </c>
    </row>
    <row r="112" spans="2:6" s="54" customFormat="1" ht="54">
      <c r="B112" s="56">
        <v>1168</v>
      </c>
      <c r="C112" s="56">
        <v>32001</v>
      </c>
      <c r="D112" s="71" t="s">
        <v>151</v>
      </c>
      <c r="E112" s="145">
        <f>+E114</f>
        <v>-187628.3</v>
      </c>
      <c r="F112" s="145">
        <f>+F114</f>
        <v>-128040.4</v>
      </c>
    </row>
    <row r="113" spans="2:6" s="54" customFormat="1">
      <c r="B113" s="64"/>
      <c r="C113" s="64"/>
      <c r="D113" s="67" t="s">
        <v>16</v>
      </c>
      <c r="E113" s="147"/>
      <c r="F113" s="147"/>
    </row>
    <row r="114" spans="2:6" s="54" customFormat="1" ht="36">
      <c r="B114" s="41"/>
      <c r="C114" s="41"/>
      <c r="D114" s="42" t="s">
        <v>12</v>
      </c>
      <c r="E114" s="148">
        <f>+E116+E119</f>
        <v>-187628.3</v>
      </c>
      <c r="F114" s="148">
        <f>+F116+F119</f>
        <v>-128040.4</v>
      </c>
    </row>
    <row r="115" spans="2:6" s="54" customFormat="1">
      <c r="B115" s="55"/>
      <c r="C115" s="55"/>
      <c r="D115" s="52" t="s">
        <v>101</v>
      </c>
      <c r="E115" s="149"/>
      <c r="F115" s="149"/>
    </row>
    <row r="116" spans="2:6" s="54" customFormat="1" ht="18">
      <c r="B116" s="41"/>
      <c r="C116" s="41"/>
      <c r="D116" s="65" t="s">
        <v>49</v>
      </c>
      <c r="E116" s="150">
        <f>+E117+E118</f>
        <v>-78848.3</v>
      </c>
      <c r="F116" s="150">
        <f>+F117+F118</f>
        <v>-42640.399999999994</v>
      </c>
    </row>
    <row r="117" spans="2:6" s="54" customFormat="1" ht="34.799999999999997">
      <c r="B117" s="469"/>
      <c r="C117" s="469"/>
      <c r="D117" s="66" t="str">
        <f>+'Հավելված N 3'!C90</f>
        <v>«Հայաստանի պետական սիմֆոնիկ նվագախումբ» ՊՈԱԿ</v>
      </c>
      <c r="E117" s="124">
        <v>-78848.3</v>
      </c>
      <c r="F117" s="146">
        <f>+'Հավելված N 3'!D90</f>
        <v>-62640.399999999994</v>
      </c>
    </row>
    <row r="118" spans="2:6" s="54" customFormat="1" ht="87">
      <c r="B118" s="470"/>
      <c r="C118" s="470"/>
      <c r="D118" s="66" t="str">
        <f>+'Հավելված N 3'!C91</f>
        <v>Ա. Սպենդիարյանի անվան օպերայի և բալետի ազգային ակադեմիական թատրոնի և «Ա. Խաչատրյան» համերգասրահի ինժեներական ենթակառուցվածքների և տանիքի հիմնանորոգում</v>
      </c>
      <c r="E118" s="124">
        <v>0</v>
      </c>
      <c r="F118" s="146">
        <f>+'Հավելված N 3'!D91</f>
        <v>20000</v>
      </c>
    </row>
    <row r="119" spans="2:6" s="54" customFormat="1" ht="18">
      <c r="B119" s="41"/>
      <c r="C119" s="41"/>
      <c r="D119" s="65" t="s">
        <v>193</v>
      </c>
      <c r="E119" s="150">
        <f>+E120</f>
        <v>-108780</v>
      </c>
      <c r="F119" s="150">
        <f>+F120</f>
        <v>-85400</v>
      </c>
    </row>
    <row r="120" spans="2:6" s="54" customFormat="1" ht="34.799999999999997">
      <c r="B120" s="163"/>
      <c r="C120" s="163"/>
      <c r="D120" s="66" t="str">
        <f>+'Հավելված N 3'!C93</f>
        <v>«Գորիսի Վ․Վաղարշյանի անվան դրամատիկական թատրոն» ՊՈԱԿ</v>
      </c>
      <c r="E120" s="124">
        <v>-108780</v>
      </c>
      <c r="F120" s="146">
        <f>+'Հավելված N 3'!D93</f>
        <v>-85400</v>
      </c>
    </row>
    <row r="121" spans="2:6" s="54" customFormat="1" ht="54">
      <c r="B121" s="56">
        <v>1168</v>
      </c>
      <c r="C121" s="56">
        <v>32007</v>
      </c>
      <c r="D121" s="57" t="s">
        <v>250</v>
      </c>
      <c r="E121" s="145">
        <f>+E123</f>
        <v>0</v>
      </c>
      <c r="F121" s="145">
        <f>+F123</f>
        <v>804102.4</v>
      </c>
    </row>
    <row r="122" spans="2:6" s="54" customFormat="1">
      <c r="B122" s="64"/>
      <c r="C122" s="64"/>
      <c r="D122" s="67" t="s">
        <v>16</v>
      </c>
      <c r="E122" s="147"/>
      <c r="F122" s="147"/>
    </row>
    <row r="123" spans="2:6" s="54" customFormat="1" ht="36">
      <c r="B123" s="41"/>
      <c r="C123" s="41"/>
      <c r="D123" s="42" t="s">
        <v>12</v>
      </c>
      <c r="E123" s="148">
        <f>+E125</f>
        <v>0</v>
      </c>
      <c r="F123" s="148">
        <f>+F125</f>
        <v>804102.4</v>
      </c>
    </row>
    <row r="124" spans="2:6" s="54" customFormat="1">
      <c r="B124" s="55"/>
      <c r="C124" s="55"/>
      <c r="D124" s="52" t="s">
        <v>101</v>
      </c>
      <c r="E124" s="149"/>
      <c r="F124" s="149"/>
    </row>
    <row r="125" spans="2:6" s="54" customFormat="1" ht="18">
      <c r="B125" s="41"/>
      <c r="C125" s="41"/>
      <c r="D125" s="65" t="s">
        <v>49</v>
      </c>
      <c r="E125" s="150">
        <f>SUM(E126:E131)</f>
        <v>0</v>
      </c>
      <c r="F125" s="150">
        <f>SUM(F126:F131)</f>
        <v>804102.4</v>
      </c>
    </row>
    <row r="126" spans="2:6" s="54" customFormat="1" ht="52.2">
      <c r="B126" s="462"/>
      <c r="C126" s="462"/>
      <c r="D126" s="66" t="str">
        <f>+'Հավելված N 3'!C97</f>
        <v>«Հայաստանի ազգային ֆիլհարմոնիկ նվագախումբ» ՊՈԱԿ («Արամ Խաչատրյան» համերգասրահ)</v>
      </c>
      <c r="E126" s="124">
        <v>0</v>
      </c>
      <c r="F126" s="146">
        <f>+'Հավելված N 3'!D97</f>
        <v>476902.1</v>
      </c>
    </row>
    <row r="127" spans="2:6" s="54" customFormat="1" ht="34.799999999999997">
      <c r="B127" s="464"/>
      <c r="C127" s="464"/>
      <c r="D127" s="66" t="str">
        <f>+'Հավելված N 3'!C98</f>
        <v>«Գ. Սունդուկյանի անվան ազգային թատրոն» ՊՈԱԿ</v>
      </c>
      <c r="E127" s="124">
        <v>0</v>
      </c>
      <c r="F127" s="146">
        <f>+'Հավելված N 3'!D98</f>
        <v>61860</v>
      </c>
    </row>
    <row r="128" spans="2:6" s="54" customFormat="1" ht="34.799999999999997">
      <c r="B128" s="464"/>
      <c r="C128" s="464"/>
      <c r="D128" s="66" t="str">
        <f>+'Հավելված N 3'!C99</f>
        <v>«Երևանի կամերային պետական թատրոն» ՊՈԱԿ</v>
      </c>
      <c r="E128" s="124">
        <v>0</v>
      </c>
      <c r="F128" s="146">
        <f>+'Հավելված N 3'!D99</f>
        <v>8144.9</v>
      </c>
    </row>
    <row r="129" spans="2:6" s="54" customFormat="1" ht="34.799999999999997">
      <c r="B129" s="464"/>
      <c r="C129" s="464"/>
      <c r="D129" s="66" t="str">
        <f>+'Հավելված N 3'!C100</f>
        <v>«Արտաշատի Ա. Խարազյանի անվան պետական դրամատիկական թատրոն» ՊՈԱԿ</v>
      </c>
      <c r="E129" s="124">
        <v>0</v>
      </c>
      <c r="F129" s="146">
        <f>+'Հավելված N 3'!D100</f>
        <v>102326.6</v>
      </c>
    </row>
    <row r="130" spans="2:6" s="54" customFormat="1" ht="34.799999999999997">
      <c r="B130" s="464"/>
      <c r="C130" s="464"/>
      <c r="D130" s="66" t="str">
        <f>+'Հավելված N 3'!C101</f>
        <v>«Գյումրու Վ. Աճեմյանի անվան պետական դրամատիկական թատրոն» ՊՈԱԿ</v>
      </c>
      <c r="E130" s="124">
        <v>0</v>
      </c>
      <c r="F130" s="146">
        <f>+'Հավելված N 3'!D101</f>
        <v>137138.80000000002</v>
      </c>
    </row>
    <row r="131" spans="2:6" s="54" customFormat="1" ht="34.799999999999997">
      <c r="B131" s="463"/>
      <c r="C131" s="463"/>
      <c r="D131" s="66" t="str">
        <f>+'Հավելված N 3'!C102</f>
        <v>«Սոս Սարգսյանի անվան համազգային թատրոն» ՊՈԱԿ</v>
      </c>
      <c r="E131" s="124">
        <v>0</v>
      </c>
      <c r="F131" s="146">
        <f>+'Հավելված N 3'!D102</f>
        <v>17730</v>
      </c>
    </row>
    <row r="132" spans="2:6" s="54" customFormat="1" ht="36">
      <c r="B132" s="56">
        <v>1183</v>
      </c>
      <c r="C132" s="56">
        <v>32001</v>
      </c>
      <c r="D132" s="71" t="s">
        <v>284</v>
      </c>
      <c r="E132" s="145">
        <f>+E134+E138</f>
        <v>50163</v>
      </c>
      <c r="F132" s="145">
        <f>+F134+F138</f>
        <v>111856.90000000001</v>
      </c>
    </row>
    <row r="133" spans="2:6" s="54" customFormat="1">
      <c r="B133" s="64"/>
      <c r="C133" s="64"/>
      <c r="D133" s="67" t="s">
        <v>16</v>
      </c>
      <c r="E133" s="147"/>
      <c r="F133" s="147"/>
    </row>
    <row r="134" spans="2:6" s="54" customFormat="1" ht="36">
      <c r="B134" s="41"/>
      <c r="C134" s="41"/>
      <c r="D134" s="42" t="s">
        <v>12</v>
      </c>
      <c r="E134" s="148">
        <f>+E136</f>
        <v>0</v>
      </c>
      <c r="F134" s="148">
        <f>+F136</f>
        <v>11531</v>
      </c>
    </row>
    <row r="135" spans="2:6" s="54" customFormat="1">
      <c r="B135" s="55"/>
      <c r="C135" s="55"/>
      <c r="D135" s="52" t="s">
        <v>101</v>
      </c>
      <c r="E135" s="149"/>
      <c r="F135" s="149"/>
    </row>
    <row r="136" spans="2:6" s="54" customFormat="1" ht="18">
      <c r="B136" s="41"/>
      <c r="C136" s="41"/>
      <c r="D136" s="65" t="s">
        <v>49</v>
      </c>
      <c r="E136" s="150">
        <f>+E137</f>
        <v>0</v>
      </c>
      <c r="F136" s="150">
        <f>+F137</f>
        <v>11531</v>
      </c>
    </row>
    <row r="137" spans="2:6" s="54" customFormat="1">
      <c r="B137" s="152"/>
      <c r="C137" s="152"/>
      <c r="D137" s="66" t="str">
        <f>+'Հավելված N 3'!C106</f>
        <v xml:space="preserve">«Մխիթար Սեբաստացի» կրթահամալիր ՊՈԱԿ </v>
      </c>
      <c r="E137" s="124">
        <v>0</v>
      </c>
      <c r="F137" s="146">
        <f>+'Հավելված N 3'!D106</f>
        <v>11531</v>
      </c>
    </row>
    <row r="138" spans="2:6" s="54" customFormat="1" ht="18">
      <c r="B138" s="41"/>
      <c r="C138" s="41"/>
      <c r="D138" s="42" t="s">
        <v>336</v>
      </c>
      <c r="E138" s="148">
        <f>+E140</f>
        <v>50163</v>
      </c>
      <c r="F138" s="148">
        <f>+F140</f>
        <v>100325.90000000001</v>
      </c>
    </row>
    <row r="139" spans="2:6" s="54" customFormat="1">
      <c r="B139" s="55"/>
      <c r="C139" s="55"/>
      <c r="D139" s="52" t="s">
        <v>101</v>
      </c>
      <c r="E139" s="149"/>
      <c r="F139" s="149"/>
    </row>
    <row r="140" spans="2:6" s="54" customFormat="1" ht="18">
      <c r="B140" s="41"/>
      <c r="C140" s="41"/>
      <c r="D140" s="65" t="s">
        <v>180</v>
      </c>
      <c r="E140" s="150">
        <f>+E141</f>
        <v>50163</v>
      </c>
      <c r="F140" s="150">
        <f>+F141</f>
        <v>100325.90000000001</v>
      </c>
    </row>
    <row r="141" spans="2:6" s="54" customFormat="1" ht="34.799999999999997">
      <c r="B141" s="152"/>
      <c r="C141" s="152"/>
      <c r="D141" s="66" t="str">
        <f>+'Հավելված N 3'!C108</f>
        <v>«Ապարանի Հ. Ոսկանյանի անվան թիվ 2 հիմնական դպրոց» ՊՈԱԿ</v>
      </c>
      <c r="E141" s="124">
        <f>+ROUND(F141*0.5,1)</f>
        <v>50163</v>
      </c>
      <c r="F141" s="146">
        <f>+'Հավելված N 3'!D108</f>
        <v>100325.90000000001</v>
      </c>
    </row>
    <row r="142" spans="2:6" s="54" customFormat="1" ht="54">
      <c r="B142" s="56">
        <v>1183</v>
      </c>
      <c r="C142" s="56">
        <v>32004</v>
      </c>
      <c r="D142" s="68" t="s">
        <v>320</v>
      </c>
      <c r="E142" s="145">
        <f>+E144</f>
        <v>0</v>
      </c>
      <c r="F142" s="145">
        <f>+F144</f>
        <v>13202.9</v>
      </c>
    </row>
    <row r="143" spans="2:6" s="54" customFormat="1">
      <c r="B143" s="64"/>
      <c r="C143" s="64"/>
      <c r="D143" s="67" t="s">
        <v>16</v>
      </c>
      <c r="E143" s="147"/>
      <c r="F143" s="147"/>
    </row>
    <row r="144" spans="2:6" s="54" customFormat="1" ht="36">
      <c r="B144" s="41"/>
      <c r="C144" s="41"/>
      <c r="D144" s="42" t="s">
        <v>12</v>
      </c>
      <c r="E144" s="148">
        <f>+E146</f>
        <v>0</v>
      </c>
      <c r="F144" s="148">
        <f>+F146</f>
        <v>13202.9</v>
      </c>
    </row>
    <row r="145" spans="2:6" s="54" customFormat="1">
      <c r="B145" s="55"/>
      <c r="C145" s="55"/>
      <c r="D145" s="52" t="s">
        <v>101</v>
      </c>
      <c r="E145" s="149"/>
      <c r="F145" s="149"/>
    </row>
    <row r="146" spans="2:6" s="54" customFormat="1" ht="18">
      <c r="B146" s="41"/>
      <c r="C146" s="41"/>
      <c r="D146" s="65" t="s">
        <v>191</v>
      </c>
      <c r="E146" s="150">
        <f>+E147</f>
        <v>0</v>
      </c>
      <c r="F146" s="150">
        <f>+F147</f>
        <v>13202.9</v>
      </c>
    </row>
    <row r="147" spans="2:6" s="54" customFormat="1">
      <c r="B147" s="152"/>
      <c r="C147" s="152"/>
      <c r="D147" s="66" t="str">
        <f>+'Հավելված N 3'!C112</f>
        <v>«Ֆոտոն» վարժարան» ՊՈԱԿ</v>
      </c>
      <c r="E147" s="124">
        <v>0</v>
      </c>
      <c r="F147" s="146">
        <f>+'Հավելված N 3'!D112</f>
        <v>13202.9</v>
      </c>
    </row>
    <row r="148" spans="2:6" s="54" customFormat="1" ht="54">
      <c r="B148" s="56">
        <v>1183</v>
      </c>
      <c r="C148" s="201">
        <v>32007</v>
      </c>
      <c r="D148" s="71" t="s">
        <v>408</v>
      </c>
      <c r="E148" s="145">
        <f>+E150</f>
        <v>-122546.2</v>
      </c>
      <c r="F148" s="145">
        <f>+F150</f>
        <v>-153182.79999999999</v>
      </c>
    </row>
    <row r="149" spans="2:6" s="54" customFormat="1">
      <c r="B149" s="64"/>
      <c r="C149" s="64"/>
      <c r="D149" s="67" t="s">
        <v>16</v>
      </c>
      <c r="E149" s="147"/>
      <c r="F149" s="147"/>
    </row>
    <row r="150" spans="2:6" s="54" customFormat="1" ht="18">
      <c r="B150" s="41"/>
      <c r="C150" s="41"/>
      <c r="D150" s="42" t="s">
        <v>27</v>
      </c>
      <c r="E150" s="148">
        <v>-122546.2</v>
      </c>
      <c r="F150" s="148">
        <f>+'Հավելված N 3'!D115</f>
        <v>-153182.79999999999</v>
      </c>
    </row>
    <row r="151" spans="2:6" s="54" customFormat="1" ht="54">
      <c r="B151" s="56">
        <v>1196</v>
      </c>
      <c r="C151" s="56">
        <v>12001</v>
      </c>
      <c r="D151" s="71" t="s">
        <v>274</v>
      </c>
      <c r="E151" s="145">
        <f>+E153</f>
        <v>9499.2000000000007</v>
      </c>
      <c r="F151" s="145">
        <f>+F153</f>
        <v>47495.9</v>
      </c>
    </row>
    <row r="152" spans="2:6" s="54" customFormat="1">
      <c r="B152" s="64"/>
      <c r="C152" s="64"/>
      <c r="D152" s="67" t="s">
        <v>16</v>
      </c>
      <c r="E152" s="147"/>
      <c r="F152" s="147"/>
    </row>
    <row r="153" spans="2:6" s="54" customFormat="1" ht="36">
      <c r="B153" s="41"/>
      <c r="C153" s="41"/>
      <c r="D153" s="42" t="s">
        <v>12</v>
      </c>
      <c r="E153" s="148">
        <f>+E155</f>
        <v>9499.2000000000007</v>
      </c>
      <c r="F153" s="148">
        <f>+F155</f>
        <v>47495.9</v>
      </c>
    </row>
    <row r="154" spans="2:6" s="54" customFormat="1">
      <c r="B154" s="55"/>
      <c r="C154" s="55"/>
      <c r="D154" s="52" t="s">
        <v>101</v>
      </c>
      <c r="E154" s="149"/>
      <c r="F154" s="149"/>
    </row>
    <row r="155" spans="2:6" s="54" customFormat="1" ht="18">
      <c r="B155" s="41"/>
      <c r="C155" s="41"/>
      <c r="D155" s="65" t="s">
        <v>191</v>
      </c>
      <c r="E155" s="150">
        <f>+E156</f>
        <v>9499.2000000000007</v>
      </c>
      <c r="F155" s="150">
        <f>+F156</f>
        <v>47495.9</v>
      </c>
    </row>
    <row r="156" spans="2:6" s="54" customFormat="1" ht="34.799999999999997">
      <c r="B156" s="152"/>
      <c r="C156" s="152"/>
      <c r="D156" s="66" t="str">
        <f>+'Հավելված N 3'!C119</f>
        <v>«Արթիկի Տ․ Մանսուրյանի անվան մշակույթի կենտրոն» ՀՈԱԿ</v>
      </c>
      <c r="E156" s="124">
        <f>+ROUND(F156*0.2,1)</f>
        <v>9499.2000000000007</v>
      </c>
      <c r="F156" s="146">
        <f>+'Հավելված N 3'!D119</f>
        <v>47495.9</v>
      </c>
    </row>
    <row r="157" spans="2:6" s="54" customFormat="1" ht="18">
      <c r="B157" s="56">
        <v>1236</v>
      </c>
      <c r="C157" s="56">
        <v>32001</v>
      </c>
      <c r="D157" s="68" t="s">
        <v>169</v>
      </c>
      <c r="E157" s="145">
        <f>+E159+E163</f>
        <v>-252336.89999999997</v>
      </c>
      <c r="F157" s="145">
        <f>+F159+F163</f>
        <v>-168168.4</v>
      </c>
    </row>
    <row r="158" spans="2:6" s="54" customFormat="1">
      <c r="B158" s="64"/>
      <c r="C158" s="64"/>
      <c r="D158" s="67" t="s">
        <v>16</v>
      </c>
      <c r="E158" s="147"/>
      <c r="F158" s="147"/>
    </row>
    <row r="159" spans="2:6" s="54" customFormat="1" ht="36">
      <c r="B159" s="41"/>
      <c r="C159" s="41"/>
      <c r="D159" s="42" t="s">
        <v>12</v>
      </c>
      <c r="E159" s="148">
        <f>+E161</f>
        <v>29138</v>
      </c>
      <c r="F159" s="148">
        <f>+F161</f>
        <v>29138</v>
      </c>
    </row>
    <row r="160" spans="2:6" s="54" customFormat="1">
      <c r="B160" s="55"/>
      <c r="C160" s="55"/>
      <c r="D160" s="52" t="s">
        <v>101</v>
      </c>
      <c r="E160" s="149"/>
      <c r="F160" s="149"/>
    </row>
    <row r="161" spans="2:7" s="54" customFormat="1" ht="18">
      <c r="B161" s="41"/>
      <c r="C161" s="41"/>
      <c r="D161" s="65" t="s">
        <v>48</v>
      </c>
      <c r="E161" s="150">
        <f>+E162</f>
        <v>29138</v>
      </c>
      <c r="F161" s="150">
        <f>+F162</f>
        <v>29138</v>
      </c>
    </row>
    <row r="162" spans="2:7" s="54" customFormat="1" ht="34.799999999999997">
      <c r="B162" s="64"/>
      <c r="C162" s="64"/>
      <c r="D162" s="66" t="str">
        <f>+'Հավելված N 3'!C123</f>
        <v>Արաքս համայնքի Ակնաշեն բնակավայրի մանկապարտեզ</v>
      </c>
      <c r="E162" s="124">
        <f>+F162</f>
        <v>29138</v>
      </c>
      <c r="F162" s="146">
        <f>+'Հավելված N 3'!D123</f>
        <v>29138</v>
      </c>
    </row>
    <row r="163" spans="2:7" s="54" customFormat="1" ht="18">
      <c r="B163" s="41"/>
      <c r="C163" s="41"/>
      <c r="D163" s="42" t="s">
        <v>168</v>
      </c>
      <c r="E163" s="148">
        <f>+E165+E169</f>
        <v>-281474.89999999997</v>
      </c>
      <c r="F163" s="148">
        <f>+F165+F169</f>
        <v>-197306.4</v>
      </c>
    </row>
    <row r="164" spans="2:7" s="54" customFormat="1">
      <c r="B164" s="55"/>
      <c r="C164" s="55"/>
      <c r="D164" s="52" t="s">
        <v>101</v>
      </c>
      <c r="E164" s="149"/>
      <c r="F164" s="149"/>
    </row>
    <row r="165" spans="2:7" s="54" customFormat="1" ht="18">
      <c r="B165" s="41"/>
      <c r="C165" s="41"/>
      <c r="D165" s="65" t="s">
        <v>63</v>
      </c>
      <c r="E165" s="150">
        <f>SUM(E166:E168)</f>
        <v>38706.39999999998</v>
      </c>
      <c r="F165" s="150">
        <f>SUM(F166:F168)</f>
        <v>186252.6</v>
      </c>
    </row>
    <row r="166" spans="2:7" s="54" customFormat="1" ht="52.2">
      <c r="B166" s="462"/>
      <c r="C166" s="462"/>
      <c r="D166" s="66" t="str">
        <f>+'Հավելված N 3'!C125</f>
        <v>ՀՀ Լոռու մարզի Գոգարան համայնքում «Մոդուլային» տիպի 144 տեղ հզորությամբ մսուր-մանկապարտեզ</v>
      </c>
      <c r="E166" s="124">
        <f>-44142.7-2543.1-330.4</f>
        <v>-47016.2</v>
      </c>
      <c r="F166" s="146">
        <f>+'Հավելված N 3'!D125</f>
        <v>-73591.8</v>
      </c>
    </row>
    <row r="167" spans="2:7" s="54" customFormat="1" ht="52.2">
      <c r="B167" s="464"/>
      <c r="C167" s="464"/>
      <c r="D167" s="66" t="str">
        <f>+'Հավելված N 3'!C126</f>
        <v>ՀՀ Լոռու մարզի Լեռնավան համայնքում «Մոդուլային» տիպի 144 տեղ հզորությամբ մսուր-մանկապարտեզ</v>
      </c>
      <c r="E167" s="124">
        <f>+ROUND(F167*0.5,1)</f>
        <v>203588.3</v>
      </c>
      <c r="F167" s="146">
        <f>+'Հավելված N 3'!D126</f>
        <v>407176.6</v>
      </c>
    </row>
    <row r="168" spans="2:7" s="54" customFormat="1" ht="52.2">
      <c r="B168" s="463"/>
      <c r="C168" s="463"/>
      <c r="D168" s="66" t="str">
        <f>+'Հավելված N 3'!C127</f>
        <v>ՀՀ Լոռու մարզի Լուսաղբյուր համայնքում «Մոդուլային» տիպի 144 տեղ հզորությամբ մսուր-մանկապարտեզ</v>
      </c>
      <c r="E168" s="124">
        <f>-112908-4375.8-581.9</f>
        <v>-117865.7</v>
      </c>
      <c r="F168" s="146">
        <f>+'Հավելված N 3'!D127</f>
        <v>-147332.19999999998</v>
      </c>
    </row>
    <row r="169" spans="2:7" s="54" customFormat="1" ht="18">
      <c r="B169" s="41"/>
      <c r="C169" s="41"/>
      <c r="D169" s="65" t="s">
        <v>191</v>
      </c>
      <c r="E169" s="150">
        <f>SUM(E170:E171)</f>
        <v>-320181.29999999993</v>
      </c>
      <c r="F169" s="150">
        <f>SUM(F170:F171)</f>
        <v>-383559</v>
      </c>
    </row>
    <row r="170" spans="2:7" s="54" customFormat="1" ht="52.2">
      <c r="B170" s="462"/>
      <c r="C170" s="462"/>
      <c r="D170" s="66" t="str">
        <f>+'Հավելված N 3'!C129</f>
        <v>ՀՀ Շիրակի մարզի Արթիկ համայնքում «Մոդուլային» տիպի 144 տեղ հզորությամբ մսուր-մանկապարտեզ</v>
      </c>
      <c r="E170" s="124">
        <f>-151816.3-6345.2-845.8</f>
        <v>-159007.29999999999</v>
      </c>
      <c r="F170" s="146">
        <f>+'Հավելված N 3'!D129</f>
        <v>-190425.3</v>
      </c>
    </row>
    <row r="171" spans="2:7" s="54" customFormat="1" ht="52.2">
      <c r="B171" s="463"/>
      <c r="C171" s="463"/>
      <c r="D171" s="66" t="str">
        <f>+'Հավելված N 3'!C130</f>
        <v>ՀՀ Շիրակի մարզի Արևշատ համայնքում «Մոդուլային» տիպի 144 տեղ հզորությամբ մսուր-մանկապարտեզ</v>
      </c>
      <c r="E171" s="124">
        <f>-154067.3-6272.9-833.8</f>
        <v>-161173.99999999997</v>
      </c>
      <c r="F171" s="146">
        <f>+'Հավելված N 3'!D130</f>
        <v>-193133.7</v>
      </c>
    </row>
    <row r="172" spans="2:7" s="54" customFormat="1" ht="36">
      <c r="B172" s="56">
        <v>1236</v>
      </c>
      <c r="C172" s="56">
        <v>32003</v>
      </c>
      <c r="D172" s="68" t="s">
        <v>187</v>
      </c>
      <c r="E172" s="145">
        <f>+E174+E202</f>
        <v>1473473.5999999999</v>
      </c>
      <c r="F172" s="145">
        <f>+F174+F202</f>
        <v>6579931.6129999999</v>
      </c>
    </row>
    <row r="173" spans="2:7" s="54" customFormat="1">
      <c r="B173" s="64"/>
      <c r="C173" s="64"/>
      <c r="D173" s="67" t="s">
        <v>16</v>
      </c>
      <c r="E173" s="147"/>
      <c r="F173" s="147"/>
    </row>
    <row r="174" spans="2:7" s="54" customFormat="1" ht="36">
      <c r="B174" s="41"/>
      <c r="C174" s="41"/>
      <c r="D174" s="42" t="s">
        <v>12</v>
      </c>
      <c r="E174" s="148">
        <f>+E176+E177+E179+E181+E184+E187+E191+E196+E198</f>
        <v>482656.89999999991</v>
      </c>
      <c r="F174" s="148">
        <f>+F176+F177+F179+F181+F184+F187+F191+F196+F198</f>
        <v>5561934.3130000001</v>
      </c>
      <c r="G174" s="361"/>
    </row>
    <row r="175" spans="2:7" s="54" customFormat="1">
      <c r="B175" s="55"/>
      <c r="C175" s="55"/>
      <c r="D175" s="52" t="s">
        <v>101</v>
      </c>
      <c r="E175" s="149"/>
      <c r="F175" s="149"/>
    </row>
    <row r="176" spans="2:7" s="54" customFormat="1" ht="36">
      <c r="B176" s="41"/>
      <c r="C176" s="41"/>
      <c r="D176" s="65" t="str">
        <f>+'Հավելված N 3'!C133</f>
        <v>Հանրակրթական դպրոցների նոր շենքերի կառուցում</v>
      </c>
      <c r="E176" s="150">
        <v>2400000</v>
      </c>
      <c r="F176" s="363">
        <v>7500000</v>
      </c>
    </row>
    <row r="177" spans="2:6" s="54" customFormat="1" ht="18">
      <c r="B177" s="41"/>
      <c r="C177" s="41"/>
      <c r="D177" s="65" t="s">
        <v>181</v>
      </c>
      <c r="E177" s="150">
        <f>+E178</f>
        <v>1600</v>
      </c>
      <c r="F177" s="150">
        <f>+F178</f>
        <v>1600</v>
      </c>
    </row>
    <row r="178" spans="2:6" s="54" customFormat="1">
      <c r="B178" s="152"/>
      <c r="C178" s="152"/>
      <c r="D178" s="66" t="str">
        <f>+'Հավելված N 3'!C137</f>
        <v>«Սիսավանի միջնակարգ դպրոց» ՊՈԱԿ</v>
      </c>
      <c r="E178" s="124">
        <f>+F178</f>
        <v>1600</v>
      </c>
      <c r="F178" s="146">
        <f>+'Հավելված N 3'!D137</f>
        <v>1600</v>
      </c>
    </row>
    <row r="179" spans="2:6" s="54" customFormat="1" ht="18">
      <c r="B179" s="41"/>
      <c r="C179" s="41"/>
      <c r="D179" s="65" t="s">
        <v>72</v>
      </c>
      <c r="E179" s="150">
        <f>+E180</f>
        <v>-23705.599999999999</v>
      </c>
      <c r="F179" s="150">
        <f>+F180</f>
        <v>-11962.7</v>
      </c>
    </row>
    <row r="180" spans="2:6" s="54" customFormat="1">
      <c r="B180" s="152"/>
      <c r="C180" s="152"/>
      <c r="D180" s="66" t="str">
        <f>+'Հավելված N 3'!C139</f>
        <v>ք. Գավառի թիվ 5 հիմնական դպրոց</v>
      </c>
      <c r="E180" s="124">
        <v>-23705.599999999999</v>
      </c>
      <c r="F180" s="146">
        <f>+'Հավելված N 3'!D139</f>
        <v>-11962.7</v>
      </c>
    </row>
    <row r="181" spans="2:6" s="54" customFormat="1" ht="18">
      <c r="B181" s="41"/>
      <c r="C181" s="41"/>
      <c r="D181" s="65" t="s">
        <v>63</v>
      </c>
      <c r="E181" s="150">
        <f>SUM(E182:E183)</f>
        <v>-220000</v>
      </c>
      <c r="F181" s="150">
        <f>SUM(F182:F183)</f>
        <v>-119080.8</v>
      </c>
    </row>
    <row r="182" spans="2:6" s="54" customFormat="1" ht="34.799999999999997">
      <c r="B182" s="462"/>
      <c r="C182" s="462"/>
      <c r="D182" s="66" t="str">
        <f>+'Հավելված N 3'!C141</f>
        <v>ք. Տաշիրի միջնակարգ դպրոց (ք. Տաշիրի թիվ 1 հիմնական դպրոցի տեղակայման վայրում)</v>
      </c>
      <c r="E182" s="124">
        <v>-220000</v>
      </c>
      <c r="F182" s="146">
        <f>+'Հավելված N 3'!D141</f>
        <v>-53440.800000000003</v>
      </c>
    </row>
    <row r="183" spans="2:6" s="54" customFormat="1">
      <c r="B183" s="463"/>
      <c r="C183" s="463"/>
      <c r="D183" s="66" t="str">
        <f>+'Հավելված N 3'!C142</f>
        <v>գ. Մեծավանի թիվ 2 միջնակարգ դպրոց</v>
      </c>
      <c r="E183" s="124">
        <v>0</v>
      </c>
      <c r="F183" s="146">
        <f>+'Հավելված N 3'!D142</f>
        <v>-65640</v>
      </c>
    </row>
    <row r="184" spans="2:6" s="54" customFormat="1" ht="18">
      <c r="B184" s="41"/>
      <c r="C184" s="41"/>
      <c r="D184" s="65" t="s">
        <v>62</v>
      </c>
      <c r="E184" s="150">
        <f>SUM(E185:E186)</f>
        <v>0</v>
      </c>
      <c r="F184" s="150">
        <f>SUM(F185:F186)</f>
        <v>-287000</v>
      </c>
    </row>
    <row r="185" spans="2:6" s="54" customFormat="1">
      <c r="B185" s="464"/>
      <c r="C185" s="464"/>
      <c r="D185" s="66" t="str">
        <f>+'Հավելված N 3'!C144</f>
        <v>Արագյուղ բնակավայրի միջնակարգ դպրոց</v>
      </c>
      <c r="E185" s="124">
        <v>0</v>
      </c>
      <c r="F185" s="146">
        <f>+'Հավելված N 3'!D144</f>
        <v>-27000</v>
      </c>
    </row>
    <row r="186" spans="2:6" s="54" customFormat="1">
      <c r="B186" s="463"/>
      <c r="C186" s="463"/>
      <c r="D186" s="66" t="str">
        <f>+'Հավելված N 3'!C145</f>
        <v>Լեռնանիստ բնակավայրի միջնակարգ դպրոց</v>
      </c>
      <c r="E186" s="124">
        <v>0</v>
      </c>
      <c r="F186" s="146">
        <f>+'Հավելված N 3'!D145</f>
        <v>-260000</v>
      </c>
    </row>
    <row r="187" spans="2:6" s="54" customFormat="1" ht="18">
      <c r="B187" s="41"/>
      <c r="C187" s="41"/>
      <c r="D187" s="65" t="s">
        <v>191</v>
      </c>
      <c r="E187" s="150">
        <f>SUM(E188:E190)</f>
        <v>-224229</v>
      </c>
      <c r="F187" s="150">
        <f>SUM(F188:F190)</f>
        <v>-172451.20000000001</v>
      </c>
    </row>
    <row r="188" spans="2:6" s="54" customFormat="1">
      <c r="B188" s="462"/>
      <c r="C188" s="462"/>
      <c r="D188" s="66" t="str">
        <f>+'Հավելված N 3'!C148</f>
        <v>գ․ Շիրակավանի միջնակարգ դպրոց</v>
      </c>
      <c r="E188" s="124">
        <v>-51992.1</v>
      </c>
      <c r="F188" s="146">
        <f>+'Հավելված N 3'!D148</f>
        <v>-55147.6</v>
      </c>
    </row>
    <row r="189" spans="2:6" s="54" customFormat="1">
      <c r="B189" s="464"/>
      <c r="C189" s="464"/>
      <c r="D189" s="66" t="str">
        <f>+'Հավելված N 3'!C149</f>
        <v>գ․ Մայիսյանի միջնակարգ դպրոց</v>
      </c>
      <c r="E189" s="124">
        <v>-89761.7</v>
      </c>
      <c r="F189" s="146">
        <f>+'Հավելված N 3'!D149</f>
        <v>-90564.6</v>
      </c>
    </row>
    <row r="190" spans="2:6" s="54" customFormat="1">
      <c r="B190" s="463"/>
      <c r="C190" s="463"/>
      <c r="D190" s="66" t="str">
        <f>+'Հավելված N 3'!C150</f>
        <v>գ․ Փոքր Մանթաշի միջնակարգ դպրոց</v>
      </c>
      <c r="E190" s="124">
        <v>-82475.199999999997</v>
      </c>
      <c r="F190" s="146">
        <f>+'Հավելված N 3'!D150</f>
        <v>-26739</v>
      </c>
    </row>
    <row r="191" spans="2:6" s="54" customFormat="1" ht="18">
      <c r="B191" s="41"/>
      <c r="C191" s="41"/>
      <c r="D191" s="65" t="s">
        <v>193</v>
      </c>
      <c r="E191" s="150">
        <f>SUM(E192:E195)</f>
        <v>-847290.7</v>
      </c>
      <c r="F191" s="150">
        <f>SUM(F192:F195)</f>
        <v>-896571.4</v>
      </c>
    </row>
    <row r="192" spans="2:6" s="54" customFormat="1" ht="34.799999999999997">
      <c r="B192" s="462"/>
      <c r="C192" s="462"/>
      <c r="D192" s="66" t="str">
        <f>+'Հավելված N 3'!C153</f>
        <v xml:space="preserve">«ք. Գորիսի Ս. Խանզադյանի անվան թիվ 6 հիմնական դպրոց» ՊՈԱԿ </v>
      </c>
      <c r="E192" s="124">
        <v>-120714.20000000001</v>
      </c>
      <c r="F192" s="146">
        <f>+'Հավելված N 3'!D153</f>
        <v>-425600</v>
      </c>
    </row>
    <row r="193" spans="2:6" s="54" customFormat="1">
      <c r="B193" s="464"/>
      <c r="C193" s="464"/>
      <c r="D193" s="195" t="s">
        <v>724</v>
      </c>
      <c r="E193" s="124">
        <v>-237576.5</v>
      </c>
      <c r="F193" s="146">
        <v>0</v>
      </c>
    </row>
    <row r="194" spans="2:6" s="54" customFormat="1">
      <c r="B194" s="464"/>
      <c r="C194" s="464"/>
      <c r="D194" s="66" t="str">
        <f>+'Հավելված N 3'!C154</f>
        <v>գ. Շինուհայրի միջնակարգ դպրոց</v>
      </c>
      <c r="E194" s="124">
        <v>-250000</v>
      </c>
      <c r="F194" s="146">
        <f>+'Հավելված N 3'!D154</f>
        <v>-250000</v>
      </c>
    </row>
    <row r="195" spans="2:6" s="54" customFormat="1">
      <c r="B195" s="463"/>
      <c r="C195" s="463"/>
      <c r="D195" s="66" t="str">
        <f>+'Հավելված N 3'!C155</f>
        <v>գ. Խոտի միջնակարգ դպրոց</v>
      </c>
      <c r="E195" s="124">
        <v>-239000</v>
      </c>
      <c r="F195" s="146">
        <f>+'Հավելված N 3'!D155</f>
        <v>-220971.40000000002</v>
      </c>
    </row>
    <row r="196" spans="2:6" s="54" customFormat="1" ht="18">
      <c r="B196" s="41"/>
      <c r="C196" s="41"/>
      <c r="D196" s="65" t="s">
        <v>196</v>
      </c>
      <c r="E196" s="150">
        <f>+E197</f>
        <v>0</v>
      </c>
      <c r="F196" s="150">
        <f>+F197</f>
        <v>-248863.48699999999</v>
      </c>
    </row>
    <row r="197" spans="2:6" s="54" customFormat="1">
      <c r="B197" s="152"/>
      <c r="C197" s="152"/>
      <c r="D197" s="66" t="str">
        <f>+'Հավելված N 3'!C157</f>
        <v>գ. Արենիի միջնակարգ դպրոց</v>
      </c>
      <c r="E197" s="124">
        <v>0</v>
      </c>
      <c r="F197" s="146">
        <f>+'Հավելված N 3'!D157</f>
        <v>-248863.48699999999</v>
      </c>
    </row>
    <row r="198" spans="2:6" s="54" customFormat="1" ht="18">
      <c r="B198" s="41"/>
      <c r="C198" s="41"/>
      <c r="D198" s="65" t="s">
        <v>188</v>
      </c>
      <c r="E198" s="150">
        <f>SUM(E199:E201)</f>
        <v>-603717.80000000005</v>
      </c>
      <c r="F198" s="150">
        <f>SUM(F199:F201)</f>
        <v>-203736.09999999998</v>
      </c>
    </row>
    <row r="199" spans="2:6" s="54" customFormat="1" ht="34.799999999999997">
      <c r="B199" s="462"/>
      <c r="C199" s="462"/>
      <c r="D199" s="66" t="str">
        <f>+'Հավելված N 3'!C159</f>
        <v>ք. Նոյեմբերյանի վարժարան (ք. Նոյեմբերյանի թիվ 1 ավագ դպրոցի տեղակայման վայրում)</v>
      </c>
      <c r="E199" s="124">
        <v>-255000</v>
      </c>
      <c r="F199" s="146">
        <f>+'Հավելված N 3'!D159</f>
        <v>-158663.4</v>
      </c>
    </row>
    <row r="200" spans="2:6" s="54" customFormat="1">
      <c r="B200" s="464"/>
      <c r="C200" s="464"/>
      <c r="D200" s="66" t="str">
        <f>+'Հավելված N 3'!C160</f>
        <v>գ. Աղավնավանքի միջնակարգ դպրոց</v>
      </c>
      <c r="E200" s="124">
        <v>-245072.7</v>
      </c>
      <c r="F200" s="146">
        <f>+'Հավելված N 3'!D160</f>
        <v>-45072.7</v>
      </c>
    </row>
    <row r="201" spans="2:6" s="54" customFormat="1" ht="18" customHeight="1">
      <c r="B201" s="463"/>
      <c r="C201" s="463"/>
      <c r="D201" s="195" t="s">
        <v>725</v>
      </c>
      <c r="E201" s="124">
        <v>-103645.1</v>
      </c>
      <c r="F201" s="146">
        <v>0</v>
      </c>
    </row>
    <row r="202" spans="2:6" s="54" customFormat="1" ht="18">
      <c r="B202" s="41"/>
      <c r="C202" s="41"/>
      <c r="D202" s="42" t="s">
        <v>168</v>
      </c>
      <c r="E202" s="148">
        <f>+E204+E205+E207+E209+E211</f>
        <v>990816.7</v>
      </c>
      <c r="F202" s="148">
        <f>+F204+F205+F207+F209+F211</f>
        <v>1017997.3</v>
      </c>
    </row>
    <row r="203" spans="2:6" s="54" customFormat="1">
      <c r="B203" s="55"/>
      <c r="C203" s="55"/>
      <c r="D203" s="52" t="s">
        <v>101</v>
      </c>
      <c r="E203" s="149"/>
      <c r="F203" s="149"/>
    </row>
    <row r="204" spans="2:6" s="54" customFormat="1" ht="36">
      <c r="B204" s="41"/>
      <c r="C204" s="41"/>
      <c r="D204" s="65" t="str">
        <f>+'Հավելված N 3'!C133</f>
        <v>Հանրակրթական դպրոցների նոր շենքերի կառուցում</v>
      </c>
      <c r="E204" s="150">
        <v>1000000</v>
      </c>
      <c r="F204" s="150">
        <v>1500000</v>
      </c>
    </row>
    <row r="205" spans="2:6" s="54" customFormat="1" ht="18">
      <c r="B205" s="41"/>
      <c r="C205" s="41"/>
      <c r="D205" s="65" t="s">
        <v>49</v>
      </c>
      <c r="E205" s="150">
        <f>+E206</f>
        <v>0</v>
      </c>
      <c r="F205" s="150">
        <f>+F206</f>
        <v>11100</v>
      </c>
    </row>
    <row r="206" spans="2:6" s="54" customFormat="1">
      <c r="B206" s="152"/>
      <c r="C206" s="152"/>
      <c r="D206" s="66" t="str">
        <f>+'Հավելված N 3'!C135</f>
        <v>«Երևանի N 156 հիմնական դպրոց» ՊՈԱԿ</v>
      </c>
      <c r="E206" s="124">
        <v>0</v>
      </c>
      <c r="F206" s="146">
        <f>+'Հավելված N 3'!D135</f>
        <v>11100</v>
      </c>
    </row>
    <row r="207" spans="2:6" s="54" customFormat="1" ht="18">
      <c r="B207" s="41"/>
      <c r="C207" s="41"/>
      <c r="D207" s="65" t="s">
        <v>62</v>
      </c>
      <c r="E207" s="150">
        <f>+E208</f>
        <v>0</v>
      </c>
      <c r="F207" s="150">
        <f>+F208</f>
        <v>-118091.7</v>
      </c>
    </row>
    <row r="208" spans="2:6" s="54" customFormat="1" ht="34.799999999999997">
      <c r="B208" s="152"/>
      <c r="C208" s="152"/>
      <c r="D208" s="66" t="str">
        <f>+'Հավելված N 3'!C146</f>
        <v>«Հրազդանի Լևոն Խեչոյանի անվան թիվ 10 ավագ դպրոց» ՊՈԱԿ</v>
      </c>
      <c r="E208" s="124">
        <v>0</v>
      </c>
      <c r="F208" s="146">
        <f>+'Հավելված N 3'!D146</f>
        <v>-118091.7</v>
      </c>
    </row>
    <row r="209" spans="2:6" s="54" customFormat="1" ht="18">
      <c r="B209" s="41"/>
      <c r="C209" s="41"/>
      <c r="D209" s="65" t="s">
        <v>191</v>
      </c>
      <c r="E209" s="150">
        <f>+E210</f>
        <v>-9183.2999999999993</v>
      </c>
      <c r="F209" s="150">
        <f>+F210</f>
        <v>-201977.2</v>
      </c>
    </row>
    <row r="210" spans="2:6" s="54" customFormat="1">
      <c r="B210" s="152"/>
      <c r="C210" s="152"/>
      <c r="D210" s="66" t="str">
        <f>+'Հավելված N 3'!C151</f>
        <v>«Բերդաշենի միջնակարգ դպրոց» ՊՈԱԿ</v>
      </c>
      <c r="E210" s="124">
        <v>-9183.2999999999993</v>
      </c>
      <c r="F210" s="146">
        <f>+'Հավելված N 3'!D151</f>
        <v>-201977.2</v>
      </c>
    </row>
    <row r="211" spans="2:6" s="54" customFormat="1" ht="18">
      <c r="B211" s="41"/>
      <c r="C211" s="41"/>
      <c r="D211" s="65" t="s">
        <v>188</v>
      </c>
      <c r="E211" s="150">
        <f>+E212</f>
        <v>0</v>
      </c>
      <c r="F211" s="150">
        <f>+F212</f>
        <v>-173033.8</v>
      </c>
    </row>
    <row r="212" spans="2:6" s="54" customFormat="1">
      <c r="B212" s="152"/>
      <c r="C212" s="152"/>
      <c r="D212" s="66" t="str">
        <f>+'Հավելված N 3'!C161</f>
        <v>«Դովեղի միջնակարգ դպրոց»ՊՈԱԿ</v>
      </c>
      <c r="E212" s="124">
        <v>0</v>
      </c>
      <c r="F212" s="146">
        <f>+'Հավելված N 3'!D161</f>
        <v>-173033.8</v>
      </c>
    </row>
    <row r="213" spans="2:6" s="54" customFormat="1" ht="36">
      <c r="B213" s="56">
        <v>1236</v>
      </c>
      <c r="C213" s="201">
        <v>32004</v>
      </c>
      <c r="D213" s="71" t="s">
        <v>436</v>
      </c>
      <c r="E213" s="145">
        <f>+E215+E218</f>
        <v>3800000</v>
      </c>
      <c r="F213" s="145">
        <f>+F215+F218</f>
        <v>9245548.6999999993</v>
      </c>
    </row>
    <row r="214" spans="2:6" s="54" customFormat="1">
      <c r="B214" s="64"/>
      <c r="C214" s="64"/>
      <c r="D214" s="67" t="s">
        <v>16</v>
      </c>
      <c r="E214" s="147"/>
      <c r="F214" s="147"/>
    </row>
    <row r="215" spans="2:6" s="54" customFormat="1" ht="36">
      <c r="B215" s="41"/>
      <c r="C215" s="41"/>
      <c r="D215" s="42" t="s">
        <v>12</v>
      </c>
      <c r="E215" s="148">
        <f>+E217</f>
        <v>3200000</v>
      </c>
      <c r="F215" s="148">
        <f>+F217</f>
        <v>8000000</v>
      </c>
    </row>
    <row r="216" spans="2:6" s="54" customFormat="1">
      <c r="B216" s="55"/>
      <c r="C216" s="55"/>
      <c r="D216" s="52" t="s">
        <v>101</v>
      </c>
      <c r="E216" s="149"/>
      <c r="F216" s="149"/>
    </row>
    <row r="217" spans="2:6" s="54" customFormat="1" ht="36">
      <c r="B217" s="41"/>
      <c r="C217" s="41"/>
      <c r="D217" s="65" t="str">
        <f>+'Հավելված N 3'!C164</f>
        <v>Հանրակրթական դպրոցների շենքերի վերակառուցում, հիմնանորոգում</v>
      </c>
      <c r="E217" s="150">
        <f>+ROUND(F217*0.4,1)</f>
        <v>3200000</v>
      </c>
      <c r="F217" s="150">
        <v>8000000</v>
      </c>
    </row>
    <row r="218" spans="2:6" s="54" customFormat="1" ht="18">
      <c r="B218" s="41"/>
      <c r="C218" s="41"/>
      <c r="D218" s="42" t="s">
        <v>168</v>
      </c>
      <c r="E218" s="148">
        <f>+E220+E221</f>
        <v>600000</v>
      </c>
      <c r="F218" s="148">
        <f>+F220+F221</f>
        <v>1245548.7</v>
      </c>
    </row>
    <row r="219" spans="2:6" s="54" customFormat="1">
      <c r="B219" s="55"/>
      <c r="C219" s="55"/>
      <c r="D219" s="52" t="s">
        <v>101</v>
      </c>
      <c r="E219" s="149"/>
      <c r="F219" s="149"/>
    </row>
    <row r="220" spans="2:6" s="54" customFormat="1" ht="36">
      <c r="B220" s="41"/>
      <c r="C220" s="41"/>
      <c r="D220" s="65" t="str">
        <f>+'Հավելված N 3'!C164</f>
        <v>Հանրակրթական դպրոցների շենքերի վերակառուցում, հիմնանորոգում</v>
      </c>
      <c r="E220" s="150">
        <v>600000</v>
      </c>
      <c r="F220" s="150">
        <v>1300000</v>
      </c>
    </row>
    <row r="221" spans="2:6" s="54" customFormat="1" ht="18">
      <c r="B221" s="41"/>
      <c r="C221" s="41"/>
      <c r="D221" s="65" t="s">
        <v>49</v>
      </c>
      <c r="E221" s="150">
        <f>+E222</f>
        <v>0</v>
      </c>
      <c r="F221" s="150">
        <f>+F222</f>
        <v>-54451.3</v>
      </c>
    </row>
    <row r="222" spans="2:6" s="54" customFormat="1">
      <c r="B222" s="152"/>
      <c r="C222" s="152"/>
      <c r="D222" s="66" t="str">
        <f>+'Հավելված N 3'!C166</f>
        <v>«Երևանի N 156 հիմնական դպրոց» ՊՈԱԿ</v>
      </c>
      <c r="E222" s="124">
        <v>0</v>
      </c>
      <c r="F222" s="146">
        <f>+'Հավելված N 3'!D166</f>
        <v>-54451.3</v>
      </c>
    </row>
    <row r="223" spans="2:6" s="54" customFormat="1" ht="18">
      <c r="B223" s="56">
        <v>1236</v>
      </c>
      <c r="C223" s="201">
        <v>32005</v>
      </c>
      <c r="D223" s="71" t="s">
        <v>663</v>
      </c>
      <c r="E223" s="145">
        <f>+E225</f>
        <v>-1557638.5000000002</v>
      </c>
      <c r="F223" s="145">
        <f>+F225</f>
        <v>-1702872.8</v>
      </c>
    </row>
    <row r="224" spans="2:6" s="54" customFormat="1">
      <c r="B224" s="64"/>
      <c r="C224" s="64"/>
      <c r="D224" s="67" t="s">
        <v>16</v>
      </c>
      <c r="E224" s="147"/>
      <c r="F224" s="147"/>
    </row>
    <row r="225" spans="2:6" s="54" customFormat="1" ht="36">
      <c r="B225" s="41"/>
      <c r="C225" s="41"/>
      <c r="D225" s="42" t="s">
        <v>12</v>
      </c>
      <c r="E225" s="148">
        <f>+E227+E228+E230+E234+E236+E243+E246+E248+E252+E259+E263</f>
        <v>-1557638.5000000002</v>
      </c>
      <c r="F225" s="148">
        <f>+F227+F228+F230+F234+F236+F243+F246+F248+F252+F259+F263</f>
        <v>-1702872.8</v>
      </c>
    </row>
    <row r="226" spans="2:6" s="54" customFormat="1">
      <c r="B226" s="55"/>
      <c r="C226" s="55"/>
      <c r="D226" s="52" t="s">
        <v>101</v>
      </c>
      <c r="E226" s="149"/>
      <c r="F226" s="149"/>
    </row>
    <row r="227" spans="2:6" s="54" customFormat="1" ht="18">
      <c r="B227" s="41"/>
      <c r="C227" s="41"/>
      <c r="D227" s="65" t="str">
        <f>+'Հավելված N 3'!C169</f>
        <v>Կրթահամալիրների կառուցում</v>
      </c>
      <c r="E227" s="363">
        <v>500000</v>
      </c>
      <c r="F227" s="363">
        <f>+'Հավելված N 3'!D169</f>
        <v>2500000</v>
      </c>
    </row>
    <row r="228" spans="2:6" s="54" customFormat="1" ht="18">
      <c r="B228" s="41"/>
      <c r="C228" s="41"/>
      <c r="D228" s="65" t="s">
        <v>180</v>
      </c>
      <c r="E228" s="150">
        <f>+E229</f>
        <v>-53150.400000000001</v>
      </c>
      <c r="F228" s="150">
        <f>+F229</f>
        <v>-10938.599999999999</v>
      </c>
    </row>
    <row r="229" spans="2:6" s="54" customFormat="1">
      <c r="B229" s="152"/>
      <c r="C229" s="152"/>
      <c r="D229" s="66" t="str">
        <f>+'Հավելված N 3'!C171</f>
        <v>գ. Ճարճակիսի կրթահամալիր</v>
      </c>
      <c r="E229" s="124">
        <v>-53150.400000000001</v>
      </c>
      <c r="F229" s="146">
        <f>+'Հավելված N 3'!D171</f>
        <v>-10938.599999999999</v>
      </c>
    </row>
    <row r="230" spans="2:6" s="54" customFormat="1" ht="18">
      <c r="B230" s="41"/>
      <c r="C230" s="41"/>
      <c r="D230" s="65" t="s">
        <v>181</v>
      </c>
      <c r="E230" s="150">
        <f>SUM(E231:E233)</f>
        <v>-389421</v>
      </c>
      <c r="F230" s="150">
        <f>SUM(F231:F233)</f>
        <v>-671003.30000000005</v>
      </c>
    </row>
    <row r="231" spans="2:6" s="54" customFormat="1">
      <c r="B231" s="462"/>
      <c r="C231" s="462"/>
      <c r="D231" s="66" t="str">
        <f>+'Հավելված N 3'!C173</f>
        <v>գ. Լուսաշողի կրթահամալիր</v>
      </c>
      <c r="E231" s="124">
        <v>-71600.800000000003</v>
      </c>
      <c r="F231" s="146">
        <f>+'Հավելված N 3'!D173</f>
        <v>-71714.899999999994</v>
      </c>
    </row>
    <row r="232" spans="2:6" s="54" customFormat="1">
      <c r="B232" s="464"/>
      <c r="C232" s="464"/>
      <c r="D232" s="66" t="str">
        <f>+'Հավելված N 3'!C174</f>
        <v>գ. Նոր կյուրինի կրթահամալիր</v>
      </c>
      <c r="E232" s="124">
        <v>-110000</v>
      </c>
      <c r="F232" s="146">
        <f>+'Հավելված N 3'!D174</f>
        <v>-26946.9</v>
      </c>
    </row>
    <row r="233" spans="2:6" s="54" customFormat="1">
      <c r="B233" s="463"/>
      <c r="C233" s="463"/>
      <c r="D233" s="66" t="str">
        <f>+'Հավելված N 3'!C175</f>
        <v>գ․ Ջրահովիտի կրթահամալիր</v>
      </c>
      <c r="E233" s="124">
        <v>-207820.2</v>
      </c>
      <c r="F233" s="146">
        <f>+'Հավելված N 3'!D175</f>
        <v>-572341.5</v>
      </c>
    </row>
    <row r="234" spans="2:6" s="54" customFormat="1" ht="18">
      <c r="B234" s="41"/>
      <c r="C234" s="41"/>
      <c r="D234" s="65" t="s">
        <v>48</v>
      </c>
      <c r="E234" s="150">
        <f>+E235</f>
        <v>-346413</v>
      </c>
      <c r="F234" s="150">
        <f>+F235</f>
        <v>-147986.29999999999</v>
      </c>
    </row>
    <row r="235" spans="2:6" s="54" customFormat="1">
      <c r="B235" s="152"/>
      <c r="C235" s="152"/>
      <c r="D235" s="66" t="str">
        <f>+'Հավելված N 3'!C177</f>
        <v>գ. Վարդանաշենի կրթահամալիր</v>
      </c>
      <c r="E235" s="124">
        <v>-346413</v>
      </c>
      <c r="F235" s="146">
        <f>+'Հավելված N 3'!D177</f>
        <v>-147986.29999999999</v>
      </c>
    </row>
    <row r="236" spans="2:6" s="54" customFormat="1" ht="18">
      <c r="B236" s="41"/>
      <c r="C236" s="41"/>
      <c r="D236" s="65" t="s">
        <v>72</v>
      </c>
      <c r="E236" s="150">
        <f>SUM(E237:E242)</f>
        <v>-79484.600000000006</v>
      </c>
      <c r="F236" s="150">
        <f>SUM(F237:F242)</f>
        <v>-549722.79999999993</v>
      </c>
    </row>
    <row r="237" spans="2:6" s="54" customFormat="1">
      <c r="B237" s="462"/>
      <c r="C237" s="462"/>
      <c r="D237" s="66" t="str">
        <f>+'Հավելված N 3'!C179</f>
        <v>գ. Շատվանի կրթահամալիր</v>
      </c>
      <c r="E237" s="368">
        <v>-77820.5</v>
      </c>
      <c r="F237" s="146">
        <f>+'Հավելված N 3'!D179</f>
        <v>-209469.7</v>
      </c>
    </row>
    <row r="238" spans="2:6" s="54" customFormat="1">
      <c r="B238" s="464"/>
      <c r="C238" s="464"/>
      <c r="D238" s="66" t="str">
        <f>+'Հավելված N 3'!C180</f>
        <v>գ. Կախակնի կրթահամալիր</v>
      </c>
      <c r="E238" s="368">
        <v>0</v>
      </c>
      <c r="F238" s="146">
        <f>+'Հավելված N 3'!D180</f>
        <v>-74413.399999999994</v>
      </c>
    </row>
    <row r="239" spans="2:6" s="54" customFormat="1">
      <c r="B239" s="464"/>
      <c r="C239" s="464"/>
      <c r="D239" s="66" t="str">
        <f>+'Հավելված N 3'!C181</f>
        <v>գ. Արեգունու կրթահամալիր</v>
      </c>
      <c r="E239" s="368">
        <v>0</v>
      </c>
      <c r="F239" s="146">
        <f>+'Հավելված N 3'!D181</f>
        <v>-76668.7</v>
      </c>
    </row>
    <row r="240" spans="2:6" s="54" customFormat="1">
      <c r="B240" s="464"/>
      <c r="C240" s="464"/>
      <c r="D240" s="66" t="str">
        <f>+'Հավելված N 3'!C182</f>
        <v>գ. Փոքր Մասրիկի  կրթահամալիր</v>
      </c>
      <c r="E240" s="368">
        <v>0</v>
      </c>
      <c r="F240" s="146">
        <f>+'Հավելված N 3'!D182</f>
        <v>-92252.5</v>
      </c>
    </row>
    <row r="241" spans="2:6" s="54" customFormat="1">
      <c r="B241" s="464"/>
      <c r="C241" s="464"/>
      <c r="D241" s="66" t="str">
        <f>+'Հավելված N 3'!C183</f>
        <v>գ. Մաքենիսի  կրթահամալիր</v>
      </c>
      <c r="E241" s="368">
        <v>0</v>
      </c>
      <c r="F241" s="146">
        <f>+'Հավելված N 3'!D183</f>
        <v>-95254.399999999994</v>
      </c>
    </row>
    <row r="242" spans="2:6" s="54" customFormat="1">
      <c r="B242" s="463"/>
      <c r="C242" s="463"/>
      <c r="D242" s="66" t="str">
        <f>+'Հավելված N 3'!C184</f>
        <v>գ. Մադինայի  կրթահամալիր</v>
      </c>
      <c r="E242" s="368">
        <v>-1664.1</v>
      </c>
      <c r="F242" s="146">
        <f>+'Հավելված N 3'!D184</f>
        <v>-1664.1</v>
      </c>
    </row>
    <row r="243" spans="2:6" s="54" customFormat="1" ht="18">
      <c r="B243" s="41"/>
      <c r="C243" s="41"/>
      <c r="D243" s="65" t="s">
        <v>63</v>
      </c>
      <c r="E243" s="363">
        <f>SUM(E244:E245)</f>
        <v>-166695.40000000002</v>
      </c>
      <c r="F243" s="150">
        <f>SUM(F244:F245)</f>
        <v>-314421.09999999998</v>
      </c>
    </row>
    <row r="244" spans="2:6" s="54" customFormat="1">
      <c r="B244" s="462"/>
      <c r="C244" s="462"/>
      <c r="D244" s="66" t="str">
        <f>+'Հավելված N 3'!C186</f>
        <v>գ. Միխայլովկայի կրթահամալիր</v>
      </c>
      <c r="E244" s="368">
        <v>-71218.2</v>
      </c>
      <c r="F244" s="146">
        <f>+'Հավելված N 3'!D186</f>
        <v>-191976.1</v>
      </c>
    </row>
    <row r="245" spans="2:6" s="54" customFormat="1">
      <c r="B245" s="463"/>
      <c r="C245" s="463"/>
      <c r="D245" s="66" t="str">
        <f>+'Հավելված N 3'!C187</f>
        <v>գ. Կաթնառատի կրթահամալիր</v>
      </c>
      <c r="E245" s="368">
        <v>-95477.200000000012</v>
      </c>
      <c r="F245" s="146">
        <f>+'Հավելված N 3'!D187</f>
        <v>-122445</v>
      </c>
    </row>
    <row r="246" spans="2:6" s="54" customFormat="1" ht="18">
      <c r="B246" s="41"/>
      <c r="C246" s="41"/>
      <c r="D246" s="65" t="s">
        <v>62</v>
      </c>
      <c r="E246" s="363">
        <f>+E247</f>
        <v>-240884.5</v>
      </c>
      <c r="F246" s="150">
        <f>+F247</f>
        <v>-371105.6</v>
      </c>
    </row>
    <row r="247" spans="2:6" s="54" customFormat="1">
      <c r="B247" s="152"/>
      <c r="C247" s="152"/>
      <c r="D247" s="66" t="str">
        <f>+'Հավելված N 3'!C189</f>
        <v>գ. Արտավազի կրթահամալիր</v>
      </c>
      <c r="E247" s="368">
        <v>-240884.5</v>
      </c>
      <c r="F247" s="146">
        <f>+'Հավելված N 3'!D189</f>
        <v>-371105.6</v>
      </c>
    </row>
    <row r="248" spans="2:6" s="54" customFormat="1" ht="18">
      <c r="B248" s="41"/>
      <c r="C248" s="41"/>
      <c r="D248" s="65" t="s">
        <v>191</v>
      </c>
      <c r="E248" s="363">
        <f>SUM(E249:E251)</f>
        <v>0</v>
      </c>
      <c r="F248" s="150">
        <f>SUM(F249:F251)</f>
        <v>-125022.5</v>
      </c>
    </row>
    <row r="249" spans="2:6" s="54" customFormat="1">
      <c r="B249" s="462"/>
      <c r="C249" s="462"/>
      <c r="D249" s="66" t="str">
        <f>+'Հավելված N 3'!C191</f>
        <v>գ․ Հայրենյացի կրթահամալիր</v>
      </c>
      <c r="E249" s="368">
        <v>0</v>
      </c>
      <c r="F249" s="146">
        <f>+'Հավելված N 3'!D191</f>
        <v>-48248.2</v>
      </c>
    </row>
    <row r="250" spans="2:6" s="54" customFormat="1">
      <c r="B250" s="464"/>
      <c r="C250" s="464"/>
      <c r="D250" s="66" t="str">
        <f>+'Հավելված N 3'!C192</f>
        <v>գ․ Բյուրակնի կրթահամալիր</v>
      </c>
      <c r="E250" s="368">
        <v>0</v>
      </c>
      <c r="F250" s="146">
        <f>+'Հավելված N 3'!D192</f>
        <v>-30886.300000000003</v>
      </c>
    </row>
    <row r="251" spans="2:6" s="54" customFormat="1">
      <c r="B251" s="463"/>
      <c r="C251" s="463"/>
      <c r="D251" s="66" t="str">
        <f>+'Հավելված N 3'!C193</f>
        <v>գ․ Գետափի կրթահամալիր</v>
      </c>
      <c r="E251" s="368">
        <v>0</v>
      </c>
      <c r="F251" s="146">
        <f>+'Հավելված N 3'!D193</f>
        <v>-45888</v>
      </c>
    </row>
    <row r="252" spans="2:6" s="54" customFormat="1" ht="18">
      <c r="B252" s="41"/>
      <c r="C252" s="41"/>
      <c r="D252" s="65" t="s">
        <v>193</v>
      </c>
      <c r="E252" s="363">
        <f>SUM(E253:E258)</f>
        <v>-759440.3</v>
      </c>
      <c r="F252" s="150">
        <f>SUM(F253:F258)</f>
        <v>-1676054.8</v>
      </c>
    </row>
    <row r="253" spans="2:6" s="54" customFormat="1">
      <c r="B253" s="462"/>
      <c r="C253" s="462"/>
      <c r="D253" s="66" t="str">
        <f>+'Հավելված N 3'!C195</f>
        <v>Սիսիան համայնքի Շաքիի կրթահամալիր</v>
      </c>
      <c r="E253" s="368">
        <v>0</v>
      </c>
      <c r="F253" s="146">
        <f>+'Հավելված N 3'!D195</f>
        <v>-223351.3</v>
      </c>
    </row>
    <row r="254" spans="2:6" s="54" customFormat="1">
      <c r="B254" s="464"/>
      <c r="C254" s="464"/>
      <c r="D254" s="66" t="str">
        <f>+'Հավելված N 3'!C196</f>
        <v>Տեղ համայնքի Տեղի թիվ 2 կրթահամալիր</v>
      </c>
      <c r="E254" s="368">
        <v>0</v>
      </c>
      <c r="F254" s="146">
        <f>+'Հավելված N 3'!D196</f>
        <v>-106381.3</v>
      </c>
    </row>
    <row r="255" spans="2:6" s="54" customFormat="1">
      <c r="B255" s="464"/>
      <c r="C255" s="464"/>
      <c r="D255" s="66" t="str">
        <f>+'Հավելված N 3'!C197</f>
        <v>Կապան համայնքի Սյունիքի կրթահամալիր</v>
      </c>
      <c r="E255" s="368">
        <v>0</v>
      </c>
      <c r="F255" s="146">
        <f>+'Հավելված N 3'!D197</f>
        <v>-133170.20000000001</v>
      </c>
    </row>
    <row r="256" spans="2:6" s="54" customFormat="1" ht="17.399999999999999" customHeight="1">
      <c r="B256" s="464"/>
      <c r="C256" s="464"/>
      <c r="D256" s="66" t="str">
        <f>+'Հավելված N 3'!C198</f>
        <v>Կապան համայնքի Վերին Խոտանանի կրթահամալիր</v>
      </c>
      <c r="E256" s="368">
        <v>-285878.50000000006</v>
      </c>
      <c r="F256" s="146">
        <f>+'Հավելված N 3'!D198</f>
        <v>-400000</v>
      </c>
    </row>
    <row r="257" spans="2:6" s="54" customFormat="1" ht="34.799999999999997">
      <c r="B257" s="464"/>
      <c r="C257" s="464"/>
      <c r="D257" s="66" t="str">
        <f>+'Հավելված N 3'!C199</f>
        <v>Կապան համայնքի գ․ Բաբիկավան-Կավճուտի կրթահամալիր</v>
      </c>
      <c r="E257" s="368">
        <v>-152170.6</v>
      </c>
      <c r="F257" s="146">
        <f>+'Հավելված N 3'!D199</f>
        <v>-258674</v>
      </c>
    </row>
    <row r="258" spans="2:6" s="54" customFormat="1">
      <c r="B258" s="463"/>
      <c r="C258" s="463"/>
      <c r="D258" s="66" t="str">
        <f>+'Հավելված N 3'!C200</f>
        <v>Կապան համայնքի Ծավի կրթահամալիր</v>
      </c>
      <c r="E258" s="124">
        <v>-321391.2</v>
      </c>
      <c r="F258" s="146">
        <f>+'Հավելված N 3'!D200</f>
        <v>-554478</v>
      </c>
    </row>
    <row r="259" spans="2:6" s="54" customFormat="1" ht="18">
      <c r="B259" s="41"/>
      <c r="C259" s="41"/>
      <c r="D259" s="65" t="s">
        <v>196</v>
      </c>
      <c r="E259" s="150">
        <f>SUM(E260:E262)</f>
        <v>0</v>
      </c>
      <c r="F259" s="150">
        <f>SUM(F260:F262)</f>
        <v>-141647.29999999999</v>
      </c>
    </row>
    <row r="260" spans="2:6" s="54" customFormat="1">
      <c r="B260" s="462"/>
      <c r="C260" s="462"/>
      <c r="D260" s="66" t="str">
        <f>+'Հավելված N 3'!C202</f>
        <v>գ. Արփիի կրթահամալիր</v>
      </c>
      <c r="E260" s="124">
        <v>0</v>
      </c>
      <c r="F260" s="146">
        <f>+'Հավելված N 3'!D202</f>
        <v>-8640.2000000000007</v>
      </c>
    </row>
    <row r="261" spans="2:6" s="54" customFormat="1">
      <c r="B261" s="464"/>
      <c r="C261" s="464"/>
      <c r="D261" s="66" t="str">
        <f>+'Հավելված N 3'!C203</f>
        <v>գ. Մարտիրոսի կրթահամալիր</v>
      </c>
      <c r="E261" s="124">
        <v>0</v>
      </c>
      <c r="F261" s="146">
        <f>+'Հավելված N 3'!D203</f>
        <v>-46698</v>
      </c>
    </row>
    <row r="262" spans="2:6" s="54" customFormat="1">
      <c r="B262" s="463"/>
      <c r="C262" s="463"/>
      <c r="D262" s="66" t="str">
        <f>+'Հավելված N 3'!C204</f>
        <v>գ. Քարագլխի կրթահամալիր</v>
      </c>
      <c r="E262" s="124">
        <v>0</v>
      </c>
      <c r="F262" s="146">
        <f>+'Հավելված N 3'!D204</f>
        <v>-86309.1</v>
      </c>
    </row>
    <row r="263" spans="2:6" s="54" customFormat="1" ht="18">
      <c r="B263" s="41"/>
      <c r="C263" s="41"/>
      <c r="D263" s="65" t="s">
        <v>188</v>
      </c>
      <c r="E263" s="150">
        <f>SUM(E264:E265)</f>
        <v>-22149.3</v>
      </c>
      <c r="F263" s="150">
        <f>SUM(F264:F265)</f>
        <v>-194970.5</v>
      </c>
    </row>
    <row r="264" spans="2:6" s="54" customFormat="1">
      <c r="B264" s="462"/>
      <c r="C264" s="462"/>
      <c r="D264" s="66" t="str">
        <f>+'Հավելված N 3'!C206</f>
        <v>գ. Նորաշենի կրթահամալիր</v>
      </c>
      <c r="E264" s="124">
        <v>-22149.3</v>
      </c>
      <c r="F264" s="146">
        <f>+'Հավելված N 3'!D206</f>
        <v>-120642.9</v>
      </c>
    </row>
    <row r="265" spans="2:6" s="54" customFormat="1">
      <c r="B265" s="463"/>
      <c r="C265" s="463"/>
      <c r="D265" s="66" t="str">
        <f>+'Հավելված N 3'!C207</f>
        <v>գ. Պտղավանի կրթահամալիր</v>
      </c>
      <c r="E265" s="124">
        <v>0</v>
      </c>
      <c r="F265" s="146">
        <f>+'Հավելված N 3'!D207</f>
        <v>-74327.600000000006</v>
      </c>
    </row>
    <row r="266" spans="2:6" s="54" customFormat="1" ht="54">
      <c r="B266" s="56">
        <v>1236</v>
      </c>
      <c r="C266" s="201">
        <v>32006</v>
      </c>
      <c r="D266" s="71" t="s">
        <v>480</v>
      </c>
      <c r="E266" s="145">
        <f>+E268</f>
        <v>-690.5</v>
      </c>
      <c r="F266" s="145">
        <f>+F268</f>
        <v>-690.5</v>
      </c>
    </row>
    <row r="267" spans="2:6" s="54" customFormat="1">
      <c r="B267" s="64"/>
      <c r="C267" s="64"/>
      <c r="D267" s="67" t="s">
        <v>16</v>
      </c>
      <c r="E267" s="147"/>
      <c r="F267" s="147"/>
    </row>
    <row r="268" spans="2:6" s="54" customFormat="1" ht="36">
      <c r="B268" s="41"/>
      <c r="C268" s="41"/>
      <c r="D268" s="42" t="s">
        <v>12</v>
      </c>
      <c r="E268" s="148">
        <f>+E270</f>
        <v>-690.5</v>
      </c>
      <c r="F268" s="148">
        <f>+F270</f>
        <v>-690.5</v>
      </c>
    </row>
    <row r="269" spans="2:6" s="54" customFormat="1">
      <c r="B269" s="55"/>
      <c r="C269" s="55"/>
      <c r="D269" s="52" t="s">
        <v>101</v>
      </c>
      <c r="E269" s="149"/>
      <c r="F269" s="149"/>
    </row>
    <row r="270" spans="2:6" s="54" customFormat="1" ht="54">
      <c r="B270" s="41"/>
      <c r="C270" s="41"/>
      <c r="D270" s="65" t="str">
        <f>+'Հավելված N 3'!C210</f>
        <v>Հանրակրթական դպրոցների, մանկապարտեզների և կրթահամալիրների գույքով և տեխնիկայով ապահովում</v>
      </c>
      <c r="E270" s="150">
        <f>+F270</f>
        <v>-690.5</v>
      </c>
      <c r="F270" s="150">
        <f>+'Հավելված N 3'!D210</f>
        <v>-690.5</v>
      </c>
    </row>
  </sheetData>
  <mergeCells count="43">
    <mergeCell ref="C260:C262"/>
    <mergeCell ref="B260:B262"/>
    <mergeCell ref="C264:C265"/>
    <mergeCell ref="B264:B265"/>
    <mergeCell ref="B253:B258"/>
    <mergeCell ref="C253:C258"/>
    <mergeCell ref="C249:C251"/>
    <mergeCell ref="B249:B251"/>
    <mergeCell ref="C231:C233"/>
    <mergeCell ref="B231:B233"/>
    <mergeCell ref="B237:B242"/>
    <mergeCell ref="C237:C242"/>
    <mergeCell ref="B244:B245"/>
    <mergeCell ref="C244:C245"/>
    <mergeCell ref="B192:B195"/>
    <mergeCell ref="C192:C195"/>
    <mergeCell ref="C199:C201"/>
    <mergeCell ref="B199:B201"/>
    <mergeCell ref="C182:C183"/>
    <mergeCell ref="B182:B183"/>
    <mergeCell ref="C185:C186"/>
    <mergeCell ref="B185:B186"/>
    <mergeCell ref="C188:C190"/>
    <mergeCell ref="B188:B190"/>
    <mergeCell ref="C87:C88"/>
    <mergeCell ref="B87:B88"/>
    <mergeCell ref="B90:B91"/>
    <mergeCell ref="C90:C91"/>
    <mergeCell ref="C117:C118"/>
    <mergeCell ref="B117:B118"/>
    <mergeCell ref="E1:F1"/>
    <mergeCell ref="E3:F3"/>
    <mergeCell ref="B6:F6"/>
    <mergeCell ref="B9:C9"/>
    <mergeCell ref="D9:D10"/>
    <mergeCell ref="E9:F9"/>
    <mergeCell ref="D2:F2"/>
    <mergeCell ref="B170:B171"/>
    <mergeCell ref="C170:C171"/>
    <mergeCell ref="C166:C168"/>
    <mergeCell ref="B166:B168"/>
    <mergeCell ref="C126:C131"/>
    <mergeCell ref="B126:B131"/>
  </mergeCells>
  <pageMargins left="0.25" right="0.25" top="0.75" bottom="0.75" header="0.3" footer="0.3"/>
  <pageSetup paperSize="9" scale="47" fitToHeight="0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92D050"/>
    <pageSetUpPr fitToPage="1"/>
  </sheetPr>
  <dimension ref="A1:AD56"/>
  <sheetViews>
    <sheetView topLeftCell="A40" zoomScale="70" zoomScaleNormal="70" workbookViewId="0">
      <selection activeCell="G46" sqref="G46:G52"/>
    </sheetView>
  </sheetViews>
  <sheetFormatPr defaultColWidth="9.109375" defaultRowHeight="17.399999999999999"/>
  <cols>
    <col min="1" max="1" width="9.88671875" style="177" customWidth="1"/>
    <col min="2" max="2" width="14.6640625" style="177" bestFit="1" customWidth="1"/>
    <col min="3" max="3" width="8" style="177" customWidth="1"/>
    <col min="4" max="4" width="7.6640625" style="177" customWidth="1"/>
    <col min="5" max="5" width="39.109375" style="177" customWidth="1"/>
    <col min="6" max="6" width="50.109375" style="177" customWidth="1"/>
    <col min="7" max="7" width="35" style="177" customWidth="1"/>
    <col min="8" max="8" width="13.77734375" style="177" bestFit="1" customWidth="1"/>
    <col min="9" max="10" width="9.109375" style="177"/>
    <col min="11" max="11" width="12.109375" style="177" customWidth="1"/>
    <col min="12" max="16384" width="9.109375" style="177"/>
  </cols>
  <sheetData>
    <row r="1" spans="1:30" s="173" customFormat="1" ht="25.35" customHeight="1">
      <c r="F1" s="480" t="s">
        <v>631</v>
      </c>
      <c r="G1" s="480"/>
      <c r="AB1" s="480"/>
      <c r="AC1" s="480"/>
      <c r="AD1" s="480"/>
    </row>
    <row r="2" spans="1:30" s="1" customFormat="1">
      <c r="F2" s="481" t="s">
        <v>97</v>
      </c>
      <c r="G2" s="481"/>
      <c r="AA2" s="481"/>
      <c r="AB2" s="481"/>
      <c r="AC2" s="481"/>
      <c r="AD2" s="481"/>
    </row>
    <row r="3" spans="1:30" s="1" customFormat="1" ht="16.05" customHeight="1">
      <c r="F3" s="481" t="s">
        <v>0</v>
      </c>
      <c r="G3" s="481"/>
      <c r="Y3" s="481"/>
      <c r="Z3" s="481"/>
      <c r="AA3" s="481"/>
      <c r="AB3" s="481"/>
      <c r="AC3" s="481"/>
      <c r="AD3" s="481"/>
    </row>
    <row r="4" spans="1:30" s="1" customFormat="1">
      <c r="F4" s="174"/>
      <c r="G4" s="174"/>
      <c r="H4" s="174"/>
    </row>
    <row r="5" spans="1:30" s="1" customFormat="1" ht="16.05" customHeight="1">
      <c r="F5" s="174"/>
      <c r="G5" s="174"/>
      <c r="H5" s="174"/>
    </row>
    <row r="6" spans="1:30" s="1" customFormat="1" ht="67.650000000000006" customHeight="1">
      <c r="A6" s="482" t="s">
        <v>292</v>
      </c>
      <c r="B6" s="482"/>
      <c r="C6" s="482"/>
      <c r="D6" s="482"/>
      <c r="E6" s="482"/>
      <c r="F6" s="482"/>
      <c r="G6" s="482"/>
      <c r="H6" s="175"/>
    </row>
    <row r="7" spans="1:30" s="1" customFormat="1" ht="21" customHeight="1">
      <c r="A7" s="483" t="s">
        <v>293</v>
      </c>
      <c r="B7" s="483"/>
      <c r="C7" s="483"/>
      <c r="D7" s="483"/>
      <c r="E7" s="483"/>
      <c r="F7" s="483"/>
      <c r="G7" s="483"/>
      <c r="H7" s="175"/>
    </row>
    <row r="8" spans="1:30" ht="53.25" customHeight="1">
      <c r="A8" s="484" t="s">
        <v>1</v>
      </c>
      <c r="B8" s="484"/>
      <c r="C8" s="485" t="s">
        <v>294</v>
      </c>
      <c r="D8" s="486"/>
      <c r="E8" s="487"/>
      <c r="F8" s="491" t="s">
        <v>295</v>
      </c>
      <c r="G8" s="176" t="s">
        <v>296</v>
      </c>
    </row>
    <row r="9" spans="1:30" s="178" customFormat="1">
      <c r="A9" s="176" t="s">
        <v>14</v>
      </c>
      <c r="B9" s="176" t="s">
        <v>15</v>
      </c>
      <c r="C9" s="488"/>
      <c r="D9" s="489"/>
      <c r="E9" s="490"/>
      <c r="F9" s="492"/>
      <c r="G9" s="176" t="s">
        <v>3</v>
      </c>
    </row>
    <row r="10" spans="1:30" s="178" customFormat="1" ht="31.65" customHeight="1">
      <c r="A10" s="477" t="s">
        <v>12</v>
      </c>
      <c r="B10" s="478"/>
      <c r="C10" s="478"/>
      <c r="D10" s="478"/>
      <c r="E10" s="478"/>
      <c r="F10" s="479"/>
      <c r="G10" s="112">
        <f>+G11+G24+G32+G36+G40+G53</f>
        <v>606999.19999999995</v>
      </c>
      <c r="H10" s="179"/>
    </row>
    <row r="11" spans="1:30" ht="24" customHeight="1">
      <c r="A11" s="180">
        <v>1075</v>
      </c>
      <c r="B11" s="471" t="s">
        <v>297</v>
      </c>
      <c r="C11" s="472"/>
      <c r="D11" s="472"/>
      <c r="E11" s="472"/>
      <c r="F11" s="473"/>
      <c r="G11" s="181">
        <f>+G12+G21</f>
        <v>162064</v>
      </c>
      <c r="H11" s="182"/>
    </row>
    <row r="12" spans="1:30" ht="54.6" customHeight="1">
      <c r="A12" s="183"/>
      <c r="B12" s="180">
        <v>21001</v>
      </c>
      <c r="C12" s="474" t="s">
        <v>298</v>
      </c>
      <c r="D12" s="475"/>
      <c r="E12" s="476"/>
      <c r="F12" s="184" t="s">
        <v>12</v>
      </c>
      <c r="G12" s="257">
        <f>+G14+G16</f>
        <v>71950.7</v>
      </c>
      <c r="H12" s="186"/>
    </row>
    <row r="13" spans="1:30" ht="36" customHeight="1">
      <c r="A13" s="183"/>
      <c r="B13" s="180"/>
      <c r="C13" s="246"/>
      <c r="D13" s="493" t="s">
        <v>299</v>
      </c>
      <c r="E13" s="494"/>
      <c r="F13" s="184"/>
      <c r="G13" s="257"/>
      <c r="H13" s="196"/>
    </row>
    <row r="14" spans="1:30" ht="106.05" customHeight="1">
      <c r="A14" s="183"/>
      <c r="B14" s="183"/>
      <c r="C14" s="183"/>
      <c r="D14" s="48"/>
      <c r="E14" s="46" t="s">
        <v>300</v>
      </c>
      <c r="F14" s="187"/>
      <c r="G14" s="198">
        <f>+G15</f>
        <v>26250.699999999997</v>
      </c>
    </row>
    <row r="15" spans="1:30" ht="72.599999999999994" customHeight="1">
      <c r="A15" s="183"/>
      <c r="B15" s="183"/>
      <c r="C15" s="183"/>
      <c r="D15" s="48"/>
      <c r="E15" s="43" t="s">
        <v>301</v>
      </c>
      <c r="F15" s="187" t="s">
        <v>302</v>
      </c>
      <c r="G15" s="188">
        <f>+ROUNDUP(24880+878.64+492.036,1)</f>
        <v>26250.699999999997</v>
      </c>
    </row>
    <row r="16" spans="1:30" ht="106.05" customHeight="1">
      <c r="A16" s="183"/>
      <c r="B16" s="183"/>
      <c r="C16" s="183"/>
      <c r="D16" s="48"/>
      <c r="E16" s="46" t="s">
        <v>303</v>
      </c>
      <c r="F16" s="187"/>
      <c r="G16" s="198">
        <f>SUM(G17:G20)</f>
        <v>45700</v>
      </c>
    </row>
    <row r="17" spans="1:8" ht="34.799999999999997">
      <c r="A17" s="183"/>
      <c r="B17" s="183"/>
      <c r="C17" s="183"/>
      <c r="D17" s="48"/>
      <c r="E17" s="43" t="s">
        <v>325</v>
      </c>
      <c r="F17" s="187" t="s">
        <v>304</v>
      </c>
      <c r="G17" s="199">
        <v>15700</v>
      </c>
    </row>
    <row r="18" spans="1:8" ht="69.599999999999994">
      <c r="A18" s="183"/>
      <c r="B18" s="183"/>
      <c r="C18" s="183"/>
      <c r="D18" s="48"/>
      <c r="E18" s="43" t="s">
        <v>339</v>
      </c>
      <c r="F18" s="187" t="s">
        <v>341</v>
      </c>
      <c r="G18" s="199">
        <f>ROUND(5000*1.2,1)</f>
        <v>6000</v>
      </c>
    </row>
    <row r="19" spans="1:8" ht="69.599999999999994">
      <c r="A19" s="183"/>
      <c r="B19" s="183"/>
      <c r="C19" s="183"/>
      <c r="D19" s="48"/>
      <c r="E19" s="43" t="s">
        <v>340</v>
      </c>
      <c r="F19" s="187" t="s">
        <v>342</v>
      </c>
      <c r="G19" s="199">
        <f>ROUND(7500*1.2,1)</f>
        <v>9000</v>
      </c>
    </row>
    <row r="20" spans="1:8" ht="72.599999999999994" customHeight="1">
      <c r="A20" s="183"/>
      <c r="B20" s="183"/>
      <c r="C20" s="183"/>
      <c r="D20" s="294"/>
      <c r="E20" s="43" t="s">
        <v>469</v>
      </c>
      <c r="F20" s="187" t="s">
        <v>304</v>
      </c>
      <c r="G20" s="295">
        <v>15000</v>
      </c>
    </row>
    <row r="21" spans="1:8" ht="55.35" customHeight="1">
      <c r="A21" s="183"/>
      <c r="B21" s="180">
        <v>32008</v>
      </c>
      <c r="C21" s="474" t="s">
        <v>305</v>
      </c>
      <c r="D21" s="475"/>
      <c r="E21" s="476"/>
      <c r="F21" s="184" t="s">
        <v>12</v>
      </c>
      <c r="G21" s="185">
        <f>SUM(G22:G23)</f>
        <v>90113.3</v>
      </c>
      <c r="H21" s="186"/>
    </row>
    <row r="22" spans="1:8">
      <c r="A22" s="183"/>
      <c r="B22" s="183"/>
      <c r="C22" s="183"/>
      <c r="D22" s="48"/>
      <c r="E22" s="43"/>
      <c r="F22" s="187" t="s">
        <v>306</v>
      </c>
      <c r="G22" s="188">
        <f>56098.3+20095</f>
        <v>76193.3</v>
      </c>
    </row>
    <row r="23" spans="1:8" ht="52.2">
      <c r="A23" s="183"/>
      <c r="B23" s="183"/>
      <c r="C23" s="183"/>
      <c r="D23" s="48"/>
      <c r="E23" s="43"/>
      <c r="F23" s="187" t="s">
        <v>319</v>
      </c>
      <c r="G23" s="188">
        <f>13920</f>
        <v>13920</v>
      </c>
    </row>
    <row r="24" spans="1:8" ht="24" customHeight="1">
      <c r="A24" s="180">
        <v>1111</v>
      </c>
      <c r="B24" s="471" t="s">
        <v>314</v>
      </c>
      <c r="C24" s="472"/>
      <c r="D24" s="472"/>
      <c r="E24" s="472"/>
      <c r="F24" s="473"/>
      <c r="G24" s="181">
        <f>+G25+G29</f>
        <v>166383.40000000002</v>
      </c>
    </row>
    <row r="25" spans="1:8" ht="69.3" customHeight="1">
      <c r="A25" s="183"/>
      <c r="B25" s="180">
        <v>32001</v>
      </c>
      <c r="C25" s="474" t="s">
        <v>315</v>
      </c>
      <c r="D25" s="475"/>
      <c r="E25" s="476"/>
      <c r="F25" s="184"/>
      <c r="G25" s="185">
        <f>+G26</f>
        <v>163986.40000000002</v>
      </c>
      <c r="H25" s="186"/>
    </row>
    <row r="26" spans="1:8" ht="36.6" customHeight="1">
      <c r="A26" s="183"/>
      <c r="B26" s="189"/>
      <c r="C26" s="189"/>
      <c r="D26" s="48"/>
      <c r="E26" s="43"/>
      <c r="F26" s="184" t="s">
        <v>12</v>
      </c>
      <c r="G26" s="185">
        <f>SUM(G27:G28)</f>
        <v>163986.40000000002</v>
      </c>
    </row>
    <row r="27" spans="1:8" ht="34.799999999999997">
      <c r="A27" s="183"/>
      <c r="B27" s="183"/>
      <c r="C27" s="183"/>
      <c r="D27" s="48"/>
      <c r="E27" s="43"/>
      <c r="F27" s="190" t="s">
        <v>316</v>
      </c>
      <c r="G27" s="200">
        <v>146912.20000000001</v>
      </c>
    </row>
    <row r="28" spans="1:8" ht="34.799999999999997">
      <c r="A28" s="183"/>
      <c r="B28" s="183"/>
      <c r="C28" s="183"/>
      <c r="D28" s="48"/>
      <c r="E28" s="43"/>
      <c r="F28" s="190" t="s">
        <v>317</v>
      </c>
      <c r="G28" s="200">
        <f>ROUND(11847*1.1+3675*1.1,1)</f>
        <v>17074.2</v>
      </c>
      <c r="H28" s="196"/>
    </row>
    <row r="29" spans="1:8" ht="69.3" customHeight="1">
      <c r="A29" s="183"/>
      <c r="B29" s="180">
        <v>32003</v>
      </c>
      <c r="C29" s="474" t="s">
        <v>318</v>
      </c>
      <c r="D29" s="475"/>
      <c r="E29" s="476"/>
      <c r="F29" s="184"/>
      <c r="G29" s="185">
        <f>+G30</f>
        <v>2397</v>
      </c>
      <c r="H29" s="186"/>
    </row>
    <row r="30" spans="1:8" ht="36.6" customHeight="1">
      <c r="A30" s="183"/>
      <c r="B30" s="189"/>
      <c r="C30" s="189"/>
      <c r="D30" s="48"/>
      <c r="E30" s="43"/>
      <c r="F30" s="184" t="s">
        <v>12</v>
      </c>
      <c r="G30" s="185">
        <f>+G31</f>
        <v>2397</v>
      </c>
    </row>
    <row r="31" spans="1:8" ht="34.799999999999997">
      <c r="A31" s="183"/>
      <c r="B31" s="183"/>
      <c r="C31" s="183"/>
      <c r="D31" s="48"/>
      <c r="E31" s="43"/>
      <c r="F31" s="190" t="s">
        <v>317</v>
      </c>
      <c r="G31" s="200">
        <v>2397</v>
      </c>
      <c r="H31" s="196"/>
    </row>
    <row r="32" spans="1:8" ht="24" customHeight="1">
      <c r="A32" s="180">
        <v>1148</v>
      </c>
      <c r="B32" s="471" t="s">
        <v>447</v>
      </c>
      <c r="C32" s="472"/>
      <c r="D32" s="472"/>
      <c r="E32" s="472"/>
      <c r="F32" s="473"/>
      <c r="G32" s="181">
        <f>+G33</f>
        <v>8486.9</v>
      </c>
    </row>
    <row r="33" spans="1:8" ht="55.35" customHeight="1">
      <c r="A33" s="183"/>
      <c r="B33" s="180">
        <v>32005</v>
      </c>
      <c r="C33" s="474" t="s">
        <v>278</v>
      </c>
      <c r="D33" s="475"/>
      <c r="E33" s="476"/>
      <c r="F33" s="184"/>
      <c r="G33" s="185">
        <f>+G34</f>
        <v>8486.9</v>
      </c>
      <c r="H33" s="186"/>
    </row>
    <row r="34" spans="1:8" s="191" customFormat="1" ht="36.6" customHeight="1">
      <c r="A34" s="192"/>
      <c r="B34" s="193"/>
      <c r="C34" s="193"/>
      <c r="D34" s="194"/>
      <c r="E34" s="161"/>
      <c r="F34" s="184" t="s">
        <v>12</v>
      </c>
      <c r="G34" s="185">
        <f>+G35</f>
        <v>8486.9</v>
      </c>
    </row>
    <row r="35" spans="1:8" ht="34.799999999999997">
      <c r="A35" s="183"/>
      <c r="B35" s="183"/>
      <c r="C35" s="183"/>
      <c r="D35" s="48"/>
      <c r="E35" s="43"/>
      <c r="F35" s="195" t="s">
        <v>448</v>
      </c>
      <c r="G35" s="188">
        <v>8486.9</v>
      </c>
    </row>
    <row r="36" spans="1:8" ht="24" customHeight="1">
      <c r="A36" s="180">
        <v>1168</v>
      </c>
      <c r="B36" s="471" t="s">
        <v>153</v>
      </c>
      <c r="C36" s="472"/>
      <c r="D36" s="472"/>
      <c r="E36" s="472"/>
      <c r="F36" s="473"/>
      <c r="G36" s="181">
        <f>+G37</f>
        <v>16049.300000000001</v>
      </c>
    </row>
    <row r="37" spans="1:8" ht="55.35" customHeight="1">
      <c r="A37" s="183"/>
      <c r="B37" s="180">
        <v>32001</v>
      </c>
      <c r="C37" s="474" t="s">
        <v>151</v>
      </c>
      <c r="D37" s="475"/>
      <c r="E37" s="476"/>
      <c r="F37" s="184"/>
      <c r="G37" s="185">
        <f>+G38</f>
        <v>16049.300000000001</v>
      </c>
      <c r="H37" s="186"/>
    </row>
    <row r="38" spans="1:8" s="191" customFormat="1" ht="36.6" customHeight="1">
      <c r="A38" s="192"/>
      <c r="B38" s="193"/>
      <c r="C38" s="193"/>
      <c r="D38" s="194"/>
      <c r="E38" s="161"/>
      <c r="F38" s="184" t="s">
        <v>12</v>
      </c>
      <c r="G38" s="185">
        <f>+G39</f>
        <v>16049.300000000001</v>
      </c>
    </row>
    <row r="39" spans="1:8" ht="52.2">
      <c r="A39" s="183"/>
      <c r="B39" s="183"/>
      <c r="C39" s="183"/>
      <c r="D39" s="48"/>
      <c r="E39" s="43"/>
      <c r="F39" s="195" t="s">
        <v>291</v>
      </c>
      <c r="G39" s="188">
        <f>15600+345.6+103.7</f>
        <v>16049.300000000001</v>
      </c>
    </row>
    <row r="40" spans="1:8" ht="24" customHeight="1">
      <c r="A40" s="180">
        <v>1183</v>
      </c>
      <c r="B40" s="471" t="s">
        <v>92</v>
      </c>
      <c r="C40" s="472"/>
      <c r="D40" s="472"/>
      <c r="E40" s="472"/>
      <c r="F40" s="473"/>
      <c r="G40" s="181">
        <f>+G41</f>
        <v>253325.09999999998</v>
      </c>
    </row>
    <row r="41" spans="1:8" ht="55.35" customHeight="1">
      <c r="A41" s="183"/>
      <c r="B41" s="180">
        <v>32001</v>
      </c>
      <c r="C41" s="474" t="s">
        <v>284</v>
      </c>
      <c r="D41" s="475"/>
      <c r="E41" s="476"/>
      <c r="F41" s="184"/>
      <c r="G41" s="185">
        <f>+G42+G44</f>
        <v>253325.09999999998</v>
      </c>
      <c r="H41" s="186"/>
    </row>
    <row r="42" spans="1:8" s="259" customFormat="1" ht="36.6" customHeight="1">
      <c r="A42" s="193"/>
      <c r="B42" s="193"/>
      <c r="C42" s="193"/>
      <c r="D42" s="194"/>
      <c r="E42" s="161"/>
      <c r="F42" s="184" t="s">
        <v>12</v>
      </c>
      <c r="G42" s="185">
        <f>+G43</f>
        <v>4005.3</v>
      </c>
    </row>
    <row r="43" spans="1:8">
      <c r="A43" s="183"/>
      <c r="B43" s="183"/>
      <c r="C43" s="183"/>
      <c r="D43" s="48"/>
      <c r="E43" s="43"/>
      <c r="F43" s="195" t="s">
        <v>453</v>
      </c>
      <c r="G43" s="188">
        <v>4005.3</v>
      </c>
    </row>
    <row r="44" spans="1:8" s="259" customFormat="1" ht="36.6" customHeight="1">
      <c r="A44" s="193"/>
      <c r="B44" s="193"/>
      <c r="C44" s="193"/>
      <c r="D44" s="194"/>
      <c r="E44" s="161"/>
      <c r="F44" s="258" t="s">
        <v>327</v>
      </c>
      <c r="G44" s="185">
        <f>SUM(G45:G52)</f>
        <v>249319.8</v>
      </c>
    </row>
    <row r="45" spans="1:8" ht="34.799999999999997">
      <c r="A45" s="183"/>
      <c r="B45" s="183"/>
      <c r="C45" s="183"/>
      <c r="D45" s="48"/>
      <c r="E45" s="43"/>
      <c r="F45" s="195" t="s">
        <v>452</v>
      </c>
      <c r="G45" s="188">
        <v>5858.1</v>
      </c>
    </row>
    <row r="46" spans="1:8">
      <c r="A46" s="183"/>
      <c r="B46" s="183"/>
      <c r="C46" s="183"/>
      <c r="D46" s="48"/>
      <c r="E46" s="43"/>
      <c r="F46" s="195" t="s">
        <v>329</v>
      </c>
      <c r="G46" s="188">
        <v>7816.8</v>
      </c>
    </row>
    <row r="47" spans="1:8">
      <c r="A47" s="183"/>
      <c r="B47" s="183"/>
      <c r="C47" s="183"/>
      <c r="D47" s="48"/>
      <c r="E47" s="43"/>
      <c r="F47" s="195" t="s">
        <v>330</v>
      </c>
      <c r="G47" s="188">
        <v>33677.5</v>
      </c>
    </row>
    <row r="48" spans="1:8">
      <c r="A48" s="183"/>
      <c r="B48" s="183"/>
      <c r="C48" s="183"/>
      <c r="D48" s="48"/>
      <c r="E48" s="43"/>
      <c r="F48" s="195" t="s">
        <v>331</v>
      </c>
      <c r="G48" s="188">
        <v>24088.799999999996</v>
      </c>
    </row>
    <row r="49" spans="1:8" ht="34.799999999999997">
      <c r="A49" s="183"/>
      <c r="B49" s="183"/>
      <c r="C49" s="183"/>
      <c r="D49" s="48"/>
      <c r="E49" s="43"/>
      <c r="F49" s="195" t="s">
        <v>332</v>
      </c>
      <c r="G49" s="188">
        <v>46548.700000000004</v>
      </c>
    </row>
    <row r="50" spans="1:8">
      <c r="A50" s="183"/>
      <c r="B50" s="183"/>
      <c r="C50" s="183"/>
      <c r="D50" s="48"/>
      <c r="E50" s="43"/>
      <c r="F50" s="195" t="s">
        <v>333</v>
      </c>
      <c r="G50" s="188">
        <v>40722.6</v>
      </c>
    </row>
    <row r="51" spans="1:8">
      <c r="A51" s="183"/>
      <c r="B51" s="183"/>
      <c r="C51" s="183"/>
      <c r="D51" s="48"/>
      <c r="E51" s="43"/>
      <c r="F51" s="195" t="s">
        <v>334</v>
      </c>
      <c r="G51" s="188">
        <v>43424</v>
      </c>
    </row>
    <row r="52" spans="1:8">
      <c r="A52" s="183"/>
      <c r="B52" s="183"/>
      <c r="C52" s="183"/>
      <c r="D52" s="48"/>
      <c r="E52" s="43"/>
      <c r="F52" s="195" t="s">
        <v>335</v>
      </c>
      <c r="G52" s="188">
        <v>47183.3</v>
      </c>
    </row>
    <row r="53" spans="1:8" ht="24" customHeight="1">
      <c r="A53" s="180">
        <v>1236</v>
      </c>
      <c r="B53" s="471" t="s">
        <v>86</v>
      </c>
      <c r="C53" s="472"/>
      <c r="D53" s="472"/>
      <c r="E53" s="472"/>
      <c r="F53" s="473"/>
      <c r="G53" s="181">
        <f>+G54</f>
        <v>690.5</v>
      </c>
    </row>
    <row r="54" spans="1:8" ht="55.35" customHeight="1">
      <c r="A54" s="183"/>
      <c r="B54" s="180">
        <v>32006</v>
      </c>
      <c r="C54" s="474" t="s">
        <v>480</v>
      </c>
      <c r="D54" s="475"/>
      <c r="E54" s="476"/>
      <c r="F54" s="184"/>
      <c r="G54" s="185">
        <f>+G55+G57</f>
        <v>690.5</v>
      </c>
      <c r="H54" s="186"/>
    </row>
    <row r="55" spans="1:8" s="259" customFormat="1" ht="36.6" customHeight="1">
      <c r="A55" s="193"/>
      <c r="B55" s="193"/>
      <c r="C55" s="193"/>
      <c r="D55" s="194"/>
      <c r="E55" s="161"/>
      <c r="F55" s="184" t="s">
        <v>12</v>
      </c>
      <c r="G55" s="185">
        <f>+G56</f>
        <v>690.5</v>
      </c>
    </row>
    <row r="56" spans="1:8" ht="34.799999999999997">
      <c r="A56" s="183"/>
      <c r="B56" s="183"/>
      <c r="C56" s="183"/>
      <c r="D56" s="48"/>
      <c r="E56" s="43"/>
      <c r="F56" s="195" t="s">
        <v>481</v>
      </c>
      <c r="G56" s="188">
        <v>690.5</v>
      </c>
    </row>
  </sheetData>
  <mergeCells count="27">
    <mergeCell ref="B36:F36"/>
    <mergeCell ref="B40:F40"/>
    <mergeCell ref="C41:E41"/>
    <mergeCell ref="D13:E13"/>
    <mergeCell ref="C21:E21"/>
    <mergeCell ref="C37:E37"/>
    <mergeCell ref="B24:F24"/>
    <mergeCell ref="B32:F32"/>
    <mergeCell ref="C33:E33"/>
    <mergeCell ref="C29:E29"/>
    <mergeCell ref="C25:E25"/>
    <mergeCell ref="B53:F53"/>
    <mergeCell ref="C54:E54"/>
    <mergeCell ref="A10:F10"/>
    <mergeCell ref="F1:G1"/>
    <mergeCell ref="AB1:AD1"/>
    <mergeCell ref="F2:G2"/>
    <mergeCell ref="AA2:AD2"/>
    <mergeCell ref="F3:G3"/>
    <mergeCell ref="Y3:AD3"/>
    <mergeCell ref="A6:G6"/>
    <mergeCell ref="A7:G7"/>
    <mergeCell ref="A8:B8"/>
    <mergeCell ref="C8:E9"/>
    <mergeCell ref="F8:F9"/>
    <mergeCell ref="B11:F11"/>
    <mergeCell ref="C12:E12"/>
  </mergeCells>
  <pageMargins left="0.25" right="0.25" top="0.75" bottom="0.75" header="0.3" footer="0.3"/>
  <pageSetup paperSize="9" scale="37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92D050"/>
  </sheetPr>
  <dimension ref="A1:BA166"/>
  <sheetViews>
    <sheetView topLeftCell="A143" zoomScale="70" zoomScaleNormal="70" workbookViewId="0">
      <selection activeCell="A149" sqref="A149:XFD155"/>
    </sheetView>
  </sheetViews>
  <sheetFormatPr defaultColWidth="8.77734375" defaultRowHeight="17.399999999999999"/>
  <cols>
    <col min="1" max="1" width="6.44140625" style="77" bestFit="1" customWidth="1"/>
    <col min="2" max="2" width="9.6640625" style="77" customWidth="1"/>
    <col min="3" max="3" width="13.109375" style="77" customWidth="1"/>
    <col min="4" max="4" width="16.6640625" style="92" customWidth="1"/>
    <col min="5" max="5" width="13.109375" style="77" customWidth="1"/>
    <col min="6" max="6" width="15.44140625" style="77" customWidth="1"/>
    <col min="7" max="7" width="10.44140625" style="77" customWidth="1"/>
    <col min="8" max="8" width="22.5546875" style="77" customWidth="1"/>
    <col min="9" max="9" width="46.33203125" style="77" customWidth="1"/>
    <col min="10" max="11" width="24.77734375" style="77" customWidth="1"/>
    <col min="12" max="16384" width="8.77734375" style="77"/>
  </cols>
  <sheetData>
    <row r="1" spans="1:53" ht="28.5" customHeight="1">
      <c r="D1" s="78"/>
      <c r="E1" s="78"/>
      <c r="F1" s="78"/>
      <c r="G1" s="530"/>
      <c r="H1" s="530"/>
      <c r="I1" s="530" t="s">
        <v>632</v>
      </c>
      <c r="J1" s="530"/>
      <c r="K1" s="530"/>
    </row>
    <row r="2" spans="1:53" ht="17.7" customHeight="1">
      <c r="D2" s="79"/>
      <c r="E2" s="79"/>
      <c r="F2" s="80"/>
      <c r="H2" s="81"/>
      <c r="I2" s="531" t="s">
        <v>102</v>
      </c>
      <c r="J2" s="531"/>
      <c r="K2" s="531"/>
    </row>
    <row r="3" spans="1:53">
      <c r="D3" s="79"/>
      <c r="E3" s="79"/>
      <c r="F3" s="80"/>
      <c r="G3" s="531"/>
      <c r="H3" s="531"/>
      <c r="I3" s="531" t="s">
        <v>20</v>
      </c>
      <c r="J3" s="531"/>
      <c r="K3" s="531"/>
    </row>
    <row r="4" spans="1:53">
      <c r="D4" s="79"/>
      <c r="E4" s="79"/>
      <c r="F4" s="80"/>
      <c r="G4" s="81"/>
      <c r="H4" s="81"/>
      <c r="I4" s="81"/>
    </row>
    <row r="5" spans="1:53">
      <c r="D5" s="79"/>
      <c r="E5" s="79"/>
      <c r="F5" s="80"/>
      <c r="G5" s="81"/>
      <c r="H5" s="81"/>
      <c r="I5" s="81"/>
    </row>
    <row r="6" spans="1:53" ht="40.799999999999997" customHeight="1">
      <c r="A6" s="467" t="s">
        <v>128</v>
      </c>
      <c r="B6" s="467"/>
      <c r="C6" s="467"/>
      <c r="D6" s="467"/>
      <c r="E6" s="467"/>
      <c r="F6" s="467"/>
      <c r="G6" s="467"/>
      <c r="H6" s="467"/>
      <c r="I6" s="467"/>
      <c r="J6" s="467"/>
      <c r="K6" s="467"/>
    </row>
    <row r="9" spans="1:53" ht="51" customHeight="1">
      <c r="A9" s="375" t="s">
        <v>129</v>
      </c>
      <c r="B9" s="375" t="s">
        <v>130</v>
      </c>
      <c r="C9" s="375"/>
      <c r="D9" s="375" t="s">
        <v>131</v>
      </c>
      <c r="E9" s="375"/>
      <c r="F9" s="375"/>
      <c r="G9" s="375"/>
      <c r="H9" s="375" t="s">
        <v>132</v>
      </c>
      <c r="I9" s="375" t="s">
        <v>133</v>
      </c>
      <c r="J9" s="532" t="s">
        <v>55</v>
      </c>
      <c r="K9" s="533"/>
    </row>
    <row r="10" spans="1:53" ht="51" customHeight="1">
      <c r="A10" s="375"/>
      <c r="B10" s="75" t="s">
        <v>134</v>
      </c>
      <c r="C10" s="75" t="s">
        <v>135</v>
      </c>
      <c r="D10" s="75" t="s">
        <v>136</v>
      </c>
      <c r="E10" s="75" t="s">
        <v>135</v>
      </c>
      <c r="F10" s="75" t="s">
        <v>137</v>
      </c>
      <c r="G10" s="75" t="s">
        <v>138</v>
      </c>
      <c r="H10" s="375"/>
      <c r="I10" s="375"/>
      <c r="J10" s="75" t="s">
        <v>139</v>
      </c>
      <c r="K10" s="75" t="s">
        <v>140</v>
      </c>
    </row>
    <row r="11" spans="1:53" s="83" customFormat="1" ht="48.45" customHeight="1">
      <c r="A11" s="527" t="s">
        <v>141</v>
      </c>
      <c r="B11" s="527"/>
      <c r="C11" s="527"/>
      <c r="D11" s="527"/>
      <c r="E11" s="527"/>
      <c r="F11" s="527"/>
      <c r="G11" s="527"/>
      <c r="H11" s="527"/>
      <c r="I11" s="527"/>
      <c r="J11" s="82">
        <f>+J13+J150+J157</f>
        <v>0</v>
      </c>
      <c r="K11" s="82">
        <f>+K13+K150+K157</f>
        <v>0</v>
      </c>
      <c r="L11" s="104"/>
      <c r="M11" s="104"/>
      <c r="N11" s="104"/>
      <c r="O11" s="104"/>
      <c r="P11" s="104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/>
      <c r="AJ11" s="104"/>
      <c r="AK11" s="104"/>
      <c r="AL11" s="104"/>
      <c r="AM11" s="104"/>
      <c r="AN11" s="104"/>
      <c r="AO11" s="104"/>
      <c r="AP11" s="104"/>
      <c r="AQ11" s="104"/>
      <c r="AR11" s="104"/>
      <c r="AS11" s="104"/>
      <c r="AT11" s="104"/>
      <c r="AU11" s="104"/>
      <c r="AV11" s="104"/>
      <c r="AW11" s="104"/>
      <c r="AX11" s="104"/>
      <c r="AY11" s="104"/>
      <c r="AZ11" s="104"/>
      <c r="BA11" s="104"/>
    </row>
    <row r="12" spans="1:53" s="85" customFormat="1" ht="18">
      <c r="A12" s="528" t="s">
        <v>111</v>
      </c>
      <c r="B12" s="528"/>
      <c r="C12" s="528"/>
      <c r="D12" s="528"/>
      <c r="E12" s="528"/>
      <c r="F12" s="528"/>
      <c r="G12" s="528"/>
      <c r="H12" s="528"/>
      <c r="I12" s="528"/>
      <c r="J12" s="84"/>
      <c r="K12" s="84"/>
      <c r="L12" s="105"/>
      <c r="M12" s="105"/>
      <c r="N12" s="105"/>
      <c r="O12" s="105"/>
      <c r="P12" s="105"/>
      <c r="Q12" s="105"/>
      <c r="R12" s="105"/>
      <c r="S12" s="105"/>
      <c r="T12" s="105"/>
      <c r="U12" s="105"/>
      <c r="V12" s="105"/>
      <c r="W12" s="105"/>
      <c r="X12" s="105"/>
      <c r="Y12" s="105"/>
      <c r="Z12" s="105"/>
      <c r="AA12" s="105"/>
      <c r="AB12" s="105"/>
      <c r="AC12" s="105"/>
      <c r="AD12" s="105"/>
      <c r="AE12" s="105"/>
      <c r="AF12" s="105"/>
      <c r="AG12" s="105"/>
      <c r="AH12" s="105"/>
      <c r="AI12" s="105"/>
      <c r="AJ12" s="105"/>
      <c r="AK12" s="105"/>
      <c r="AL12" s="105"/>
      <c r="AM12" s="105"/>
      <c r="AN12" s="105"/>
      <c r="AO12" s="105"/>
      <c r="AP12" s="105"/>
      <c r="AQ12" s="105"/>
      <c r="AR12" s="105"/>
      <c r="AS12" s="105"/>
      <c r="AT12" s="105"/>
      <c r="AU12" s="105"/>
      <c r="AV12" s="105"/>
      <c r="AW12" s="105"/>
      <c r="AX12" s="105"/>
      <c r="AY12" s="105"/>
      <c r="AZ12" s="105"/>
      <c r="BA12" s="105"/>
    </row>
    <row r="13" spans="1:53" s="86" customFormat="1" ht="30" customHeight="1">
      <c r="A13" s="496" t="s">
        <v>142</v>
      </c>
      <c r="B13" s="496"/>
      <c r="C13" s="496"/>
      <c r="D13" s="496"/>
      <c r="E13" s="496"/>
      <c r="F13" s="496"/>
      <c r="G13" s="496"/>
      <c r="H13" s="496"/>
      <c r="I13" s="496"/>
      <c r="J13" s="137">
        <f>+J14+J25+J42+J54+J61+J69+J91+J104+J121+J128</f>
        <v>2521776</v>
      </c>
      <c r="K13" s="137">
        <f>+K14+K25+K42+K54+K61+K69+K91+K104+K121+K128</f>
        <v>13214638.112999998</v>
      </c>
      <c r="L13" s="10"/>
      <c r="M13" s="10"/>
      <c r="N13" s="10"/>
      <c r="O13" s="10"/>
      <c r="P13" s="10"/>
      <c r="Q13" s="10"/>
      <c r="R13" s="10"/>
      <c r="S13" s="10"/>
      <c r="T13" s="10"/>
      <c r="U13" s="10"/>
      <c r="V13" s="10"/>
      <c r="W13" s="10"/>
      <c r="X13" s="10"/>
      <c r="Y13" s="10"/>
      <c r="Z13" s="10"/>
      <c r="AA13" s="10"/>
      <c r="AB13" s="10"/>
      <c r="AC13" s="10"/>
      <c r="AD13" s="10"/>
      <c r="AE13" s="10"/>
      <c r="AF13" s="10"/>
      <c r="AG13" s="10"/>
      <c r="AH13" s="10"/>
      <c r="AI13" s="10"/>
      <c r="AJ13" s="10"/>
      <c r="AK13" s="10"/>
      <c r="AL13" s="10"/>
      <c r="AM13" s="10"/>
      <c r="AN13" s="10"/>
      <c r="AO13" s="10"/>
      <c r="AP13" s="10"/>
      <c r="AQ13" s="10"/>
      <c r="AR13" s="10"/>
      <c r="AS13" s="10"/>
      <c r="AT13" s="10"/>
      <c r="AU13" s="10"/>
      <c r="AV13" s="10"/>
      <c r="AW13" s="10"/>
      <c r="AX13" s="10"/>
      <c r="AY13" s="10"/>
      <c r="AZ13" s="10"/>
      <c r="BA13" s="10"/>
    </row>
    <row r="14" spans="1:53" ht="18">
      <c r="A14" s="434"/>
      <c r="B14" s="103">
        <v>1045</v>
      </c>
      <c r="C14" s="498" t="s">
        <v>110</v>
      </c>
      <c r="D14" s="498"/>
      <c r="E14" s="498"/>
      <c r="F14" s="498"/>
      <c r="G14" s="498"/>
      <c r="H14" s="498"/>
      <c r="I14" s="498"/>
      <c r="J14" s="84">
        <f>+J15+J19</f>
        <v>-358486</v>
      </c>
      <c r="K14" s="84">
        <f>+K15+K19</f>
        <v>-468197.3</v>
      </c>
    </row>
    <row r="15" spans="1:53" s="88" customFormat="1" ht="33" customHeight="1">
      <c r="A15" s="435"/>
      <c r="B15" s="518"/>
      <c r="C15" s="515"/>
      <c r="D15" s="103" t="s">
        <v>487</v>
      </c>
      <c r="E15" s="498" t="s">
        <v>488</v>
      </c>
      <c r="F15" s="498"/>
      <c r="G15" s="498"/>
      <c r="H15" s="498"/>
      <c r="I15" s="498"/>
      <c r="J15" s="87">
        <f>+'Հավելված N 1'!G17</f>
        <v>-231819.6</v>
      </c>
      <c r="K15" s="87">
        <f>+'Հավելված N 1'!H17</f>
        <v>-207065</v>
      </c>
    </row>
    <row r="16" spans="1:53" ht="33.299999999999997" customHeight="1">
      <c r="A16" s="435"/>
      <c r="B16" s="519"/>
      <c r="C16" s="516"/>
      <c r="D16" s="499"/>
      <c r="E16" s="515"/>
      <c r="F16" s="523" t="s">
        <v>561</v>
      </c>
      <c r="G16" s="524"/>
      <c r="H16" s="524"/>
      <c r="I16" s="524"/>
      <c r="J16" s="524"/>
      <c r="K16" s="525"/>
    </row>
    <row r="17" spans="1:11" ht="33.299999999999997" customHeight="1">
      <c r="A17" s="435"/>
      <c r="B17" s="519"/>
      <c r="C17" s="516"/>
      <c r="D17" s="499"/>
      <c r="E17" s="516"/>
      <c r="F17" s="515"/>
      <c r="G17" s="523" t="s">
        <v>88</v>
      </c>
      <c r="H17" s="524"/>
      <c r="I17" s="524"/>
      <c r="J17" s="524"/>
      <c r="K17" s="525"/>
    </row>
    <row r="18" spans="1:11" ht="33.299999999999997" customHeight="1">
      <c r="A18" s="435"/>
      <c r="B18" s="519"/>
      <c r="C18" s="516"/>
      <c r="D18" s="499"/>
      <c r="E18" s="516"/>
      <c r="F18" s="516"/>
      <c r="G18" s="316"/>
      <c r="H18" s="523" t="s">
        <v>144</v>
      </c>
      <c r="I18" s="524"/>
      <c r="J18" s="524"/>
      <c r="K18" s="525"/>
    </row>
    <row r="19" spans="1:11" s="88" customFormat="1" ht="33" customHeight="1">
      <c r="A19" s="435"/>
      <c r="B19" s="519"/>
      <c r="C19" s="516"/>
      <c r="D19" s="103" t="s">
        <v>214</v>
      </c>
      <c r="E19" s="498" t="s">
        <v>215</v>
      </c>
      <c r="F19" s="498"/>
      <c r="G19" s="498"/>
      <c r="H19" s="498"/>
      <c r="I19" s="498"/>
      <c r="J19" s="87">
        <f>+'Հավելված N 1'!G18</f>
        <v>-126666.4</v>
      </c>
      <c r="K19" s="87">
        <f>+'Հավելված N 1'!H18</f>
        <v>-261132.3</v>
      </c>
    </row>
    <row r="20" spans="1:11" ht="33.299999999999997" customHeight="1">
      <c r="A20" s="435"/>
      <c r="B20" s="519"/>
      <c r="C20" s="516"/>
      <c r="D20" s="499"/>
      <c r="E20" s="500"/>
      <c r="F20" s="507" t="s">
        <v>223</v>
      </c>
      <c r="G20" s="505"/>
      <c r="H20" s="505"/>
      <c r="I20" s="505"/>
      <c r="J20" s="505"/>
      <c r="K20" s="505"/>
    </row>
    <row r="21" spans="1:11" ht="33.299999999999997" customHeight="1">
      <c r="A21" s="435"/>
      <c r="B21" s="519"/>
      <c r="C21" s="516"/>
      <c r="D21" s="499"/>
      <c r="E21" s="500"/>
      <c r="F21" s="508"/>
      <c r="G21" s="507" t="s">
        <v>88</v>
      </c>
      <c r="H21" s="505"/>
      <c r="I21" s="505"/>
      <c r="J21" s="505"/>
      <c r="K21" s="505"/>
    </row>
    <row r="22" spans="1:11" ht="33.299999999999997" customHeight="1">
      <c r="A22" s="435"/>
      <c r="B22" s="519"/>
      <c r="C22" s="516"/>
      <c r="D22" s="499"/>
      <c r="E22" s="500"/>
      <c r="F22" s="508"/>
      <c r="G22" s="508"/>
      <c r="H22" s="507" t="s">
        <v>144</v>
      </c>
      <c r="I22" s="505"/>
      <c r="J22" s="505"/>
      <c r="K22" s="505"/>
    </row>
    <row r="23" spans="1:11" ht="52.2">
      <c r="A23" s="435"/>
      <c r="B23" s="520"/>
      <c r="C23" s="517"/>
      <c r="D23" s="499"/>
      <c r="E23" s="500"/>
      <c r="F23" s="508"/>
      <c r="G23" s="508"/>
      <c r="H23" s="94"/>
      <c r="I23" s="47" t="s">
        <v>224</v>
      </c>
      <c r="J23" s="134" t="s">
        <v>143</v>
      </c>
      <c r="K23" s="133">
        <v>-1</v>
      </c>
    </row>
    <row r="24" spans="1:11" ht="8.5500000000000007" customHeight="1">
      <c r="A24" s="435"/>
      <c r="B24" s="69"/>
      <c r="C24" s="69"/>
      <c r="D24" s="69"/>
      <c r="E24" s="69"/>
      <c r="F24" s="69"/>
      <c r="G24" s="69"/>
      <c r="H24" s="69"/>
      <c r="I24" s="69"/>
      <c r="J24" s="69"/>
      <c r="K24" s="89"/>
    </row>
    <row r="25" spans="1:11" s="90" customFormat="1" ht="18">
      <c r="A25" s="435"/>
      <c r="B25" s="100">
        <v>1075</v>
      </c>
      <c r="C25" s="503" t="s">
        <v>456</v>
      </c>
      <c r="D25" s="503"/>
      <c r="E25" s="503"/>
      <c r="F25" s="503"/>
      <c r="G25" s="503"/>
      <c r="H25" s="503"/>
      <c r="I25" s="503"/>
      <c r="J25" s="84">
        <f>+J26+J32+J37</f>
        <v>80200.5</v>
      </c>
      <c r="K25" s="84">
        <f>+K26+K32+K37</f>
        <v>21647</v>
      </c>
    </row>
    <row r="26" spans="1:11" s="91" customFormat="1" ht="33" customHeight="1">
      <c r="A26" s="435"/>
      <c r="B26" s="504"/>
      <c r="C26" s="390"/>
      <c r="D26" s="46" t="s">
        <v>493</v>
      </c>
      <c r="E26" s="503" t="s">
        <v>494</v>
      </c>
      <c r="F26" s="503"/>
      <c r="G26" s="503"/>
      <c r="H26" s="503"/>
      <c r="I26" s="503"/>
      <c r="J26" s="76">
        <f>+'Հավելված N 1'!G20</f>
        <v>19137.199999999997</v>
      </c>
      <c r="K26" s="76">
        <f>+'Հավելված N 1'!H20</f>
        <v>-39416.300000000003</v>
      </c>
    </row>
    <row r="27" spans="1:11" s="90" customFormat="1" ht="18">
      <c r="A27" s="435"/>
      <c r="B27" s="392"/>
      <c r="C27" s="391"/>
      <c r="D27" s="390"/>
      <c r="E27" s="390"/>
      <c r="F27" s="475" t="s">
        <v>562</v>
      </c>
      <c r="G27" s="475"/>
      <c r="H27" s="475"/>
      <c r="I27" s="475"/>
      <c r="J27" s="475"/>
      <c r="K27" s="476"/>
    </row>
    <row r="28" spans="1:11" s="90" customFormat="1" ht="17.7" customHeight="1">
      <c r="A28" s="435"/>
      <c r="B28" s="392"/>
      <c r="C28" s="391"/>
      <c r="D28" s="391"/>
      <c r="E28" s="391"/>
      <c r="F28" s="390"/>
      <c r="G28" s="475" t="s">
        <v>563</v>
      </c>
      <c r="H28" s="475"/>
      <c r="I28" s="475"/>
      <c r="J28" s="475"/>
      <c r="K28" s="476"/>
    </row>
    <row r="29" spans="1:11" s="90" customFormat="1" ht="18">
      <c r="A29" s="435"/>
      <c r="B29" s="392"/>
      <c r="C29" s="391"/>
      <c r="D29" s="391"/>
      <c r="E29" s="391"/>
      <c r="F29" s="391"/>
      <c r="G29" s="390"/>
      <c r="H29" s="475" t="s">
        <v>564</v>
      </c>
      <c r="I29" s="475"/>
      <c r="J29" s="475"/>
      <c r="K29" s="476"/>
    </row>
    <row r="30" spans="1:11" ht="52.2">
      <c r="A30" s="435"/>
      <c r="B30" s="392"/>
      <c r="C30" s="391"/>
      <c r="D30" s="391"/>
      <c r="E30" s="391"/>
      <c r="F30" s="391"/>
      <c r="G30" s="391"/>
      <c r="H30" s="94"/>
      <c r="I30" s="294" t="s">
        <v>565</v>
      </c>
      <c r="J30" s="294" t="s">
        <v>143</v>
      </c>
      <c r="K30" s="133">
        <v>-3</v>
      </c>
    </row>
    <row r="31" spans="1:11" ht="52.2">
      <c r="A31" s="435"/>
      <c r="B31" s="392"/>
      <c r="C31" s="391"/>
      <c r="D31" s="400"/>
      <c r="E31" s="400"/>
      <c r="F31" s="400"/>
      <c r="G31" s="400"/>
      <c r="H31" s="94"/>
      <c r="I31" s="294" t="s">
        <v>569</v>
      </c>
      <c r="J31" s="294" t="s">
        <v>143</v>
      </c>
      <c r="K31" s="133">
        <v>1</v>
      </c>
    </row>
    <row r="32" spans="1:11" s="91" customFormat="1" ht="33" customHeight="1">
      <c r="A32" s="435"/>
      <c r="B32" s="392"/>
      <c r="C32" s="391"/>
      <c r="D32" s="46" t="s">
        <v>497</v>
      </c>
      <c r="E32" s="503" t="s">
        <v>498</v>
      </c>
      <c r="F32" s="503"/>
      <c r="G32" s="503"/>
      <c r="H32" s="503"/>
      <c r="I32" s="503"/>
      <c r="J32" s="76">
        <f>+'Հավելված N 1'!G21</f>
        <v>90113.3</v>
      </c>
      <c r="K32" s="76">
        <f>+'Հավելված N 1'!H21</f>
        <v>90113.3</v>
      </c>
    </row>
    <row r="33" spans="1:11" s="90" customFormat="1" ht="18">
      <c r="A33" s="435"/>
      <c r="B33" s="392"/>
      <c r="C33" s="391"/>
      <c r="D33" s="429"/>
      <c r="E33" s="429"/>
      <c r="F33" s="475" t="s">
        <v>566</v>
      </c>
      <c r="G33" s="475"/>
      <c r="H33" s="475"/>
      <c r="I33" s="475"/>
      <c r="J33" s="475"/>
      <c r="K33" s="476"/>
    </row>
    <row r="34" spans="1:11" s="90" customFormat="1" ht="17.7" customHeight="1">
      <c r="A34" s="435"/>
      <c r="B34" s="392"/>
      <c r="C34" s="391"/>
      <c r="D34" s="429"/>
      <c r="E34" s="429"/>
      <c r="F34" s="429"/>
      <c r="G34" s="475" t="s">
        <v>88</v>
      </c>
      <c r="H34" s="475"/>
      <c r="I34" s="475"/>
      <c r="J34" s="475"/>
      <c r="K34" s="476"/>
    </row>
    <row r="35" spans="1:11" s="90" customFormat="1" ht="17.7" customHeight="1">
      <c r="A35" s="435"/>
      <c r="B35" s="392"/>
      <c r="C35" s="391"/>
      <c r="D35" s="429"/>
      <c r="E35" s="429"/>
      <c r="F35" s="429"/>
      <c r="G35" s="429"/>
      <c r="H35" s="474" t="s">
        <v>567</v>
      </c>
      <c r="I35" s="475"/>
      <c r="J35" s="475"/>
      <c r="K35" s="476"/>
    </row>
    <row r="36" spans="1:11" ht="34.799999999999997">
      <c r="A36" s="435"/>
      <c r="B36" s="392"/>
      <c r="C36" s="391"/>
      <c r="D36" s="429"/>
      <c r="E36" s="429"/>
      <c r="F36" s="429"/>
      <c r="G36" s="429"/>
      <c r="H36" s="94"/>
      <c r="I36" s="320" t="s">
        <v>568</v>
      </c>
      <c r="J36" s="320" t="s">
        <v>143</v>
      </c>
      <c r="K36" s="321">
        <v>13</v>
      </c>
    </row>
    <row r="37" spans="1:11" s="91" customFormat="1" ht="33" customHeight="1">
      <c r="A37" s="435"/>
      <c r="B37" s="392"/>
      <c r="C37" s="391"/>
      <c r="D37" s="46" t="s">
        <v>500</v>
      </c>
      <c r="E37" s="503" t="s">
        <v>307</v>
      </c>
      <c r="F37" s="503"/>
      <c r="G37" s="503"/>
      <c r="H37" s="503"/>
      <c r="I37" s="503"/>
      <c r="J37" s="76">
        <f>+'Հավելված N 1'!G22</f>
        <v>-29050</v>
      </c>
      <c r="K37" s="76">
        <f>+'Հավելված N 1'!H22</f>
        <v>-29050</v>
      </c>
    </row>
    <row r="38" spans="1:11" s="90" customFormat="1" ht="18" customHeight="1">
      <c r="A38" s="435"/>
      <c r="B38" s="392"/>
      <c r="C38" s="391"/>
      <c r="D38" s="429"/>
      <c r="E38" s="429"/>
      <c r="F38" s="475" t="s">
        <v>570</v>
      </c>
      <c r="G38" s="475"/>
      <c r="H38" s="475"/>
      <c r="I38" s="475"/>
      <c r="J38" s="475"/>
      <c r="K38" s="476"/>
    </row>
    <row r="39" spans="1:11" s="90" customFormat="1" ht="17.7" customHeight="1">
      <c r="A39" s="435"/>
      <c r="B39" s="392"/>
      <c r="C39" s="391"/>
      <c r="D39" s="429"/>
      <c r="E39" s="429"/>
      <c r="F39" s="429"/>
      <c r="G39" s="475" t="s">
        <v>88</v>
      </c>
      <c r="H39" s="475"/>
      <c r="I39" s="475"/>
      <c r="J39" s="475"/>
      <c r="K39" s="476"/>
    </row>
    <row r="40" spans="1:11" s="90" customFormat="1" ht="17.7" customHeight="1">
      <c r="A40" s="435"/>
      <c r="B40" s="392"/>
      <c r="C40" s="391"/>
      <c r="D40" s="429"/>
      <c r="E40" s="429"/>
      <c r="F40" s="429"/>
      <c r="G40" s="46"/>
      <c r="H40" s="474" t="s">
        <v>571</v>
      </c>
      <c r="I40" s="475"/>
      <c r="J40" s="475"/>
      <c r="K40" s="476"/>
    </row>
    <row r="41" spans="1:11" ht="8.5500000000000007" customHeight="1">
      <c r="A41" s="435"/>
      <c r="B41" s="69"/>
      <c r="C41" s="69"/>
      <c r="D41" s="69"/>
      <c r="E41" s="69"/>
      <c r="F41" s="69"/>
      <c r="G41" s="69"/>
      <c r="H41" s="69"/>
      <c r="I41" s="69"/>
      <c r="J41" s="69"/>
      <c r="K41" s="317"/>
    </row>
    <row r="42" spans="1:11" s="90" customFormat="1" ht="17.7" customHeight="1">
      <c r="A42" s="435"/>
      <c r="B42" s="100">
        <v>1111</v>
      </c>
      <c r="C42" s="505" t="s">
        <v>572</v>
      </c>
      <c r="D42" s="505"/>
      <c r="E42" s="505"/>
      <c r="F42" s="505"/>
      <c r="G42" s="505"/>
      <c r="H42" s="505"/>
      <c r="I42" s="505"/>
      <c r="J42" s="84">
        <f>+J43+J48</f>
        <v>166383.40000000002</v>
      </c>
      <c r="K42" s="84">
        <f>+K43+K48</f>
        <v>166383.40000000002</v>
      </c>
    </row>
    <row r="43" spans="1:11" s="91" customFormat="1" ht="34.950000000000003" customHeight="1">
      <c r="A43" s="435"/>
      <c r="B43" s="479"/>
      <c r="C43" s="429"/>
      <c r="D43" s="100" t="s">
        <v>505</v>
      </c>
      <c r="E43" s="505" t="s">
        <v>477</v>
      </c>
      <c r="F43" s="505"/>
      <c r="G43" s="505"/>
      <c r="H43" s="505"/>
      <c r="I43" s="505"/>
      <c r="J43" s="76">
        <f>+'Հավելված N 1'!G24</f>
        <v>163986.40000000002</v>
      </c>
      <c r="K43" s="76">
        <f>+'Հավելված N 1'!H24</f>
        <v>163986.40000000002</v>
      </c>
    </row>
    <row r="44" spans="1:11" s="90" customFormat="1" ht="18" customHeight="1">
      <c r="A44" s="435"/>
      <c r="B44" s="479"/>
      <c r="C44" s="429"/>
      <c r="D44" s="429"/>
      <c r="E44" s="429"/>
      <c r="F44" s="507" t="s">
        <v>573</v>
      </c>
      <c r="G44" s="505"/>
      <c r="H44" s="505"/>
      <c r="I44" s="505"/>
      <c r="J44" s="505"/>
      <c r="K44" s="505"/>
    </row>
    <row r="45" spans="1:11" s="90" customFormat="1" ht="17.7" customHeight="1">
      <c r="A45" s="435"/>
      <c r="B45" s="479"/>
      <c r="C45" s="429"/>
      <c r="D45" s="429"/>
      <c r="E45" s="429"/>
      <c r="F45" s="508"/>
      <c r="G45" s="507" t="s">
        <v>88</v>
      </c>
      <c r="H45" s="505"/>
      <c r="I45" s="505"/>
      <c r="J45" s="505"/>
      <c r="K45" s="505"/>
    </row>
    <row r="46" spans="1:11" s="90" customFormat="1" ht="36" customHeight="1">
      <c r="A46" s="435"/>
      <c r="B46" s="479"/>
      <c r="C46" s="429"/>
      <c r="D46" s="429"/>
      <c r="E46" s="429"/>
      <c r="F46" s="508"/>
      <c r="G46" s="508"/>
      <c r="H46" s="507" t="s">
        <v>574</v>
      </c>
      <c r="I46" s="505"/>
      <c r="J46" s="505"/>
      <c r="K46" s="505"/>
    </row>
    <row r="47" spans="1:11" ht="34.799999999999997">
      <c r="A47" s="435"/>
      <c r="B47" s="479"/>
      <c r="C47" s="429"/>
      <c r="D47" s="429"/>
      <c r="E47" s="429"/>
      <c r="F47" s="508"/>
      <c r="G47" s="508"/>
      <c r="H47" s="319"/>
      <c r="I47" s="86" t="s">
        <v>575</v>
      </c>
      <c r="J47" s="320" t="s">
        <v>143</v>
      </c>
      <c r="K47" s="321">
        <v>2</v>
      </c>
    </row>
    <row r="48" spans="1:11" s="91" customFormat="1" ht="34.950000000000003" customHeight="1">
      <c r="A48" s="435"/>
      <c r="B48" s="479"/>
      <c r="C48" s="429"/>
      <c r="D48" s="100" t="s">
        <v>507</v>
      </c>
      <c r="E48" s="505" t="s">
        <v>508</v>
      </c>
      <c r="F48" s="505"/>
      <c r="G48" s="505"/>
      <c r="H48" s="505"/>
      <c r="I48" s="505"/>
      <c r="J48" s="322">
        <f>+'Հավելված N 1'!G25</f>
        <v>2397</v>
      </c>
      <c r="K48" s="322">
        <f>+'Հավելված N 1'!H25</f>
        <v>2397</v>
      </c>
    </row>
    <row r="49" spans="1:11" s="90" customFormat="1" ht="18" customHeight="1">
      <c r="A49" s="435"/>
      <c r="B49" s="479"/>
      <c r="C49" s="429"/>
      <c r="D49" s="429"/>
      <c r="E49" s="375"/>
      <c r="F49" s="507" t="s">
        <v>576</v>
      </c>
      <c r="G49" s="505"/>
      <c r="H49" s="505"/>
      <c r="I49" s="505"/>
      <c r="J49" s="505"/>
      <c r="K49" s="505"/>
    </row>
    <row r="50" spans="1:11" s="90" customFormat="1" ht="17.7" customHeight="1">
      <c r="A50" s="435"/>
      <c r="B50" s="479"/>
      <c r="C50" s="429"/>
      <c r="D50" s="429"/>
      <c r="E50" s="375"/>
      <c r="F50" s="508"/>
      <c r="G50" s="507" t="s">
        <v>88</v>
      </c>
      <c r="H50" s="505"/>
      <c r="I50" s="505"/>
      <c r="J50" s="505"/>
      <c r="K50" s="505"/>
    </row>
    <row r="51" spans="1:11" s="90" customFormat="1" ht="36" customHeight="1">
      <c r="A51" s="435"/>
      <c r="B51" s="479"/>
      <c r="C51" s="429"/>
      <c r="D51" s="429"/>
      <c r="E51" s="375"/>
      <c r="F51" s="508"/>
      <c r="G51" s="508"/>
      <c r="H51" s="507" t="s">
        <v>574</v>
      </c>
      <c r="I51" s="505"/>
      <c r="J51" s="505"/>
      <c r="K51" s="505"/>
    </row>
    <row r="52" spans="1:11" ht="34.799999999999997">
      <c r="A52" s="435"/>
      <c r="B52" s="479"/>
      <c r="C52" s="429"/>
      <c r="D52" s="429"/>
      <c r="E52" s="375"/>
      <c r="F52" s="508"/>
      <c r="G52" s="508"/>
      <c r="H52" s="319"/>
      <c r="I52" s="86" t="s">
        <v>577</v>
      </c>
      <c r="J52" s="320" t="s">
        <v>143</v>
      </c>
      <c r="K52" s="321">
        <v>1</v>
      </c>
    </row>
    <row r="53" spans="1:11" ht="8.5500000000000007" customHeight="1">
      <c r="A53" s="435"/>
      <c r="B53" s="69"/>
      <c r="C53" s="69"/>
      <c r="D53" s="69"/>
      <c r="E53" s="69"/>
      <c r="F53" s="69"/>
      <c r="G53" s="69"/>
      <c r="H53" s="69"/>
      <c r="I53" s="69"/>
      <c r="J53" s="69"/>
      <c r="K53" s="317"/>
    </row>
    <row r="54" spans="1:11" s="90" customFormat="1" ht="35.549999999999997" customHeight="1">
      <c r="A54" s="435"/>
      <c r="B54" s="100">
        <v>1130</v>
      </c>
      <c r="C54" s="514" t="s">
        <v>578</v>
      </c>
      <c r="D54" s="514"/>
      <c r="E54" s="514"/>
      <c r="F54" s="514"/>
      <c r="G54" s="514"/>
      <c r="H54" s="514"/>
      <c r="I54" s="514"/>
      <c r="J54" s="323">
        <f>+J55</f>
        <v>0</v>
      </c>
      <c r="K54" s="323">
        <f>+K55</f>
        <v>5040</v>
      </c>
    </row>
    <row r="55" spans="1:11" s="91" customFormat="1" ht="34.950000000000003" customHeight="1">
      <c r="A55" s="435"/>
      <c r="B55" s="479"/>
      <c r="C55" s="429"/>
      <c r="D55" s="100" t="s">
        <v>514</v>
      </c>
      <c r="E55" s="505" t="s">
        <v>356</v>
      </c>
      <c r="F55" s="505"/>
      <c r="G55" s="505"/>
      <c r="H55" s="505"/>
      <c r="I55" s="505"/>
      <c r="J55" s="324">
        <f>+'Հավելված N 1'!G27</f>
        <v>0</v>
      </c>
      <c r="K55" s="324">
        <f>+'Հավելված N 1'!H27</f>
        <v>5040</v>
      </c>
    </row>
    <row r="56" spans="1:11" s="90" customFormat="1" ht="18" customHeight="1">
      <c r="A56" s="435"/>
      <c r="B56" s="479"/>
      <c r="C56" s="429"/>
      <c r="D56" s="429"/>
      <c r="E56" s="508"/>
      <c r="F56" s="507" t="s">
        <v>579</v>
      </c>
      <c r="G56" s="505"/>
      <c r="H56" s="505"/>
      <c r="I56" s="505"/>
      <c r="J56" s="505"/>
      <c r="K56" s="505"/>
    </row>
    <row r="57" spans="1:11" s="90" customFormat="1" ht="17.7" customHeight="1">
      <c r="A57" s="435"/>
      <c r="B57" s="479"/>
      <c r="C57" s="429"/>
      <c r="D57" s="429"/>
      <c r="E57" s="508"/>
      <c r="F57" s="508"/>
      <c r="G57" s="507" t="s">
        <v>580</v>
      </c>
      <c r="H57" s="505"/>
      <c r="I57" s="505"/>
      <c r="J57" s="505"/>
      <c r="K57" s="505"/>
    </row>
    <row r="58" spans="1:11" s="90" customFormat="1" ht="36" customHeight="1">
      <c r="A58" s="435"/>
      <c r="B58" s="479"/>
      <c r="C58" s="429"/>
      <c r="D58" s="429"/>
      <c r="E58" s="508"/>
      <c r="F58" s="508"/>
      <c r="G58" s="508"/>
      <c r="H58" s="507" t="s">
        <v>581</v>
      </c>
      <c r="I58" s="505"/>
      <c r="J58" s="505"/>
      <c r="K58" s="505"/>
    </row>
    <row r="59" spans="1:11" ht="17.399999999999999" customHeight="1">
      <c r="A59" s="435"/>
      <c r="B59" s="479"/>
      <c r="C59" s="429"/>
      <c r="D59" s="429"/>
      <c r="E59" s="508"/>
      <c r="F59" s="508"/>
      <c r="G59" s="508"/>
      <c r="H59" s="319"/>
      <c r="I59" s="294" t="s">
        <v>582</v>
      </c>
      <c r="J59" s="320" t="s">
        <v>143</v>
      </c>
      <c r="K59" s="321">
        <v>1</v>
      </c>
    </row>
    <row r="60" spans="1:11" ht="8.5500000000000007" customHeight="1">
      <c r="A60" s="435"/>
      <c r="B60" s="69"/>
      <c r="C60" s="69"/>
      <c r="D60" s="69"/>
      <c r="E60" s="69"/>
      <c r="F60" s="69"/>
      <c r="G60" s="69"/>
      <c r="H60" s="69"/>
      <c r="I60" s="69"/>
      <c r="J60" s="69"/>
      <c r="K60" s="317"/>
    </row>
    <row r="61" spans="1:11" s="90" customFormat="1" ht="35.549999999999997" customHeight="1">
      <c r="A61" s="435"/>
      <c r="B61" s="100">
        <v>1148</v>
      </c>
      <c r="C61" s="526" t="s">
        <v>583</v>
      </c>
      <c r="D61" s="526"/>
      <c r="E61" s="526"/>
      <c r="F61" s="526"/>
      <c r="G61" s="526"/>
      <c r="H61" s="526"/>
      <c r="I61" s="526"/>
      <c r="J61" s="323">
        <f>+J62</f>
        <v>8486.9</v>
      </c>
      <c r="K61" s="323">
        <f>+K62</f>
        <v>20761.400000000001</v>
      </c>
    </row>
    <row r="62" spans="1:11" s="91" customFormat="1" ht="34.950000000000003" customHeight="1">
      <c r="A62" s="435"/>
      <c r="B62" s="479"/>
      <c r="C62" s="429"/>
      <c r="D62" s="100" t="s">
        <v>520</v>
      </c>
      <c r="E62" s="505" t="s">
        <v>278</v>
      </c>
      <c r="F62" s="505"/>
      <c r="G62" s="505"/>
      <c r="H62" s="505"/>
      <c r="I62" s="505"/>
      <c r="J62" s="324">
        <f>+'Հավելված N 1'!G29</f>
        <v>8486.9</v>
      </c>
      <c r="K62" s="324">
        <f>+'Հավելված N 1'!H29</f>
        <v>20761.400000000001</v>
      </c>
    </row>
    <row r="63" spans="1:11" s="90" customFormat="1" ht="18" customHeight="1">
      <c r="A63" s="435"/>
      <c r="B63" s="479"/>
      <c r="C63" s="429"/>
      <c r="D63" s="429"/>
      <c r="E63" s="508"/>
      <c r="F63" s="507" t="s">
        <v>584</v>
      </c>
      <c r="G63" s="505"/>
      <c r="H63" s="505"/>
      <c r="I63" s="505"/>
      <c r="J63" s="505"/>
      <c r="K63" s="505"/>
    </row>
    <row r="64" spans="1:11" s="90" customFormat="1" ht="18">
      <c r="A64" s="435"/>
      <c r="B64" s="479"/>
      <c r="C64" s="429"/>
      <c r="D64" s="429"/>
      <c r="E64" s="508"/>
      <c r="F64" s="508"/>
      <c r="G64" s="507" t="s">
        <v>522</v>
      </c>
      <c r="H64" s="505"/>
      <c r="I64" s="505"/>
      <c r="J64" s="505"/>
      <c r="K64" s="505"/>
    </row>
    <row r="65" spans="1:11" s="90" customFormat="1" ht="36" customHeight="1">
      <c r="A65" s="435"/>
      <c r="B65" s="479"/>
      <c r="C65" s="429"/>
      <c r="D65" s="429"/>
      <c r="E65" s="508"/>
      <c r="F65" s="508"/>
      <c r="G65" s="508"/>
      <c r="H65" s="507" t="s">
        <v>585</v>
      </c>
      <c r="I65" s="505"/>
      <c r="J65" s="505"/>
      <c r="K65" s="505"/>
    </row>
    <row r="66" spans="1:11" ht="34.799999999999997">
      <c r="A66" s="435"/>
      <c r="B66" s="479"/>
      <c r="C66" s="429"/>
      <c r="D66" s="429"/>
      <c r="E66" s="508"/>
      <c r="F66" s="508"/>
      <c r="G66" s="508"/>
      <c r="H66" s="510"/>
      <c r="I66" s="47" t="s">
        <v>575</v>
      </c>
      <c r="J66" s="320" t="s">
        <v>143</v>
      </c>
      <c r="K66" s="321">
        <v>1</v>
      </c>
    </row>
    <row r="67" spans="1:11" ht="34.799999999999997">
      <c r="A67" s="435"/>
      <c r="B67" s="479"/>
      <c r="C67" s="429"/>
      <c r="D67" s="429"/>
      <c r="E67" s="508"/>
      <c r="F67" s="508"/>
      <c r="G67" s="508"/>
      <c r="H67" s="510"/>
      <c r="I67" s="47" t="s">
        <v>145</v>
      </c>
      <c r="J67" s="320" t="s">
        <v>143</v>
      </c>
      <c r="K67" s="321">
        <v>1</v>
      </c>
    </row>
    <row r="68" spans="1:11" ht="8.5500000000000007" customHeight="1">
      <c r="A68" s="435"/>
      <c r="B68" s="69"/>
      <c r="C68" s="69"/>
      <c r="D68" s="69"/>
      <c r="E68" s="69"/>
      <c r="F68" s="69"/>
      <c r="G68" s="69"/>
      <c r="H68" s="69"/>
      <c r="I68" s="69"/>
      <c r="J68" s="69"/>
      <c r="K68" s="317"/>
    </row>
    <row r="69" spans="1:11" s="90" customFormat="1" ht="18">
      <c r="A69" s="435"/>
      <c r="B69" s="100">
        <v>1163</v>
      </c>
      <c r="C69" s="503" t="s">
        <v>154</v>
      </c>
      <c r="D69" s="503"/>
      <c r="E69" s="503"/>
      <c r="F69" s="503"/>
      <c r="G69" s="503"/>
      <c r="H69" s="503"/>
      <c r="I69" s="503"/>
      <c r="J69" s="84">
        <f>+J70+J75+J81+J85</f>
        <v>-872174.6</v>
      </c>
      <c r="K69" s="84">
        <f>+K70+K75+K81+K85</f>
        <v>-1465250.3000000003</v>
      </c>
    </row>
    <row r="70" spans="1:11" s="91" customFormat="1" ht="34.950000000000003" customHeight="1">
      <c r="A70" s="435"/>
      <c r="B70" s="504"/>
      <c r="C70" s="390"/>
      <c r="D70" s="100" t="s">
        <v>523</v>
      </c>
      <c r="E70" s="505" t="s">
        <v>289</v>
      </c>
      <c r="F70" s="505"/>
      <c r="G70" s="505"/>
      <c r="H70" s="505"/>
      <c r="I70" s="505"/>
      <c r="J70" s="324">
        <f>+'Հավելված N 1'!G31</f>
        <v>-239793.5</v>
      </c>
      <c r="K70" s="324">
        <f>+'Հավելված N 1'!H31</f>
        <v>-550936.90000000014</v>
      </c>
    </row>
    <row r="71" spans="1:11" s="90" customFormat="1" ht="18" customHeight="1">
      <c r="A71" s="435"/>
      <c r="B71" s="392"/>
      <c r="C71" s="391"/>
      <c r="D71" s="390"/>
      <c r="E71" s="511"/>
      <c r="F71" s="505" t="s">
        <v>586</v>
      </c>
      <c r="G71" s="505"/>
      <c r="H71" s="505"/>
      <c r="I71" s="505"/>
      <c r="J71" s="505"/>
      <c r="K71" s="505"/>
    </row>
    <row r="72" spans="1:11" s="90" customFormat="1" ht="17.7" customHeight="1">
      <c r="A72" s="435"/>
      <c r="B72" s="392"/>
      <c r="C72" s="391"/>
      <c r="D72" s="391"/>
      <c r="E72" s="512"/>
      <c r="F72" s="511"/>
      <c r="G72" s="505" t="s">
        <v>587</v>
      </c>
      <c r="H72" s="505"/>
      <c r="I72" s="505"/>
      <c r="J72" s="505"/>
      <c r="K72" s="505"/>
    </row>
    <row r="73" spans="1:11" s="90" customFormat="1" ht="36" customHeight="1">
      <c r="A73" s="435"/>
      <c r="B73" s="392"/>
      <c r="C73" s="391"/>
      <c r="D73" s="391"/>
      <c r="E73" s="512"/>
      <c r="F73" s="512"/>
      <c r="G73" s="511"/>
      <c r="H73" s="505" t="s">
        <v>588</v>
      </c>
      <c r="I73" s="505"/>
      <c r="J73" s="505"/>
      <c r="K73" s="505"/>
    </row>
    <row r="74" spans="1:11" ht="34.799999999999997">
      <c r="A74" s="435"/>
      <c r="B74" s="392"/>
      <c r="C74" s="391"/>
      <c r="D74" s="400"/>
      <c r="E74" s="513"/>
      <c r="F74" s="513"/>
      <c r="G74" s="513"/>
      <c r="H74" s="302"/>
      <c r="I74" s="47" t="s">
        <v>145</v>
      </c>
      <c r="J74" s="320" t="s">
        <v>143</v>
      </c>
      <c r="K74" s="321">
        <v>1</v>
      </c>
    </row>
    <row r="75" spans="1:11" s="91" customFormat="1" ht="34.950000000000003" customHeight="1">
      <c r="A75" s="435"/>
      <c r="B75" s="392"/>
      <c r="C75" s="391"/>
      <c r="D75" s="100" t="s">
        <v>217</v>
      </c>
      <c r="E75" s="503" t="s">
        <v>197</v>
      </c>
      <c r="F75" s="503"/>
      <c r="G75" s="503"/>
      <c r="H75" s="503"/>
      <c r="I75" s="503"/>
      <c r="J75" s="76">
        <f>+'Հավելված N 1'!G32</f>
        <v>-539354.6</v>
      </c>
      <c r="K75" s="76">
        <f>+'Հավելված N 1'!H32</f>
        <v>-621286.79999999993</v>
      </c>
    </row>
    <row r="76" spans="1:11" s="90" customFormat="1" ht="18" customHeight="1">
      <c r="A76" s="435"/>
      <c r="B76" s="392"/>
      <c r="C76" s="391"/>
      <c r="D76" s="429"/>
      <c r="E76" s="429"/>
      <c r="F76" s="507" t="s">
        <v>225</v>
      </c>
      <c r="G76" s="505"/>
      <c r="H76" s="505"/>
      <c r="I76" s="505"/>
      <c r="J76" s="505"/>
      <c r="K76" s="505"/>
    </row>
    <row r="77" spans="1:11" s="90" customFormat="1" ht="17.7" customHeight="1">
      <c r="A77" s="435"/>
      <c r="B77" s="392"/>
      <c r="C77" s="391"/>
      <c r="D77" s="429"/>
      <c r="E77" s="429"/>
      <c r="F77" s="508"/>
      <c r="G77" s="507" t="s">
        <v>88</v>
      </c>
      <c r="H77" s="505"/>
      <c r="I77" s="505"/>
      <c r="J77" s="505"/>
      <c r="K77" s="505"/>
    </row>
    <row r="78" spans="1:11" s="90" customFormat="1" ht="36" customHeight="1">
      <c r="A78" s="435"/>
      <c r="B78" s="392"/>
      <c r="C78" s="391"/>
      <c r="D78" s="429"/>
      <c r="E78" s="429"/>
      <c r="F78" s="508"/>
      <c r="G78" s="508"/>
      <c r="H78" s="507" t="s">
        <v>163</v>
      </c>
      <c r="I78" s="505"/>
      <c r="J78" s="505"/>
      <c r="K78" s="505"/>
    </row>
    <row r="79" spans="1:11" ht="34.799999999999997">
      <c r="A79" s="435"/>
      <c r="B79" s="392"/>
      <c r="C79" s="391"/>
      <c r="D79" s="429"/>
      <c r="E79" s="429"/>
      <c r="F79" s="508"/>
      <c r="G79" s="508"/>
      <c r="H79" s="509"/>
      <c r="I79" s="86" t="s">
        <v>589</v>
      </c>
      <c r="J79" s="320" t="s">
        <v>143</v>
      </c>
      <c r="K79" s="321">
        <v>-2</v>
      </c>
    </row>
    <row r="80" spans="1:11" ht="34.799999999999997">
      <c r="A80" s="435"/>
      <c r="B80" s="392"/>
      <c r="C80" s="391"/>
      <c r="D80" s="429"/>
      <c r="E80" s="429"/>
      <c r="F80" s="508"/>
      <c r="G80" s="508"/>
      <c r="H80" s="509"/>
      <c r="I80" s="102" t="s">
        <v>145</v>
      </c>
      <c r="J80" s="320" t="s">
        <v>143</v>
      </c>
      <c r="K80" s="321">
        <v>2</v>
      </c>
    </row>
    <row r="81" spans="1:11" s="91" customFormat="1" ht="34.950000000000003" customHeight="1">
      <c r="A81" s="435"/>
      <c r="B81" s="392"/>
      <c r="C81" s="391"/>
      <c r="D81" s="46" t="s">
        <v>526</v>
      </c>
      <c r="E81" s="503" t="s">
        <v>398</v>
      </c>
      <c r="F81" s="503"/>
      <c r="G81" s="503"/>
      <c r="H81" s="503"/>
      <c r="I81" s="503"/>
      <c r="J81" s="76">
        <f>+'Հավելված N 1'!G33</f>
        <v>-93026.5</v>
      </c>
      <c r="K81" s="76">
        <f>+'Հավելված N 1'!H33</f>
        <v>-93026.599999999991</v>
      </c>
    </row>
    <row r="82" spans="1:11" s="90" customFormat="1" ht="18" customHeight="1">
      <c r="A82" s="435"/>
      <c r="B82" s="392"/>
      <c r="C82" s="391"/>
      <c r="D82" s="429"/>
      <c r="E82" s="429"/>
      <c r="F82" s="503" t="s">
        <v>590</v>
      </c>
      <c r="G82" s="503"/>
      <c r="H82" s="503"/>
      <c r="I82" s="503"/>
      <c r="J82" s="503"/>
      <c r="K82" s="503"/>
    </row>
    <row r="83" spans="1:11" s="90" customFormat="1" ht="17.7" customHeight="1">
      <c r="A83" s="435"/>
      <c r="B83" s="392"/>
      <c r="C83" s="391"/>
      <c r="D83" s="429"/>
      <c r="E83" s="429"/>
      <c r="F83" s="429"/>
      <c r="G83" s="503" t="s">
        <v>88</v>
      </c>
      <c r="H83" s="503"/>
      <c r="I83" s="503"/>
      <c r="J83" s="503"/>
      <c r="K83" s="503"/>
    </row>
    <row r="84" spans="1:11" s="90" customFormat="1" ht="36" customHeight="1">
      <c r="A84" s="435"/>
      <c r="B84" s="392"/>
      <c r="C84" s="391"/>
      <c r="D84" s="429"/>
      <c r="E84" s="429"/>
      <c r="F84" s="429"/>
      <c r="G84" s="46"/>
      <c r="H84" s="503" t="s">
        <v>163</v>
      </c>
      <c r="I84" s="503"/>
      <c r="J84" s="503"/>
      <c r="K84" s="503"/>
    </row>
    <row r="85" spans="1:11" s="91" customFormat="1" ht="34.950000000000003" customHeight="1">
      <c r="A85" s="435"/>
      <c r="B85" s="392"/>
      <c r="C85" s="391"/>
      <c r="D85" s="100" t="s">
        <v>528</v>
      </c>
      <c r="E85" s="505" t="s">
        <v>393</v>
      </c>
      <c r="F85" s="505"/>
      <c r="G85" s="505"/>
      <c r="H85" s="505"/>
      <c r="I85" s="505"/>
      <c r="J85" s="324">
        <f>+'Հավելված N 1'!G34</f>
        <v>0</v>
      </c>
      <c r="K85" s="324">
        <f>+'Հավելված N 1'!H34</f>
        <v>-200000</v>
      </c>
    </row>
    <row r="86" spans="1:11" s="90" customFormat="1" ht="18" customHeight="1">
      <c r="A86" s="435"/>
      <c r="B86" s="392"/>
      <c r="C86" s="391"/>
      <c r="D86" s="28"/>
      <c r="E86" s="47"/>
      <c r="F86" s="505" t="s">
        <v>591</v>
      </c>
      <c r="G86" s="505"/>
      <c r="H86" s="505"/>
      <c r="I86" s="505"/>
      <c r="J86" s="505"/>
      <c r="K86" s="505"/>
    </row>
    <row r="87" spans="1:11" s="90" customFormat="1" ht="17.7" customHeight="1">
      <c r="A87" s="435"/>
      <c r="B87" s="392"/>
      <c r="C87" s="391"/>
      <c r="D87" s="29"/>
      <c r="E87" s="47"/>
      <c r="F87" s="47"/>
      <c r="G87" s="505" t="s">
        <v>88</v>
      </c>
      <c r="H87" s="505"/>
      <c r="I87" s="505"/>
      <c r="J87" s="505"/>
      <c r="K87" s="505"/>
    </row>
    <row r="88" spans="1:11" s="90" customFormat="1" ht="36" customHeight="1">
      <c r="A88" s="435"/>
      <c r="B88" s="392"/>
      <c r="C88" s="391"/>
      <c r="D88" s="29"/>
      <c r="E88" s="47"/>
      <c r="F88" s="47"/>
      <c r="G88" s="47"/>
      <c r="H88" s="505" t="s">
        <v>592</v>
      </c>
      <c r="I88" s="505"/>
      <c r="J88" s="505"/>
      <c r="K88" s="505"/>
    </row>
    <row r="89" spans="1:11" ht="34.799999999999997">
      <c r="A89" s="435"/>
      <c r="B89" s="393"/>
      <c r="C89" s="400"/>
      <c r="D89" s="30"/>
      <c r="E89" s="47"/>
      <c r="F89" s="47"/>
      <c r="G89" s="47"/>
      <c r="H89" s="47"/>
      <c r="I89" s="47" t="s">
        <v>593</v>
      </c>
      <c r="J89" s="325" t="s">
        <v>143</v>
      </c>
      <c r="K89" s="321">
        <v>-1</v>
      </c>
    </row>
    <row r="90" spans="1:11" ht="8.5500000000000007" customHeight="1">
      <c r="A90" s="435"/>
      <c r="B90" s="69"/>
      <c r="C90" s="69"/>
      <c r="D90" s="69"/>
      <c r="E90" s="69"/>
      <c r="F90" s="69"/>
      <c r="G90" s="69"/>
      <c r="H90" s="69"/>
      <c r="I90" s="69"/>
      <c r="J90" s="69"/>
      <c r="K90" s="89"/>
    </row>
    <row r="91" spans="1:11" s="90" customFormat="1" ht="18">
      <c r="A91" s="435"/>
      <c r="B91" s="100">
        <v>1168</v>
      </c>
      <c r="C91" s="503" t="s">
        <v>164</v>
      </c>
      <c r="D91" s="503"/>
      <c r="E91" s="503"/>
      <c r="F91" s="503"/>
      <c r="G91" s="503"/>
      <c r="H91" s="503"/>
      <c r="I91" s="503"/>
      <c r="J91" s="84">
        <f>+J92+J97</f>
        <v>-171579</v>
      </c>
      <c r="K91" s="84">
        <f>+K92+K97</f>
        <v>692111.3</v>
      </c>
    </row>
    <row r="92" spans="1:11" s="91" customFormat="1" ht="34.950000000000003" customHeight="1">
      <c r="A92" s="435"/>
      <c r="B92" s="506"/>
      <c r="C92" s="502"/>
      <c r="D92" s="100" t="s">
        <v>161</v>
      </c>
      <c r="E92" s="503" t="s">
        <v>151</v>
      </c>
      <c r="F92" s="503"/>
      <c r="G92" s="503"/>
      <c r="H92" s="503"/>
      <c r="I92" s="503"/>
      <c r="J92" s="76">
        <f>+'Հավելված N 1'!G36</f>
        <v>-171579</v>
      </c>
      <c r="K92" s="76">
        <f>+'Հավելված N 1'!H36</f>
        <v>-111991.09999999999</v>
      </c>
    </row>
    <row r="93" spans="1:11" s="90" customFormat="1" ht="33.9" customHeight="1">
      <c r="A93" s="435"/>
      <c r="B93" s="506"/>
      <c r="C93" s="502"/>
      <c r="D93" s="504"/>
      <c r="E93" s="390"/>
      <c r="F93" s="503" t="s">
        <v>165</v>
      </c>
      <c r="G93" s="503"/>
      <c r="H93" s="503"/>
      <c r="I93" s="503"/>
      <c r="J93" s="503"/>
      <c r="K93" s="503"/>
    </row>
    <row r="94" spans="1:11" s="90" customFormat="1" ht="17.7" customHeight="1">
      <c r="A94" s="435"/>
      <c r="B94" s="506"/>
      <c r="C94" s="502"/>
      <c r="D94" s="392"/>
      <c r="E94" s="391"/>
      <c r="F94" s="390"/>
      <c r="G94" s="503" t="s">
        <v>88</v>
      </c>
      <c r="H94" s="503"/>
      <c r="I94" s="503"/>
      <c r="J94" s="503"/>
      <c r="K94" s="503"/>
    </row>
    <row r="95" spans="1:11" s="90" customFormat="1" ht="18">
      <c r="A95" s="435"/>
      <c r="B95" s="506"/>
      <c r="C95" s="502"/>
      <c r="D95" s="392"/>
      <c r="E95" s="391"/>
      <c r="F95" s="391"/>
      <c r="G95" s="390"/>
      <c r="H95" s="474" t="s">
        <v>166</v>
      </c>
      <c r="I95" s="475"/>
      <c r="J95" s="475"/>
      <c r="K95" s="529"/>
    </row>
    <row r="96" spans="1:11" ht="34.799999999999997">
      <c r="A96" s="435"/>
      <c r="B96" s="506"/>
      <c r="C96" s="502"/>
      <c r="D96" s="326"/>
      <c r="E96" s="400"/>
      <c r="F96" s="400"/>
      <c r="G96" s="400"/>
      <c r="H96" s="47"/>
      <c r="I96" s="47" t="s">
        <v>594</v>
      </c>
      <c r="J96" s="325" t="s">
        <v>143</v>
      </c>
      <c r="K96" s="321">
        <v>1</v>
      </c>
    </row>
    <row r="97" spans="1:11" s="91" customFormat="1" ht="17.7" customHeight="1">
      <c r="A97" s="435"/>
      <c r="B97" s="506"/>
      <c r="C97" s="502"/>
      <c r="D97" s="100" t="s">
        <v>530</v>
      </c>
      <c r="E97" s="505" t="s">
        <v>531</v>
      </c>
      <c r="F97" s="505"/>
      <c r="G97" s="505"/>
      <c r="H97" s="505"/>
      <c r="I97" s="505"/>
      <c r="J97" s="76">
        <f>+'Հավելված N 1'!G37</f>
        <v>0</v>
      </c>
      <c r="K97" s="76">
        <f>+'Հավելված N 1'!H37</f>
        <v>804102.4</v>
      </c>
    </row>
    <row r="98" spans="1:11" s="90" customFormat="1" ht="17.55" customHeight="1">
      <c r="A98" s="435"/>
      <c r="B98" s="506"/>
      <c r="C98" s="502"/>
      <c r="D98" s="479"/>
      <c r="E98" s="429"/>
      <c r="F98" s="507" t="s">
        <v>595</v>
      </c>
      <c r="G98" s="505"/>
      <c r="H98" s="505"/>
      <c r="I98" s="505"/>
      <c r="J98" s="505"/>
      <c r="K98" s="505"/>
    </row>
    <row r="99" spans="1:11" s="90" customFormat="1" ht="17.7" customHeight="1">
      <c r="A99" s="435"/>
      <c r="B99" s="506"/>
      <c r="C99" s="502"/>
      <c r="D99" s="479"/>
      <c r="E99" s="429"/>
      <c r="F99" s="508"/>
      <c r="G99" s="507" t="s">
        <v>88</v>
      </c>
      <c r="H99" s="505"/>
      <c r="I99" s="505"/>
      <c r="J99" s="505"/>
      <c r="K99" s="505"/>
    </row>
    <row r="100" spans="1:11" s="90" customFormat="1" ht="18" customHeight="1">
      <c r="A100" s="435"/>
      <c r="B100" s="506"/>
      <c r="C100" s="502"/>
      <c r="D100" s="479"/>
      <c r="E100" s="429"/>
      <c r="F100" s="508"/>
      <c r="G100" s="508"/>
      <c r="H100" s="507" t="s">
        <v>596</v>
      </c>
      <c r="I100" s="505"/>
      <c r="J100" s="505"/>
      <c r="K100" s="505"/>
    </row>
    <row r="101" spans="1:11" ht="34.799999999999997">
      <c r="A101" s="435"/>
      <c r="B101" s="506"/>
      <c r="C101" s="502"/>
      <c r="D101" s="479"/>
      <c r="E101" s="429"/>
      <c r="F101" s="508"/>
      <c r="G101" s="508"/>
      <c r="H101" s="509"/>
      <c r="I101" s="47" t="s">
        <v>597</v>
      </c>
      <c r="J101" s="318" t="s">
        <v>143</v>
      </c>
      <c r="K101" s="93">
        <v>4</v>
      </c>
    </row>
    <row r="102" spans="1:11" ht="52.2">
      <c r="A102" s="435"/>
      <c r="B102" s="506"/>
      <c r="C102" s="502"/>
      <c r="D102" s="479"/>
      <c r="E102" s="429"/>
      <c r="F102" s="508"/>
      <c r="G102" s="508"/>
      <c r="H102" s="509"/>
      <c r="I102" s="47" t="s">
        <v>598</v>
      </c>
      <c r="J102" s="318" t="s">
        <v>143</v>
      </c>
      <c r="K102" s="93">
        <v>1</v>
      </c>
    </row>
    <row r="103" spans="1:11" ht="8.5500000000000007" customHeight="1">
      <c r="A103" s="435"/>
      <c r="B103" s="69"/>
      <c r="C103" s="69"/>
      <c r="D103" s="69"/>
      <c r="E103" s="69"/>
      <c r="F103" s="69"/>
      <c r="G103" s="69"/>
      <c r="H103" s="69"/>
      <c r="I103" s="69"/>
      <c r="J103" s="69"/>
      <c r="K103" s="89"/>
    </row>
    <row r="104" spans="1:11" s="90" customFormat="1" ht="18">
      <c r="A104" s="435"/>
      <c r="B104" s="100">
        <v>1183</v>
      </c>
      <c r="C104" s="503" t="s">
        <v>91</v>
      </c>
      <c r="D104" s="503"/>
      <c r="E104" s="503"/>
      <c r="F104" s="503"/>
      <c r="G104" s="503"/>
      <c r="H104" s="503"/>
      <c r="I104" s="503"/>
      <c r="J104" s="84">
        <f>+J105+J111+J116</f>
        <v>180941.89999999997</v>
      </c>
      <c r="K104" s="84">
        <f>+K105+K111+K116</f>
        <v>225202.10000000003</v>
      </c>
    </row>
    <row r="105" spans="1:11" s="91" customFormat="1" ht="34.950000000000003" customHeight="1">
      <c r="A105" s="435"/>
      <c r="B105" s="94"/>
      <c r="C105" s="301"/>
      <c r="D105" s="100" t="s">
        <v>537</v>
      </c>
      <c r="E105" s="503" t="s">
        <v>601</v>
      </c>
      <c r="F105" s="503"/>
      <c r="G105" s="503"/>
      <c r="H105" s="503"/>
      <c r="I105" s="503"/>
      <c r="J105" s="76">
        <f>+'Հավելված N 1'!G39</f>
        <v>303488.09999999998</v>
      </c>
      <c r="K105" s="76">
        <f>+'Հավելված N 1'!H39</f>
        <v>365182</v>
      </c>
    </row>
    <row r="106" spans="1:11" s="90" customFormat="1" ht="33.9" customHeight="1">
      <c r="A106" s="435"/>
      <c r="B106" s="94"/>
      <c r="C106" s="301"/>
      <c r="D106" s="390"/>
      <c r="E106" s="390"/>
      <c r="F106" s="503" t="s">
        <v>602</v>
      </c>
      <c r="G106" s="503"/>
      <c r="H106" s="503"/>
      <c r="I106" s="503"/>
      <c r="J106" s="503"/>
      <c r="K106" s="503"/>
    </row>
    <row r="107" spans="1:11" s="90" customFormat="1" ht="17.7" customHeight="1">
      <c r="A107" s="435"/>
      <c r="B107" s="94"/>
      <c r="C107" s="301"/>
      <c r="D107" s="391"/>
      <c r="E107" s="391"/>
      <c r="F107" s="390"/>
      <c r="G107" s="503" t="s">
        <v>88</v>
      </c>
      <c r="H107" s="503"/>
      <c r="I107" s="503"/>
      <c r="J107" s="503"/>
      <c r="K107" s="503"/>
    </row>
    <row r="108" spans="1:11" s="90" customFormat="1" ht="18">
      <c r="A108" s="435"/>
      <c r="B108" s="94"/>
      <c r="C108" s="301"/>
      <c r="D108" s="391"/>
      <c r="E108" s="391"/>
      <c r="F108" s="391"/>
      <c r="G108" s="390"/>
      <c r="H108" s="474" t="s">
        <v>146</v>
      </c>
      <c r="I108" s="475"/>
      <c r="J108" s="475"/>
      <c r="K108" s="476"/>
    </row>
    <row r="109" spans="1:11" ht="34.799999999999997">
      <c r="A109" s="435"/>
      <c r="B109" s="94"/>
      <c r="C109" s="301"/>
      <c r="D109" s="391"/>
      <c r="E109" s="391"/>
      <c r="F109" s="391"/>
      <c r="G109" s="391"/>
      <c r="H109" s="390"/>
      <c r="I109" s="47" t="s">
        <v>603</v>
      </c>
      <c r="J109" s="318" t="s">
        <v>143</v>
      </c>
      <c r="K109" s="93">
        <v>8</v>
      </c>
    </row>
    <row r="110" spans="1:11" ht="34.799999999999997">
      <c r="A110" s="435"/>
      <c r="B110" s="94"/>
      <c r="C110" s="301"/>
      <c r="D110" s="400"/>
      <c r="E110" s="400"/>
      <c r="F110" s="400"/>
      <c r="G110" s="400"/>
      <c r="H110" s="400"/>
      <c r="I110" s="47" t="s">
        <v>145</v>
      </c>
      <c r="J110" s="318" t="s">
        <v>143</v>
      </c>
      <c r="K110" s="93">
        <v>1</v>
      </c>
    </row>
    <row r="111" spans="1:11" s="91" customFormat="1" ht="17.7" customHeight="1">
      <c r="A111" s="435"/>
      <c r="B111" s="94"/>
      <c r="C111" s="301"/>
      <c r="D111" s="100" t="s">
        <v>535</v>
      </c>
      <c r="E111" s="503" t="s">
        <v>320</v>
      </c>
      <c r="F111" s="503"/>
      <c r="G111" s="503"/>
      <c r="H111" s="503"/>
      <c r="I111" s="503"/>
      <c r="J111" s="76">
        <f>+'Հավելված N 1'!G40</f>
        <v>0</v>
      </c>
      <c r="K111" s="76">
        <f>+'Հավելված N 1'!H40</f>
        <v>13202.9</v>
      </c>
    </row>
    <row r="112" spans="1:11" s="90" customFormat="1" ht="33.9" customHeight="1">
      <c r="A112" s="435"/>
      <c r="B112" s="94"/>
      <c r="C112" s="301"/>
      <c r="D112" s="504"/>
      <c r="E112" s="390"/>
      <c r="F112" s="503" t="s">
        <v>536</v>
      </c>
      <c r="G112" s="503"/>
      <c r="H112" s="503"/>
      <c r="I112" s="503"/>
      <c r="J112" s="503"/>
      <c r="K112" s="503"/>
    </row>
    <row r="113" spans="1:11" s="90" customFormat="1" ht="17.7" customHeight="1">
      <c r="A113" s="435"/>
      <c r="B113" s="94"/>
      <c r="C113" s="301"/>
      <c r="D113" s="392"/>
      <c r="E113" s="391"/>
      <c r="F113" s="390"/>
      <c r="G113" s="503" t="s">
        <v>118</v>
      </c>
      <c r="H113" s="503"/>
      <c r="I113" s="503"/>
      <c r="J113" s="503"/>
      <c r="K113" s="503"/>
    </row>
    <row r="114" spans="1:11" s="90" customFormat="1" ht="18">
      <c r="A114" s="435"/>
      <c r="B114" s="94"/>
      <c r="C114" s="301"/>
      <c r="D114" s="392"/>
      <c r="E114" s="391"/>
      <c r="F114" s="391"/>
      <c r="G114" s="297"/>
      <c r="H114" s="474" t="s">
        <v>600</v>
      </c>
      <c r="I114" s="475"/>
      <c r="J114" s="475"/>
      <c r="K114" s="476"/>
    </row>
    <row r="115" spans="1:11" ht="34.799999999999997">
      <c r="A115" s="435"/>
      <c r="B115" s="94"/>
      <c r="C115" s="301"/>
      <c r="D115" s="305"/>
      <c r="E115" s="296"/>
      <c r="F115" s="296"/>
      <c r="G115" s="297"/>
      <c r="H115" s="298"/>
      <c r="I115" s="47" t="s">
        <v>145</v>
      </c>
      <c r="J115" s="318" t="s">
        <v>143</v>
      </c>
      <c r="K115" s="93">
        <v>1</v>
      </c>
    </row>
    <row r="116" spans="1:11" s="91" customFormat="1" ht="36" customHeight="1">
      <c r="A116" s="435"/>
      <c r="B116" s="534"/>
      <c r="C116" s="522"/>
      <c r="D116" s="100" t="s">
        <v>533</v>
      </c>
      <c r="E116" s="505" t="s">
        <v>408</v>
      </c>
      <c r="F116" s="505"/>
      <c r="G116" s="505"/>
      <c r="H116" s="505"/>
      <c r="I116" s="505"/>
      <c r="J116" s="324">
        <f>+'Հավելված N 1'!G41</f>
        <v>-122546.2</v>
      </c>
      <c r="K116" s="324">
        <f>+'Հավելված N 1'!H41</f>
        <v>-153182.79999999999</v>
      </c>
    </row>
    <row r="117" spans="1:11" s="90" customFormat="1" ht="33.9" customHeight="1">
      <c r="A117" s="435"/>
      <c r="B117" s="534"/>
      <c r="C117" s="522"/>
      <c r="D117" s="429"/>
      <c r="E117" s="47"/>
      <c r="F117" s="505" t="s">
        <v>599</v>
      </c>
      <c r="G117" s="505"/>
      <c r="H117" s="505"/>
      <c r="I117" s="505"/>
      <c r="J117" s="505"/>
      <c r="K117" s="505"/>
    </row>
    <row r="118" spans="1:11" s="90" customFormat="1" ht="17.7" customHeight="1">
      <c r="A118" s="435"/>
      <c r="B118" s="534"/>
      <c r="C118" s="522"/>
      <c r="D118" s="429"/>
      <c r="E118" s="47"/>
      <c r="F118" s="47"/>
      <c r="G118" s="505" t="s">
        <v>88</v>
      </c>
      <c r="H118" s="505"/>
      <c r="I118" s="505"/>
      <c r="J118" s="505"/>
      <c r="K118" s="505"/>
    </row>
    <row r="119" spans="1:11" s="90" customFormat="1" ht="18" customHeight="1">
      <c r="A119" s="435"/>
      <c r="B119" s="534"/>
      <c r="C119" s="522"/>
      <c r="D119" s="429"/>
      <c r="E119" s="47"/>
      <c r="F119" s="47"/>
      <c r="G119" s="47"/>
      <c r="H119" s="505" t="s">
        <v>146</v>
      </c>
      <c r="I119" s="505"/>
      <c r="J119" s="505"/>
      <c r="K119" s="505"/>
    </row>
    <row r="120" spans="1:11" ht="8.5500000000000007" customHeight="1">
      <c r="A120" s="435"/>
      <c r="B120" s="69"/>
      <c r="C120" s="69"/>
      <c r="D120" s="69"/>
      <c r="E120" s="69"/>
      <c r="F120" s="69"/>
      <c r="G120" s="69"/>
      <c r="H120" s="69"/>
      <c r="I120" s="69"/>
      <c r="J120" s="69"/>
      <c r="K120" s="89"/>
    </row>
    <row r="121" spans="1:11" s="90" customFormat="1" ht="18">
      <c r="A121" s="435"/>
      <c r="B121" s="327">
        <v>1196</v>
      </c>
      <c r="C121" s="521" t="s">
        <v>604</v>
      </c>
      <c r="D121" s="521"/>
      <c r="E121" s="521"/>
      <c r="F121" s="521"/>
      <c r="G121" s="521"/>
      <c r="H121" s="521"/>
      <c r="I121" s="521"/>
      <c r="J121" s="328">
        <f t="shared" ref="J121:K121" si="0">+J122</f>
        <v>9499.2000000000007</v>
      </c>
      <c r="K121" s="328">
        <f t="shared" si="0"/>
        <v>47495.9</v>
      </c>
    </row>
    <row r="122" spans="1:11" s="91" customFormat="1" ht="34.950000000000003" customHeight="1">
      <c r="A122" s="435"/>
      <c r="B122" s="381"/>
      <c r="C122" s="501"/>
      <c r="D122" s="100" t="s">
        <v>543</v>
      </c>
      <c r="E122" s="503" t="s">
        <v>605</v>
      </c>
      <c r="F122" s="503"/>
      <c r="G122" s="503"/>
      <c r="H122" s="503"/>
      <c r="I122" s="503"/>
      <c r="J122" s="76">
        <f>+'Հավելված N 1'!G43</f>
        <v>9499.2000000000007</v>
      </c>
      <c r="K122" s="76">
        <f>+'Հավելված N 1'!H43</f>
        <v>47495.9</v>
      </c>
    </row>
    <row r="123" spans="1:11" s="90" customFormat="1" ht="18">
      <c r="A123" s="435"/>
      <c r="B123" s="381"/>
      <c r="C123" s="501"/>
      <c r="D123" s="429"/>
      <c r="E123" s="429"/>
      <c r="F123" s="476" t="s">
        <v>606</v>
      </c>
      <c r="G123" s="503"/>
      <c r="H123" s="503"/>
      <c r="I123" s="503"/>
      <c r="J123" s="503"/>
      <c r="K123" s="503"/>
    </row>
    <row r="124" spans="1:11" s="90" customFormat="1" ht="17.7" customHeight="1">
      <c r="A124" s="435"/>
      <c r="B124" s="381"/>
      <c r="C124" s="501"/>
      <c r="D124" s="429"/>
      <c r="E124" s="429"/>
      <c r="F124" s="429"/>
      <c r="G124" s="476" t="s">
        <v>607</v>
      </c>
      <c r="H124" s="503"/>
      <c r="I124" s="503"/>
      <c r="J124" s="503"/>
      <c r="K124" s="503"/>
    </row>
    <row r="125" spans="1:11" s="90" customFormat="1" ht="18">
      <c r="A125" s="435"/>
      <c r="B125" s="381"/>
      <c r="C125" s="501"/>
      <c r="D125" s="429"/>
      <c r="E125" s="429"/>
      <c r="F125" s="429"/>
      <c r="G125" s="429"/>
      <c r="H125" s="475" t="s">
        <v>608</v>
      </c>
      <c r="I125" s="475"/>
      <c r="J125" s="475"/>
      <c r="K125" s="476"/>
    </row>
    <row r="126" spans="1:11" ht="34.799999999999997">
      <c r="A126" s="435"/>
      <c r="B126" s="381"/>
      <c r="C126" s="501"/>
      <c r="D126" s="429"/>
      <c r="E126" s="429"/>
      <c r="F126" s="429"/>
      <c r="G126" s="429"/>
      <c r="H126" s="299"/>
      <c r="I126" s="47" t="s">
        <v>575</v>
      </c>
      <c r="J126" s="320" t="s">
        <v>143</v>
      </c>
      <c r="K126" s="321">
        <v>1</v>
      </c>
    </row>
    <row r="127" spans="1:11" ht="8.5500000000000007" customHeight="1">
      <c r="A127" s="435"/>
      <c r="B127" s="69"/>
      <c r="C127" s="69"/>
      <c r="D127" s="69"/>
      <c r="E127" s="69"/>
      <c r="F127" s="69"/>
      <c r="G127" s="69"/>
      <c r="H127" s="69"/>
      <c r="I127" s="69"/>
      <c r="J127" s="69"/>
      <c r="K127" s="89"/>
    </row>
    <row r="128" spans="1:11" s="90" customFormat="1" ht="18">
      <c r="A128" s="435"/>
      <c r="B128" s="100">
        <v>1236</v>
      </c>
      <c r="C128" s="503" t="s">
        <v>87</v>
      </c>
      <c r="D128" s="503"/>
      <c r="E128" s="503"/>
      <c r="F128" s="503"/>
      <c r="G128" s="503"/>
      <c r="H128" s="503"/>
      <c r="I128" s="503"/>
      <c r="J128" s="84">
        <f>+J129+J133+J139+J145</f>
        <v>3478503.7</v>
      </c>
      <c r="K128" s="84">
        <f>+K129+K133+K139+K145</f>
        <v>13969444.612999998</v>
      </c>
    </row>
    <row r="129" spans="1:11" s="91" customFormat="1" ht="17.7" customHeight="1">
      <c r="A129" s="435"/>
      <c r="B129" s="390"/>
      <c r="C129" s="390"/>
      <c r="D129" s="100" t="s">
        <v>219</v>
      </c>
      <c r="E129" s="503" t="s">
        <v>169</v>
      </c>
      <c r="F129" s="503"/>
      <c r="G129" s="503"/>
      <c r="H129" s="503"/>
      <c r="I129" s="503"/>
      <c r="J129" s="76">
        <f>+'Հավելված N 1'!G45</f>
        <v>-252336.89999999997</v>
      </c>
      <c r="K129" s="76">
        <f>+'Հավելված N 1'!H45</f>
        <v>-168168.4</v>
      </c>
    </row>
    <row r="130" spans="1:11" s="90" customFormat="1" ht="35.549999999999997" customHeight="1">
      <c r="A130" s="435"/>
      <c r="B130" s="391"/>
      <c r="C130" s="391"/>
      <c r="D130" s="504"/>
      <c r="E130" s="390"/>
      <c r="F130" s="505" t="s">
        <v>227</v>
      </c>
      <c r="G130" s="505"/>
      <c r="H130" s="505"/>
      <c r="I130" s="505"/>
      <c r="J130" s="505"/>
      <c r="K130" s="505"/>
    </row>
    <row r="131" spans="1:11" s="90" customFormat="1" ht="17.7" customHeight="1">
      <c r="A131" s="435"/>
      <c r="B131" s="391"/>
      <c r="C131" s="391"/>
      <c r="D131" s="392"/>
      <c r="E131" s="391"/>
      <c r="F131" s="511"/>
      <c r="G131" s="505" t="s">
        <v>88</v>
      </c>
      <c r="H131" s="505"/>
      <c r="I131" s="505"/>
      <c r="J131" s="505"/>
      <c r="K131" s="505"/>
    </row>
    <row r="132" spans="1:11" s="90" customFormat="1" ht="18" customHeight="1">
      <c r="A132" s="435"/>
      <c r="B132" s="391"/>
      <c r="C132" s="391"/>
      <c r="D132" s="392"/>
      <c r="E132" s="391"/>
      <c r="F132" s="512"/>
      <c r="G132" s="303"/>
      <c r="H132" s="505" t="s">
        <v>226</v>
      </c>
      <c r="I132" s="505"/>
      <c r="J132" s="505"/>
      <c r="K132" s="505"/>
    </row>
    <row r="133" spans="1:11" s="91" customFormat="1" ht="17.7" customHeight="1">
      <c r="A133" s="435"/>
      <c r="B133" s="391"/>
      <c r="C133" s="391"/>
      <c r="D133" s="100" t="s">
        <v>221</v>
      </c>
      <c r="E133" s="503" t="s">
        <v>187</v>
      </c>
      <c r="F133" s="503"/>
      <c r="G133" s="503"/>
      <c r="H133" s="503"/>
      <c r="I133" s="503"/>
      <c r="J133" s="135">
        <f>+'Հավելված N 1'!G46</f>
        <v>1488479.0999999999</v>
      </c>
      <c r="K133" s="135">
        <f>+'Հավելված N 1'!H46</f>
        <v>6594937.1129999999</v>
      </c>
    </row>
    <row r="134" spans="1:11" s="90" customFormat="1" ht="35.549999999999997" customHeight="1">
      <c r="A134" s="435"/>
      <c r="B134" s="391"/>
      <c r="C134" s="391"/>
      <c r="D134" s="504"/>
      <c r="E134" s="390"/>
      <c r="F134" s="507" t="s">
        <v>228</v>
      </c>
      <c r="G134" s="505"/>
      <c r="H134" s="505"/>
      <c r="I134" s="505"/>
      <c r="J134" s="505"/>
      <c r="K134" s="505"/>
    </row>
    <row r="135" spans="1:11" s="90" customFormat="1" ht="17.7" customHeight="1">
      <c r="A135" s="435"/>
      <c r="B135" s="391"/>
      <c r="C135" s="391"/>
      <c r="D135" s="392"/>
      <c r="E135" s="391"/>
      <c r="F135" s="511"/>
      <c r="G135" s="507" t="s">
        <v>88</v>
      </c>
      <c r="H135" s="505"/>
      <c r="I135" s="505"/>
      <c r="J135" s="505"/>
      <c r="K135" s="505"/>
    </row>
    <row r="136" spans="1:11" s="90" customFormat="1" ht="18" customHeight="1">
      <c r="A136" s="435"/>
      <c r="B136" s="391"/>
      <c r="C136" s="391"/>
      <c r="D136" s="392"/>
      <c r="E136" s="391"/>
      <c r="F136" s="512"/>
      <c r="G136" s="511"/>
      <c r="H136" s="507" t="s">
        <v>229</v>
      </c>
      <c r="I136" s="505"/>
      <c r="J136" s="505"/>
      <c r="K136" s="505"/>
    </row>
    <row r="137" spans="1:11" ht="87">
      <c r="A137" s="435"/>
      <c r="B137" s="391"/>
      <c r="C137" s="391"/>
      <c r="D137" s="392"/>
      <c r="E137" s="391"/>
      <c r="F137" s="512"/>
      <c r="G137" s="512"/>
      <c r="H137" s="391"/>
      <c r="I137" s="102" t="s">
        <v>609</v>
      </c>
      <c r="J137" s="136"/>
      <c r="K137" s="136">
        <v>-1</v>
      </c>
    </row>
    <row r="138" spans="1:11" ht="34.799999999999997">
      <c r="A138" s="435"/>
      <c r="B138" s="391"/>
      <c r="C138" s="391"/>
      <c r="D138" s="392"/>
      <c r="E138" s="391"/>
      <c r="F138" s="512"/>
      <c r="G138" s="512"/>
      <c r="H138" s="391"/>
      <c r="I138" s="102" t="s">
        <v>145</v>
      </c>
      <c r="J138" s="136"/>
      <c r="K138" s="136">
        <v>1</v>
      </c>
    </row>
    <row r="139" spans="1:11" s="91" customFormat="1" ht="17.7" customHeight="1">
      <c r="A139" s="435"/>
      <c r="B139" s="391"/>
      <c r="C139" s="391"/>
      <c r="D139" s="100" t="s">
        <v>546</v>
      </c>
      <c r="E139" s="503" t="s">
        <v>436</v>
      </c>
      <c r="F139" s="503"/>
      <c r="G139" s="503"/>
      <c r="H139" s="503"/>
      <c r="I139" s="503"/>
      <c r="J139" s="76">
        <f>+'Հավելված N 1'!G47</f>
        <v>3800000</v>
      </c>
      <c r="K139" s="76">
        <f>+'Հավելված N 1'!H47</f>
        <v>9245548.6999999993</v>
      </c>
    </row>
    <row r="140" spans="1:11" s="90" customFormat="1" ht="35.549999999999997" customHeight="1">
      <c r="A140" s="435"/>
      <c r="B140" s="391"/>
      <c r="C140" s="391"/>
      <c r="D140" s="429"/>
      <c r="E140" s="429"/>
      <c r="F140" s="476" t="s">
        <v>610</v>
      </c>
      <c r="G140" s="503"/>
      <c r="H140" s="503"/>
      <c r="I140" s="503"/>
      <c r="J140" s="503"/>
      <c r="K140" s="503"/>
    </row>
    <row r="141" spans="1:11" s="90" customFormat="1" ht="17.7" customHeight="1">
      <c r="A141" s="435"/>
      <c r="B141" s="391"/>
      <c r="C141" s="391"/>
      <c r="D141" s="429"/>
      <c r="E141" s="429"/>
      <c r="F141" s="429"/>
      <c r="G141" s="476" t="s">
        <v>88</v>
      </c>
      <c r="H141" s="503"/>
      <c r="I141" s="503"/>
      <c r="J141" s="503"/>
      <c r="K141" s="503"/>
    </row>
    <row r="142" spans="1:11" s="90" customFormat="1" ht="18" customHeight="1">
      <c r="A142" s="435"/>
      <c r="B142" s="391"/>
      <c r="C142" s="391"/>
      <c r="D142" s="429"/>
      <c r="E142" s="429"/>
      <c r="F142" s="429"/>
      <c r="G142" s="429"/>
      <c r="H142" s="476" t="s">
        <v>146</v>
      </c>
      <c r="I142" s="503"/>
      <c r="J142" s="503"/>
      <c r="K142" s="503"/>
    </row>
    <row r="143" spans="1:11" ht="34.799999999999997">
      <c r="A143" s="435"/>
      <c r="B143" s="391"/>
      <c r="C143" s="391"/>
      <c r="D143" s="429"/>
      <c r="E143" s="429"/>
      <c r="F143" s="429"/>
      <c r="G143" s="429"/>
      <c r="H143" s="509"/>
      <c r="I143" s="102" t="s">
        <v>145</v>
      </c>
      <c r="J143" s="136"/>
      <c r="K143" s="136">
        <v>-1</v>
      </c>
    </row>
    <row r="144" spans="1:11" ht="87">
      <c r="A144" s="435"/>
      <c r="B144" s="391"/>
      <c r="C144" s="391"/>
      <c r="D144" s="429"/>
      <c r="E144" s="429"/>
      <c r="F144" s="429"/>
      <c r="G144" s="429"/>
      <c r="H144" s="509"/>
      <c r="I144" s="47" t="s">
        <v>635</v>
      </c>
      <c r="J144" s="362"/>
      <c r="K144" s="136">
        <v>18</v>
      </c>
    </row>
    <row r="145" spans="1:53" s="91" customFormat="1" ht="17.7" customHeight="1">
      <c r="A145" s="435"/>
      <c r="B145" s="391"/>
      <c r="C145" s="391"/>
      <c r="D145" s="46" t="s">
        <v>726</v>
      </c>
      <c r="E145" s="505" t="s">
        <v>663</v>
      </c>
      <c r="F145" s="505"/>
      <c r="G145" s="505"/>
      <c r="H145" s="505"/>
      <c r="I145" s="505"/>
      <c r="J145" s="324">
        <f>+'Հավելված N 1'!G48</f>
        <v>-1557638.5000000002</v>
      </c>
      <c r="K145" s="324">
        <f>+'Հավելված N 1'!H48</f>
        <v>-1702872.8</v>
      </c>
    </row>
    <row r="146" spans="1:53" s="90" customFormat="1" ht="35.549999999999997" customHeight="1">
      <c r="A146" s="435"/>
      <c r="B146" s="391"/>
      <c r="C146" s="391"/>
      <c r="D146" s="390"/>
      <c r="E146" s="511"/>
      <c r="F146" s="505" t="s">
        <v>228</v>
      </c>
      <c r="G146" s="505"/>
      <c r="H146" s="505"/>
      <c r="I146" s="505"/>
      <c r="J146" s="505"/>
      <c r="K146" s="505"/>
    </row>
    <row r="147" spans="1:53" s="90" customFormat="1" ht="17.7" customHeight="1">
      <c r="A147" s="435"/>
      <c r="B147" s="391"/>
      <c r="C147" s="391"/>
      <c r="D147" s="391"/>
      <c r="E147" s="512"/>
      <c r="F147" s="511"/>
      <c r="G147" s="505" t="s">
        <v>88</v>
      </c>
      <c r="H147" s="505"/>
      <c r="I147" s="505"/>
      <c r="J147" s="505"/>
      <c r="K147" s="505"/>
    </row>
    <row r="148" spans="1:53" s="90" customFormat="1" ht="18" customHeight="1">
      <c r="A148" s="436"/>
      <c r="B148" s="400"/>
      <c r="C148" s="400"/>
      <c r="D148" s="400"/>
      <c r="E148" s="513"/>
      <c r="F148" s="513"/>
      <c r="G148" s="47"/>
      <c r="H148" s="505" t="s">
        <v>727</v>
      </c>
      <c r="I148" s="505"/>
      <c r="J148" s="505"/>
      <c r="K148" s="505"/>
    </row>
    <row r="150" spans="1:53" s="86" customFormat="1" ht="30" customHeight="1">
      <c r="A150" s="495" t="s">
        <v>731</v>
      </c>
      <c r="B150" s="496"/>
      <c r="C150" s="496"/>
      <c r="D150" s="496"/>
      <c r="E150" s="496"/>
      <c r="F150" s="496"/>
      <c r="G150" s="496"/>
      <c r="H150" s="496"/>
      <c r="I150" s="496"/>
      <c r="J150" s="329">
        <f>+J151</f>
        <v>-2521776</v>
      </c>
      <c r="K150" s="329">
        <f>+K151+K165+K171</f>
        <v>-13214638.112999998</v>
      </c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10"/>
      <c r="AG150" s="10"/>
      <c r="AH150" s="10"/>
      <c r="AI150" s="10"/>
      <c r="AJ150" s="10"/>
      <c r="AK150" s="10"/>
      <c r="AL150" s="10"/>
      <c r="AM150" s="10"/>
      <c r="AN150" s="10"/>
      <c r="AO150" s="10"/>
      <c r="AP150" s="10"/>
      <c r="AQ150" s="10"/>
      <c r="AR150" s="10"/>
      <c r="AS150" s="10"/>
      <c r="AT150" s="10"/>
      <c r="AU150" s="10"/>
      <c r="AV150" s="10"/>
      <c r="AW150" s="10"/>
      <c r="AX150" s="10"/>
      <c r="AY150" s="10"/>
      <c r="AZ150" s="10"/>
      <c r="BA150" s="10"/>
    </row>
    <row r="151" spans="1:53" ht="18">
      <c r="A151" s="396"/>
      <c r="B151" s="372">
        <v>1006</v>
      </c>
      <c r="C151" s="497" t="s">
        <v>746</v>
      </c>
      <c r="D151" s="497"/>
      <c r="E151" s="497"/>
      <c r="F151" s="497"/>
      <c r="G151" s="497"/>
      <c r="H151" s="497"/>
      <c r="I151" s="497"/>
      <c r="J151" s="323">
        <f>+J152</f>
        <v>-2521776</v>
      </c>
      <c r="K151" s="323">
        <f>+K152+K156</f>
        <v>-13214638.112999998</v>
      </c>
    </row>
    <row r="152" spans="1:53" s="88" customFormat="1" ht="33" customHeight="1">
      <c r="A152" s="396"/>
      <c r="B152" s="429"/>
      <c r="C152" s="429"/>
      <c r="D152" s="103" t="s">
        <v>742</v>
      </c>
      <c r="E152" s="498" t="s">
        <v>743</v>
      </c>
      <c r="F152" s="498"/>
      <c r="G152" s="498"/>
      <c r="H152" s="498"/>
      <c r="I152" s="498"/>
      <c r="J152" s="87">
        <f>+'Հավելված N 1'!G52</f>
        <v>-2521776</v>
      </c>
      <c r="K152" s="87">
        <f>+'Հավելված N 1'!H52</f>
        <v>-13214638.112999998</v>
      </c>
    </row>
    <row r="153" spans="1:53" ht="33.299999999999997" customHeight="1">
      <c r="A153" s="396"/>
      <c r="B153" s="429"/>
      <c r="C153" s="429"/>
      <c r="D153" s="499"/>
      <c r="E153" s="500"/>
      <c r="F153" s="498" t="s">
        <v>747</v>
      </c>
      <c r="G153" s="498"/>
      <c r="H153" s="498"/>
      <c r="I153" s="498"/>
      <c r="J153" s="498"/>
      <c r="K153" s="498"/>
    </row>
    <row r="154" spans="1:53" ht="33.299999999999997" customHeight="1">
      <c r="A154" s="396"/>
      <c r="B154" s="429"/>
      <c r="C154" s="429"/>
      <c r="D154" s="499"/>
      <c r="E154" s="500"/>
      <c r="F154" s="500"/>
      <c r="G154" s="498" t="s">
        <v>748</v>
      </c>
      <c r="H154" s="498"/>
      <c r="I154" s="498"/>
      <c r="J154" s="498"/>
      <c r="K154" s="498"/>
    </row>
    <row r="155" spans="1:53" ht="33.299999999999997" customHeight="1">
      <c r="A155" s="396"/>
      <c r="B155" s="429"/>
      <c r="C155" s="429"/>
      <c r="D155" s="499"/>
      <c r="E155" s="500"/>
      <c r="F155" s="500"/>
      <c r="G155" s="304"/>
      <c r="H155" s="498" t="s">
        <v>749</v>
      </c>
      <c r="I155" s="498"/>
      <c r="J155" s="498"/>
      <c r="K155" s="498"/>
    </row>
    <row r="157" spans="1:53" s="86" customFormat="1" ht="30" customHeight="1">
      <c r="A157" s="496" t="s">
        <v>123</v>
      </c>
      <c r="B157" s="496"/>
      <c r="C157" s="496"/>
      <c r="D157" s="496"/>
      <c r="E157" s="496"/>
      <c r="F157" s="496"/>
      <c r="G157" s="496"/>
      <c r="H157" s="496"/>
      <c r="I157" s="496"/>
      <c r="J157" s="329">
        <f>+J158+J172+J178</f>
        <v>0</v>
      </c>
      <c r="K157" s="329">
        <f>+K158+K172+K178</f>
        <v>0</v>
      </c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10"/>
      <c r="AG157" s="10"/>
      <c r="AH157" s="10"/>
      <c r="AI157" s="10"/>
      <c r="AJ157" s="10"/>
      <c r="AK157" s="10"/>
      <c r="AL157" s="10"/>
      <c r="AM157" s="10"/>
      <c r="AN157" s="10"/>
      <c r="AO157" s="10"/>
      <c r="AP157" s="10"/>
      <c r="AQ157" s="10"/>
      <c r="AR157" s="10"/>
      <c r="AS157" s="10"/>
      <c r="AT157" s="10"/>
      <c r="AU157" s="10"/>
      <c r="AV157" s="10"/>
      <c r="AW157" s="10"/>
      <c r="AX157" s="10"/>
      <c r="AY157" s="10"/>
      <c r="AZ157" s="10"/>
      <c r="BA157" s="10"/>
    </row>
    <row r="158" spans="1:53" ht="18">
      <c r="A158" s="502"/>
      <c r="B158" s="304">
        <v>1139</v>
      </c>
      <c r="C158" s="497" t="s">
        <v>611</v>
      </c>
      <c r="D158" s="497"/>
      <c r="E158" s="497"/>
      <c r="F158" s="497"/>
      <c r="G158" s="497"/>
      <c r="H158" s="497"/>
      <c r="I158" s="497"/>
      <c r="J158" s="323">
        <f>+J159+J163</f>
        <v>0</v>
      </c>
      <c r="K158" s="323">
        <f>+K159+K163</f>
        <v>0</v>
      </c>
    </row>
    <row r="159" spans="1:53" s="88" customFormat="1" ht="33" customHeight="1">
      <c r="A159" s="502"/>
      <c r="B159" s="500"/>
      <c r="C159" s="502"/>
      <c r="D159" s="304" t="s">
        <v>612</v>
      </c>
      <c r="E159" s="498" t="s">
        <v>555</v>
      </c>
      <c r="F159" s="498"/>
      <c r="G159" s="498"/>
      <c r="H159" s="498"/>
      <c r="I159" s="498"/>
      <c r="J159" s="87">
        <f>+'Հավելված N 1'!G56</f>
        <v>10883.9</v>
      </c>
      <c r="K159" s="87">
        <f>+'Հավելված N 1'!H56</f>
        <v>23158.400000000001</v>
      </c>
    </row>
    <row r="160" spans="1:53" ht="33.299999999999997" customHeight="1">
      <c r="A160" s="502"/>
      <c r="B160" s="500"/>
      <c r="C160" s="502"/>
      <c r="D160" s="500"/>
      <c r="E160" s="500"/>
      <c r="F160" s="498" t="s">
        <v>613</v>
      </c>
      <c r="G160" s="498"/>
      <c r="H160" s="498"/>
      <c r="I160" s="498"/>
      <c r="J160" s="498"/>
      <c r="K160" s="498"/>
    </row>
    <row r="161" spans="1:11" ht="33.299999999999997" customHeight="1">
      <c r="A161" s="502"/>
      <c r="B161" s="500"/>
      <c r="C161" s="502"/>
      <c r="D161" s="500"/>
      <c r="E161" s="500"/>
      <c r="F161" s="500"/>
      <c r="G161" s="498" t="s">
        <v>614</v>
      </c>
      <c r="H161" s="498"/>
      <c r="I161" s="498"/>
      <c r="J161" s="498"/>
      <c r="K161" s="498"/>
    </row>
    <row r="162" spans="1:11" ht="33.299999999999997" customHeight="1">
      <c r="A162" s="502"/>
      <c r="B162" s="500"/>
      <c r="C162" s="502"/>
      <c r="D162" s="500"/>
      <c r="E162" s="500"/>
      <c r="F162" s="500"/>
      <c r="G162" s="304"/>
      <c r="H162" s="498" t="s">
        <v>615</v>
      </c>
      <c r="I162" s="498"/>
      <c r="J162" s="498"/>
      <c r="K162" s="498"/>
    </row>
    <row r="163" spans="1:11" s="88" customFormat="1" ht="33" customHeight="1">
      <c r="A163" s="502"/>
      <c r="B163" s="500"/>
      <c r="C163" s="502"/>
      <c r="D163" s="304" t="s">
        <v>612</v>
      </c>
      <c r="E163" s="498" t="s">
        <v>555</v>
      </c>
      <c r="F163" s="498"/>
      <c r="G163" s="498"/>
      <c r="H163" s="498"/>
      <c r="I163" s="498"/>
      <c r="J163" s="87">
        <f>+'Հավելված N 1'!G57</f>
        <v>-10883.9</v>
      </c>
      <c r="K163" s="87">
        <f>+'Հավելված N 1'!H57</f>
        <v>-23158.400000000001</v>
      </c>
    </row>
    <row r="164" spans="1:11" ht="33.299999999999997" customHeight="1">
      <c r="A164" s="502"/>
      <c r="B164" s="500"/>
      <c r="C164" s="502"/>
      <c r="D164" s="500"/>
      <c r="E164" s="500"/>
      <c r="F164" s="498" t="s">
        <v>613</v>
      </c>
      <c r="G164" s="498"/>
      <c r="H164" s="498"/>
      <c r="I164" s="498"/>
      <c r="J164" s="498"/>
      <c r="K164" s="498"/>
    </row>
    <row r="165" spans="1:11" ht="33.299999999999997" customHeight="1">
      <c r="A165" s="502"/>
      <c r="B165" s="500"/>
      <c r="C165" s="502"/>
      <c r="D165" s="500"/>
      <c r="E165" s="500"/>
      <c r="F165" s="500"/>
      <c r="G165" s="498" t="s">
        <v>614</v>
      </c>
      <c r="H165" s="498"/>
      <c r="I165" s="498"/>
      <c r="J165" s="498"/>
      <c r="K165" s="498"/>
    </row>
    <row r="166" spans="1:11" ht="33.299999999999997" customHeight="1">
      <c r="A166" s="502"/>
      <c r="B166" s="500"/>
      <c r="C166" s="502"/>
      <c r="D166" s="500"/>
      <c r="E166" s="500"/>
      <c r="F166" s="500"/>
      <c r="G166" s="304"/>
      <c r="H166" s="498" t="s">
        <v>615</v>
      </c>
      <c r="I166" s="498"/>
      <c r="J166" s="498"/>
      <c r="K166" s="498"/>
    </row>
  </sheetData>
  <mergeCells count="254">
    <mergeCell ref="E145:I145"/>
    <mergeCell ref="F146:K146"/>
    <mergeCell ref="G147:K147"/>
    <mergeCell ref="H148:K148"/>
    <mergeCell ref="A14:A148"/>
    <mergeCell ref="B129:B148"/>
    <mergeCell ref="F147:F148"/>
    <mergeCell ref="E146:E148"/>
    <mergeCell ref="D146:D148"/>
    <mergeCell ref="C129:C148"/>
    <mergeCell ref="H143:H144"/>
    <mergeCell ref="G142:G144"/>
    <mergeCell ref="F141:F144"/>
    <mergeCell ref="E140:E144"/>
    <mergeCell ref="D140:D144"/>
    <mergeCell ref="B116:B119"/>
    <mergeCell ref="E97:I97"/>
    <mergeCell ref="D71:D74"/>
    <mergeCell ref="E15:I15"/>
    <mergeCell ref="D16:D18"/>
    <mergeCell ref="E16:E18"/>
    <mergeCell ref="F16:K16"/>
    <mergeCell ref="F17:F18"/>
    <mergeCell ref="G17:K17"/>
    <mergeCell ref="G1:H1"/>
    <mergeCell ref="G3:H3"/>
    <mergeCell ref="A6:K6"/>
    <mergeCell ref="J9:K9"/>
    <mergeCell ref="I1:K1"/>
    <mergeCell ref="I2:K2"/>
    <mergeCell ref="I3:K3"/>
    <mergeCell ref="A9:A10"/>
    <mergeCell ref="B9:C9"/>
    <mergeCell ref="D9:G9"/>
    <mergeCell ref="H9:H10"/>
    <mergeCell ref="I9:I10"/>
    <mergeCell ref="A11:I11"/>
    <mergeCell ref="A12:I12"/>
    <mergeCell ref="A13:I13"/>
    <mergeCell ref="C14:I14"/>
    <mergeCell ref="C91:I91"/>
    <mergeCell ref="E92:I92"/>
    <mergeCell ref="F93:K93"/>
    <mergeCell ref="G94:K94"/>
    <mergeCell ref="H95:K95"/>
    <mergeCell ref="C69:I69"/>
    <mergeCell ref="F77:F80"/>
    <mergeCell ref="E76:E80"/>
    <mergeCell ref="D76:D80"/>
    <mergeCell ref="G87:K87"/>
    <mergeCell ref="H88:K88"/>
    <mergeCell ref="B70:B89"/>
    <mergeCell ref="C70:C89"/>
    <mergeCell ref="E81:I81"/>
    <mergeCell ref="D82:D84"/>
    <mergeCell ref="E82:E84"/>
    <mergeCell ref="F82:K82"/>
    <mergeCell ref="F83:F84"/>
    <mergeCell ref="G83:K83"/>
    <mergeCell ref="H84:K84"/>
    <mergeCell ref="H18:K18"/>
    <mergeCell ref="C128:I128"/>
    <mergeCell ref="H119:K119"/>
    <mergeCell ref="G35:G36"/>
    <mergeCell ref="H35:K35"/>
    <mergeCell ref="E37:I37"/>
    <mergeCell ref="D38:D40"/>
    <mergeCell ref="E38:E40"/>
    <mergeCell ref="F38:K38"/>
    <mergeCell ref="F39:F40"/>
    <mergeCell ref="G39:K39"/>
    <mergeCell ref="H40:K40"/>
    <mergeCell ref="F44:K44"/>
    <mergeCell ref="G45:K45"/>
    <mergeCell ref="H46:K46"/>
    <mergeCell ref="C61:I61"/>
    <mergeCell ref="E62:I62"/>
    <mergeCell ref="F63:K63"/>
    <mergeCell ref="G64:K64"/>
    <mergeCell ref="H65:K65"/>
    <mergeCell ref="G72:K72"/>
    <mergeCell ref="H73:K73"/>
    <mergeCell ref="G73:G74"/>
    <mergeCell ref="F72:F74"/>
    <mergeCell ref="D130:D132"/>
    <mergeCell ref="C121:I121"/>
    <mergeCell ref="E75:I75"/>
    <mergeCell ref="E19:I19"/>
    <mergeCell ref="F20:K20"/>
    <mergeCell ref="G22:G23"/>
    <mergeCell ref="F21:F23"/>
    <mergeCell ref="E20:E23"/>
    <mergeCell ref="D20:D23"/>
    <mergeCell ref="G21:K21"/>
    <mergeCell ref="H22:K22"/>
    <mergeCell ref="C42:I42"/>
    <mergeCell ref="E43:I43"/>
    <mergeCell ref="C116:C119"/>
    <mergeCell ref="E116:I116"/>
    <mergeCell ref="F76:K76"/>
    <mergeCell ref="G77:K77"/>
    <mergeCell ref="H78:K78"/>
    <mergeCell ref="C104:I104"/>
    <mergeCell ref="H79:H80"/>
    <mergeCell ref="G78:G80"/>
    <mergeCell ref="D44:D47"/>
    <mergeCell ref="G34:K34"/>
    <mergeCell ref="D93:D95"/>
    <mergeCell ref="G135:K135"/>
    <mergeCell ref="H136:K136"/>
    <mergeCell ref="F135:F138"/>
    <mergeCell ref="G136:G138"/>
    <mergeCell ref="H137:H138"/>
    <mergeCell ref="E133:I133"/>
    <mergeCell ref="F134:K134"/>
    <mergeCell ref="G131:K131"/>
    <mergeCell ref="E129:I129"/>
    <mergeCell ref="F130:K130"/>
    <mergeCell ref="E130:E132"/>
    <mergeCell ref="F131:F132"/>
    <mergeCell ref="H132:K132"/>
    <mergeCell ref="D134:D138"/>
    <mergeCell ref="E134:E138"/>
    <mergeCell ref="E139:I139"/>
    <mergeCell ref="F140:K140"/>
    <mergeCell ref="G141:K141"/>
    <mergeCell ref="H142:K142"/>
    <mergeCell ref="C15:C23"/>
    <mergeCell ref="B15:B23"/>
    <mergeCell ref="C25:I25"/>
    <mergeCell ref="B26:B40"/>
    <mergeCell ref="C26:C40"/>
    <mergeCell ref="E26:I26"/>
    <mergeCell ref="F27:K27"/>
    <mergeCell ref="G28:K28"/>
    <mergeCell ref="H29:K29"/>
    <mergeCell ref="E32:I32"/>
    <mergeCell ref="D33:D36"/>
    <mergeCell ref="E33:E36"/>
    <mergeCell ref="F33:K33"/>
    <mergeCell ref="F34:F36"/>
    <mergeCell ref="G29:G31"/>
    <mergeCell ref="F28:F31"/>
    <mergeCell ref="E27:E31"/>
    <mergeCell ref="D27:D31"/>
    <mergeCell ref="B55:B59"/>
    <mergeCell ref="E48:I48"/>
    <mergeCell ref="F49:K49"/>
    <mergeCell ref="G50:K50"/>
    <mergeCell ref="H51:K51"/>
    <mergeCell ref="G51:G52"/>
    <mergeCell ref="F50:F52"/>
    <mergeCell ref="E49:E52"/>
    <mergeCell ref="D49:D52"/>
    <mergeCell ref="C43:C52"/>
    <mergeCell ref="B43:B52"/>
    <mergeCell ref="C54:I54"/>
    <mergeCell ref="E55:I55"/>
    <mergeCell ref="F56:K56"/>
    <mergeCell ref="G57:K57"/>
    <mergeCell ref="H58:K58"/>
    <mergeCell ref="G58:G59"/>
    <mergeCell ref="F57:F59"/>
    <mergeCell ref="E56:E59"/>
    <mergeCell ref="D56:D59"/>
    <mergeCell ref="C55:C59"/>
    <mergeCell ref="G46:G47"/>
    <mergeCell ref="F45:F47"/>
    <mergeCell ref="E44:E47"/>
    <mergeCell ref="B62:B67"/>
    <mergeCell ref="C62:C67"/>
    <mergeCell ref="D63:D67"/>
    <mergeCell ref="E63:E67"/>
    <mergeCell ref="F64:F67"/>
    <mergeCell ref="G65:G67"/>
    <mergeCell ref="H66:H67"/>
    <mergeCell ref="E70:I70"/>
    <mergeCell ref="F71:K71"/>
    <mergeCell ref="E71:E74"/>
    <mergeCell ref="E85:I85"/>
    <mergeCell ref="F86:K86"/>
    <mergeCell ref="C92:C102"/>
    <mergeCell ref="B92:B102"/>
    <mergeCell ref="G95:G96"/>
    <mergeCell ref="F94:F96"/>
    <mergeCell ref="E93:E96"/>
    <mergeCell ref="E98:E102"/>
    <mergeCell ref="F98:K98"/>
    <mergeCell ref="F99:F102"/>
    <mergeCell ref="G99:K99"/>
    <mergeCell ref="G100:G102"/>
    <mergeCell ref="H100:K100"/>
    <mergeCell ref="H101:H102"/>
    <mergeCell ref="D98:D102"/>
    <mergeCell ref="B122:B126"/>
    <mergeCell ref="E105:I105"/>
    <mergeCell ref="D106:D110"/>
    <mergeCell ref="E106:E110"/>
    <mergeCell ref="F106:K106"/>
    <mergeCell ref="F107:F110"/>
    <mergeCell ref="G107:K107"/>
    <mergeCell ref="G108:G110"/>
    <mergeCell ref="H108:K108"/>
    <mergeCell ref="H109:H110"/>
    <mergeCell ref="E111:I111"/>
    <mergeCell ref="D112:D114"/>
    <mergeCell ref="E112:E114"/>
    <mergeCell ref="F112:K112"/>
    <mergeCell ref="F113:F114"/>
    <mergeCell ref="G113:K113"/>
    <mergeCell ref="H114:K114"/>
    <mergeCell ref="D117:D119"/>
    <mergeCell ref="F117:K117"/>
    <mergeCell ref="G118:K118"/>
    <mergeCell ref="E122:I122"/>
    <mergeCell ref="F123:K123"/>
    <mergeCell ref="G124:K124"/>
    <mergeCell ref="H125:K125"/>
    <mergeCell ref="G125:G126"/>
    <mergeCell ref="F124:F126"/>
    <mergeCell ref="E123:E126"/>
    <mergeCell ref="D123:D126"/>
    <mergeCell ref="C122:C126"/>
    <mergeCell ref="D164:D166"/>
    <mergeCell ref="E164:E166"/>
    <mergeCell ref="F164:K164"/>
    <mergeCell ref="F165:F166"/>
    <mergeCell ref="G165:K165"/>
    <mergeCell ref="H166:K166"/>
    <mergeCell ref="A157:I157"/>
    <mergeCell ref="A158:A166"/>
    <mergeCell ref="C158:I158"/>
    <mergeCell ref="B159:B166"/>
    <mergeCell ref="C159:C166"/>
    <mergeCell ref="E159:I159"/>
    <mergeCell ref="D160:D162"/>
    <mergeCell ref="E160:E162"/>
    <mergeCell ref="F160:K160"/>
    <mergeCell ref="F161:F162"/>
    <mergeCell ref="G161:K161"/>
    <mergeCell ref="H162:K162"/>
    <mergeCell ref="E163:I163"/>
    <mergeCell ref="A150:I150"/>
    <mergeCell ref="C151:I151"/>
    <mergeCell ref="E152:I152"/>
    <mergeCell ref="D153:D155"/>
    <mergeCell ref="E153:E155"/>
    <mergeCell ref="F153:K153"/>
    <mergeCell ref="F154:F155"/>
    <mergeCell ref="G154:K154"/>
    <mergeCell ref="H155:K155"/>
    <mergeCell ref="C152:C155"/>
    <mergeCell ref="B152:B155"/>
    <mergeCell ref="A151:A155"/>
  </mergeCells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92D050"/>
  </sheetPr>
  <dimension ref="A1:BA210"/>
  <sheetViews>
    <sheetView zoomScale="70" zoomScaleNormal="70" workbookViewId="0">
      <selection activeCell="J11" sqref="J11:K11"/>
    </sheetView>
  </sheetViews>
  <sheetFormatPr defaultColWidth="8.77734375" defaultRowHeight="17.399999999999999"/>
  <cols>
    <col min="1" max="1" width="6.44140625" style="77" bestFit="1" customWidth="1"/>
    <col min="2" max="2" width="9.6640625" style="77" customWidth="1"/>
    <col min="3" max="3" width="13.109375" style="77" customWidth="1"/>
    <col min="4" max="4" width="16.6640625" style="92" customWidth="1"/>
    <col min="5" max="5" width="13.109375" style="77" customWidth="1"/>
    <col min="6" max="6" width="15.44140625" style="77" customWidth="1"/>
    <col min="7" max="7" width="10.44140625" style="77" customWidth="1"/>
    <col min="8" max="8" width="22.5546875" style="77" customWidth="1"/>
    <col min="9" max="9" width="46.33203125" style="77" customWidth="1"/>
    <col min="10" max="11" width="24.77734375" style="77" customWidth="1"/>
    <col min="12" max="16384" width="8.77734375" style="77"/>
  </cols>
  <sheetData>
    <row r="1" spans="1:19" ht="28.5" customHeight="1">
      <c r="D1" s="78"/>
      <c r="E1" s="78"/>
      <c r="F1" s="78"/>
      <c r="G1" s="530"/>
      <c r="H1" s="530"/>
      <c r="I1" s="530" t="s">
        <v>89</v>
      </c>
      <c r="J1" s="530"/>
      <c r="K1" s="530"/>
    </row>
    <row r="2" spans="1:19" ht="17.7" customHeight="1">
      <c r="D2" s="79"/>
      <c r="E2" s="79"/>
      <c r="F2" s="80"/>
      <c r="H2" s="81"/>
      <c r="I2" s="531" t="s">
        <v>102</v>
      </c>
      <c r="J2" s="531"/>
      <c r="K2" s="531"/>
    </row>
    <row r="3" spans="1:19">
      <c r="D3" s="79"/>
      <c r="E3" s="79"/>
      <c r="F3" s="80"/>
      <c r="G3" s="531"/>
      <c r="H3" s="531"/>
      <c r="I3" s="531" t="s">
        <v>20</v>
      </c>
      <c r="J3" s="531"/>
      <c r="K3" s="531"/>
    </row>
    <row r="4" spans="1:19">
      <c r="D4" s="79"/>
      <c r="E4" s="79"/>
      <c r="F4" s="80"/>
      <c r="G4" s="81"/>
      <c r="H4" s="81"/>
      <c r="I4" s="81"/>
    </row>
    <row r="5" spans="1:19">
      <c r="D5" s="79"/>
      <c r="E5" s="79"/>
      <c r="F5" s="80"/>
      <c r="G5" s="81"/>
      <c r="H5" s="81"/>
      <c r="I5" s="81"/>
    </row>
    <row r="6" spans="1:19" ht="37.65" customHeight="1">
      <c r="A6" s="467" t="s">
        <v>231</v>
      </c>
      <c r="B6" s="467"/>
      <c r="C6" s="467"/>
      <c r="D6" s="467"/>
      <c r="E6" s="467"/>
      <c r="F6" s="467"/>
      <c r="G6" s="467"/>
      <c r="H6" s="467"/>
      <c r="I6" s="467"/>
      <c r="J6" s="467"/>
      <c r="K6" s="467"/>
    </row>
    <row r="9" spans="1:19" ht="51" customHeight="1">
      <c r="A9" s="375" t="s">
        <v>167</v>
      </c>
      <c r="B9" s="375" t="s">
        <v>130</v>
      </c>
      <c r="C9" s="375"/>
      <c r="D9" s="375" t="s">
        <v>131</v>
      </c>
      <c r="E9" s="375"/>
      <c r="F9" s="375"/>
      <c r="G9" s="375"/>
      <c r="H9" s="375" t="s">
        <v>132</v>
      </c>
      <c r="I9" s="375" t="s">
        <v>133</v>
      </c>
      <c r="J9" s="532" t="s">
        <v>55</v>
      </c>
      <c r="K9" s="533"/>
    </row>
    <row r="10" spans="1:19" ht="51" customHeight="1">
      <c r="A10" s="375"/>
      <c r="B10" s="75" t="s">
        <v>134</v>
      </c>
      <c r="C10" s="75" t="s">
        <v>135</v>
      </c>
      <c r="D10" s="75" t="s">
        <v>136</v>
      </c>
      <c r="E10" s="75" t="s">
        <v>135</v>
      </c>
      <c r="F10" s="75" t="s">
        <v>137</v>
      </c>
      <c r="G10" s="75" t="s">
        <v>138</v>
      </c>
      <c r="H10" s="375"/>
      <c r="I10" s="375"/>
      <c r="J10" s="75" t="s">
        <v>139</v>
      </c>
      <c r="K10" s="75" t="s">
        <v>140</v>
      </c>
    </row>
    <row r="11" spans="1:19" s="83" customFormat="1" ht="48.45" customHeight="1">
      <c r="A11" s="527" t="s">
        <v>141</v>
      </c>
      <c r="B11" s="527"/>
      <c r="C11" s="527"/>
      <c r="D11" s="527"/>
      <c r="E11" s="527"/>
      <c r="F11" s="527"/>
      <c r="G11" s="527"/>
      <c r="H11" s="527"/>
      <c r="I11" s="527"/>
      <c r="J11" s="82">
        <f>+ROUND(J13+J126+J173+J181+J189+J196,1)</f>
        <v>0</v>
      </c>
      <c r="K11" s="82">
        <f>+ROUND(K13+K126+K173+K181+K189+K196,1)</f>
        <v>0</v>
      </c>
      <c r="L11" s="104"/>
      <c r="M11" s="104"/>
      <c r="N11" s="104"/>
      <c r="O11" s="104"/>
      <c r="P11" s="104"/>
      <c r="Q11" s="104"/>
      <c r="R11" s="104"/>
      <c r="S11" s="104"/>
    </row>
    <row r="12" spans="1:19" s="85" customFormat="1" ht="18">
      <c r="A12" s="528" t="s">
        <v>111</v>
      </c>
      <c r="B12" s="528"/>
      <c r="C12" s="528"/>
      <c r="D12" s="528"/>
      <c r="E12" s="528"/>
      <c r="F12" s="528"/>
      <c r="G12" s="528"/>
      <c r="H12" s="528"/>
      <c r="I12" s="528"/>
      <c r="J12" s="84"/>
      <c r="K12" s="84"/>
      <c r="L12" s="105"/>
      <c r="M12" s="105"/>
      <c r="N12" s="105"/>
      <c r="O12" s="105"/>
      <c r="P12" s="105"/>
      <c r="Q12" s="105"/>
      <c r="R12" s="105"/>
      <c r="S12" s="105"/>
    </row>
    <row r="13" spans="1:19" s="86" customFormat="1" ht="30" customHeight="1">
      <c r="A13" s="496" t="s">
        <v>142</v>
      </c>
      <c r="B13" s="496"/>
      <c r="C13" s="496"/>
      <c r="D13" s="496"/>
      <c r="E13" s="496"/>
      <c r="F13" s="496"/>
      <c r="G13" s="496"/>
      <c r="H13" s="496"/>
      <c r="I13" s="496"/>
      <c r="J13" s="137">
        <f>+J14+J20+J37+J49+J56+J64+J75+J88+J101+J108</f>
        <v>2028336.0999999994</v>
      </c>
      <c r="K13" s="137">
        <f>+K14+K20+K37+K49+K56+K64+K75+K88+K101+K108</f>
        <v>12701429.613</v>
      </c>
      <c r="L13" s="10"/>
      <c r="M13" s="10"/>
      <c r="N13" s="10"/>
      <c r="O13" s="10"/>
      <c r="P13" s="10"/>
      <c r="Q13" s="10"/>
      <c r="R13" s="10"/>
      <c r="S13" s="10"/>
    </row>
    <row r="14" spans="1:19" ht="18">
      <c r="A14" s="396"/>
      <c r="B14" s="103">
        <v>1045</v>
      </c>
      <c r="C14" s="498" t="s">
        <v>110</v>
      </c>
      <c r="D14" s="498"/>
      <c r="E14" s="498"/>
      <c r="F14" s="498"/>
      <c r="G14" s="498"/>
      <c r="H14" s="498"/>
      <c r="I14" s="498"/>
      <c r="J14" s="84">
        <f>+J15</f>
        <v>-144795.6</v>
      </c>
      <c r="K14" s="84">
        <f>+K15</f>
        <v>-107065</v>
      </c>
    </row>
    <row r="15" spans="1:19" s="88" customFormat="1" ht="33" customHeight="1">
      <c r="A15" s="396"/>
      <c r="B15" s="518"/>
      <c r="C15" s="515"/>
      <c r="D15" s="103" t="s">
        <v>487</v>
      </c>
      <c r="E15" s="498" t="s">
        <v>488</v>
      </c>
      <c r="F15" s="498"/>
      <c r="G15" s="498"/>
      <c r="H15" s="498"/>
      <c r="I15" s="498"/>
      <c r="J15" s="87">
        <f>+'Հավելված N 2'!G272</f>
        <v>-144795.6</v>
      </c>
      <c r="K15" s="87">
        <f>+'Հավելված N 2'!H272</f>
        <v>-107065</v>
      </c>
    </row>
    <row r="16" spans="1:19" ht="33.299999999999997" customHeight="1">
      <c r="A16" s="396"/>
      <c r="B16" s="519"/>
      <c r="C16" s="516"/>
      <c r="D16" s="499"/>
      <c r="E16" s="515"/>
      <c r="F16" s="523" t="s">
        <v>561</v>
      </c>
      <c r="G16" s="524"/>
      <c r="H16" s="524"/>
      <c r="I16" s="524"/>
      <c r="J16" s="524"/>
      <c r="K16" s="525"/>
    </row>
    <row r="17" spans="1:11" ht="33.299999999999997" customHeight="1">
      <c r="A17" s="396"/>
      <c r="B17" s="519"/>
      <c r="C17" s="516"/>
      <c r="D17" s="499"/>
      <c r="E17" s="516"/>
      <c r="F17" s="515"/>
      <c r="G17" s="523" t="s">
        <v>88</v>
      </c>
      <c r="H17" s="524"/>
      <c r="I17" s="524"/>
      <c r="J17" s="524"/>
      <c r="K17" s="525"/>
    </row>
    <row r="18" spans="1:11" ht="33.299999999999997" customHeight="1">
      <c r="A18" s="396"/>
      <c r="B18" s="519"/>
      <c r="C18" s="516"/>
      <c r="D18" s="499"/>
      <c r="E18" s="516"/>
      <c r="F18" s="516"/>
      <c r="G18" s="316"/>
      <c r="H18" s="523" t="s">
        <v>144</v>
      </c>
      <c r="I18" s="524"/>
      <c r="J18" s="524"/>
      <c r="K18" s="525"/>
    </row>
    <row r="19" spans="1:11" ht="8.5500000000000007" customHeight="1">
      <c r="A19" s="396"/>
      <c r="B19" s="69"/>
      <c r="C19" s="69"/>
      <c r="D19" s="69"/>
      <c r="E19" s="69"/>
      <c r="F19" s="69"/>
      <c r="G19" s="69"/>
      <c r="H19" s="69"/>
      <c r="I19" s="69"/>
      <c r="J19" s="69"/>
      <c r="K19" s="89"/>
    </row>
    <row r="20" spans="1:11" s="90" customFormat="1" ht="18">
      <c r="A20" s="396"/>
      <c r="B20" s="100">
        <v>1075</v>
      </c>
      <c r="C20" s="503" t="s">
        <v>456</v>
      </c>
      <c r="D20" s="503"/>
      <c r="E20" s="503"/>
      <c r="F20" s="503"/>
      <c r="G20" s="503"/>
      <c r="H20" s="503"/>
      <c r="I20" s="503"/>
      <c r="J20" s="84">
        <f>+J21+J27+J32</f>
        <v>80200.5</v>
      </c>
      <c r="K20" s="84">
        <f>+K21+K27+K32</f>
        <v>21647</v>
      </c>
    </row>
    <row r="21" spans="1:11" s="91" customFormat="1" ht="33" customHeight="1">
      <c r="A21" s="396"/>
      <c r="B21" s="504"/>
      <c r="C21" s="390"/>
      <c r="D21" s="46" t="s">
        <v>493</v>
      </c>
      <c r="E21" s="503" t="s">
        <v>494</v>
      </c>
      <c r="F21" s="503"/>
      <c r="G21" s="503"/>
      <c r="H21" s="503"/>
      <c r="I21" s="503"/>
      <c r="J21" s="76">
        <f>+'Հավելված N 2'!G130</f>
        <v>19137.199999999997</v>
      </c>
      <c r="K21" s="76">
        <f>+'Հավելված N 2'!H130</f>
        <v>-39416.300000000003</v>
      </c>
    </row>
    <row r="22" spans="1:11" s="90" customFormat="1" ht="18">
      <c r="A22" s="396"/>
      <c r="B22" s="392"/>
      <c r="C22" s="391"/>
      <c r="D22" s="390"/>
      <c r="E22" s="390"/>
      <c r="F22" s="475" t="s">
        <v>562</v>
      </c>
      <c r="G22" s="475"/>
      <c r="H22" s="475"/>
      <c r="I22" s="475"/>
      <c r="J22" s="475"/>
      <c r="K22" s="476"/>
    </row>
    <row r="23" spans="1:11" s="90" customFormat="1" ht="17.7" customHeight="1">
      <c r="A23" s="396"/>
      <c r="B23" s="392"/>
      <c r="C23" s="391"/>
      <c r="D23" s="391"/>
      <c r="E23" s="391"/>
      <c r="F23" s="390"/>
      <c r="G23" s="475" t="s">
        <v>563</v>
      </c>
      <c r="H23" s="475"/>
      <c r="I23" s="475"/>
      <c r="J23" s="475"/>
      <c r="K23" s="476"/>
    </row>
    <row r="24" spans="1:11" s="90" customFormat="1" ht="18">
      <c r="A24" s="396"/>
      <c r="B24" s="392"/>
      <c r="C24" s="391"/>
      <c r="D24" s="391"/>
      <c r="E24" s="391"/>
      <c r="F24" s="391"/>
      <c r="G24" s="390"/>
      <c r="H24" s="475" t="s">
        <v>564</v>
      </c>
      <c r="I24" s="475"/>
      <c r="J24" s="475"/>
      <c r="K24" s="476"/>
    </row>
    <row r="25" spans="1:11" ht="52.2">
      <c r="A25" s="396"/>
      <c r="B25" s="392"/>
      <c r="C25" s="391"/>
      <c r="D25" s="391"/>
      <c r="E25" s="391"/>
      <c r="F25" s="391"/>
      <c r="G25" s="391"/>
      <c r="H25" s="94"/>
      <c r="I25" s="294" t="s">
        <v>565</v>
      </c>
      <c r="J25" s="294" t="s">
        <v>143</v>
      </c>
      <c r="K25" s="133">
        <v>-3</v>
      </c>
    </row>
    <row r="26" spans="1:11" ht="52.2">
      <c r="A26" s="396"/>
      <c r="B26" s="392"/>
      <c r="C26" s="391"/>
      <c r="D26" s="400"/>
      <c r="E26" s="400"/>
      <c r="F26" s="400"/>
      <c r="G26" s="400"/>
      <c r="H26" s="94"/>
      <c r="I26" s="294" t="s">
        <v>569</v>
      </c>
      <c r="J26" s="294" t="s">
        <v>143</v>
      </c>
      <c r="K26" s="133">
        <v>1</v>
      </c>
    </row>
    <row r="27" spans="1:11" s="91" customFormat="1" ht="33" customHeight="1">
      <c r="A27" s="396"/>
      <c r="B27" s="392"/>
      <c r="C27" s="391"/>
      <c r="D27" s="46" t="s">
        <v>497</v>
      </c>
      <c r="E27" s="503" t="s">
        <v>498</v>
      </c>
      <c r="F27" s="503"/>
      <c r="G27" s="503"/>
      <c r="H27" s="503"/>
      <c r="I27" s="503"/>
      <c r="J27" s="76">
        <f>+'Հավելված N 2'!G54</f>
        <v>90113.3</v>
      </c>
      <c r="K27" s="76">
        <f>+'Հավելված N 2'!H54</f>
        <v>90113.3</v>
      </c>
    </row>
    <row r="28" spans="1:11" s="90" customFormat="1" ht="18">
      <c r="A28" s="396"/>
      <c r="B28" s="392"/>
      <c r="C28" s="391"/>
      <c r="D28" s="429"/>
      <c r="E28" s="429"/>
      <c r="F28" s="475" t="s">
        <v>566</v>
      </c>
      <c r="G28" s="475"/>
      <c r="H28" s="475"/>
      <c r="I28" s="475"/>
      <c r="J28" s="475"/>
      <c r="K28" s="476"/>
    </row>
    <row r="29" spans="1:11" s="90" customFormat="1" ht="17.7" customHeight="1">
      <c r="A29" s="396"/>
      <c r="B29" s="392"/>
      <c r="C29" s="391"/>
      <c r="D29" s="429"/>
      <c r="E29" s="429"/>
      <c r="F29" s="429"/>
      <c r="G29" s="475" t="s">
        <v>88</v>
      </c>
      <c r="H29" s="475"/>
      <c r="I29" s="475"/>
      <c r="J29" s="475"/>
      <c r="K29" s="476"/>
    </row>
    <row r="30" spans="1:11" s="90" customFormat="1" ht="17.7" customHeight="1">
      <c r="A30" s="396"/>
      <c r="B30" s="392"/>
      <c r="C30" s="391"/>
      <c r="D30" s="429"/>
      <c r="E30" s="429"/>
      <c r="F30" s="429"/>
      <c r="G30" s="429"/>
      <c r="H30" s="474" t="s">
        <v>567</v>
      </c>
      <c r="I30" s="475"/>
      <c r="J30" s="475"/>
      <c r="K30" s="476"/>
    </row>
    <row r="31" spans="1:11" ht="34.799999999999997">
      <c r="A31" s="396"/>
      <c r="B31" s="392"/>
      <c r="C31" s="391"/>
      <c r="D31" s="429"/>
      <c r="E31" s="429"/>
      <c r="F31" s="429"/>
      <c r="G31" s="429"/>
      <c r="H31" s="94"/>
      <c r="I31" s="320" t="s">
        <v>568</v>
      </c>
      <c r="J31" s="320" t="s">
        <v>143</v>
      </c>
      <c r="K31" s="321">
        <v>13</v>
      </c>
    </row>
    <row r="32" spans="1:11" s="91" customFormat="1" ht="33" customHeight="1">
      <c r="A32" s="396"/>
      <c r="B32" s="392"/>
      <c r="C32" s="391"/>
      <c r="D32" s="46" t="s">
        <v>500</v>
      </c>
      <c r="E32" s="503" t="s">
        <v>307</v>
      </c>
      <c r="F32" s="503"/>
      <c r="G32" s="503"/>
      <c r="H32" s="503"/>
      <c r="I32" s="503"/>
      <c r="J32" s="76">
        <f>+'Հավելված N 2'!G64</f>
        <v>-29050</v>
      </c>
      <c r="K32" s="76">
        <f>+'Հավելված N 2'!H64</f>
        <v>-29050</v>
      </c>
    </row>
    <row r="33" spans="1:11" s="90" customFormat="1" ht="18" customHeight="1">
      <c r="A33" s="396"/>
      <c r="B33" s="392"/>
      <c r="C33" s="391"/>
      <c r="D33" s="429"/>
      <c r="E33" s="429"/>
      <c r="F33" s="475" t="s">
        <v>570</v>
      </c>
      <c r="G33" s="475"/>
      <c r="H33" s="475"/>
      <c r="I33" s="475"/>
      <c r="J33" s="475"/>
      <c r="K33" s="476"/>
    </row>
    <row r="34" spans="1:11" s="90" customFormat="1" ht="17.7" customHeight="1">
      <c r="A34" s="396"/>
      <c r="B34" s="392"/>
      <c r="C34" s="391"/>
      <c r="D34" s="429"/>
      <c r="E34" s="429"/>
      <c r="F34" s="429"/>
      <c r="G34" s="475" t="s">
        <v>88</v>
      </c>
      <c r="H34" s="475"/>
      <c r="I34" s="475"/>
      <c r="J34" s="475"/>
      <c r="K34" s="476"/>
    </row>
    <row r="35" spans="1:11" s="90" customFormat="1" ht="17.7" customHeight="1">
      <c r="A35" s="396"/>
      <c r="B35" s="392"/>
      <c r="C35" s="391"/>
      <c r="D35" s="429"/>
      <c r="E35" s="429"/>
      <c r="F35" s="429"/>
      <c r="G35" s="46"/>
      <c r="H35" s="474" t="s">
        <v>571</v>
      </c>
      <c r="I35" s="475"/>
      <c r="J35" s="475"/>
      <c r="K35" s="476"/>
    </row>
    <row r="36" spans="1:11" ht="8.5500000000000007" customHeight="1">
      <c r="A36" s="396"/>
      <c r="B36" s="69"/>
      <c r="C36" s="69"/>
      <c r="D36" s="69"/>
      <c r="E36" s="69"/>
      <c r="F36" s="69"/>
      <c r="G36" s="69"/>
      <c r="H36" s="69"/>
      <c r="I36" s="69"/>
      <c r="J36" s="69"/>
      <c r="K36" s="317"/>
    </row>
    <row r="37" spans="1:11" s="90" customFormat="1" ht="17.7" customHeight="1">
      <c r="A37" s="396"/>
      <c r="B37" s="100">
        <v>1111</v>
      </c>
      <c r="C37" s="505" t="s">
        <v>572</v>
      </c>
      <c r="D37" s="505"/>
      <c r="E37" s="505"/>
      <c r="F37" s="505"/>
      <c r="G37" s="505"/>
      <c r="H37" s="505"/>
      <c r="I37" s="505"/>
      <c r="J37" s="84">
        <f>+J38+J43</f>
        <v>166383.40000000002</v>
      </c>
      <c r="K37" s="84">
        <f>+K38+K43</f>
        <v>166383.40000000002</v>
      </c>
    </row>
    <row r="38" spans="1:11" s="91" customFormat="1" ht="34.950000000000003" customHeight="1">
      <c r="A38" s="396"/>
      <c r="B38" s="479"/>
      <c r="C38" s="429"/>
      <c r="D38" s="100" t="s">
        <v>505</v>
      </c>
      <c r="E38" s="505" t="s">
        <v>477</v>
      </c>
      <c r="F38" s="505"/>
      <c r="G38" s="505"/>
      <c r="H38" s="505"/>
      <c r="I38" s="505"/>
      <c r="J38" s="76">
        <f>+'Հավելված N 2'!G302</f>
        <v>163986.40000000002</v>
      </c>
      <c r="K38" s="76">
        <f>+'Հավելված N 2'!H302</f>
        <v>163986.40000000002</v>
      </c>
    </row>
    <row r="39" spans="1:11" s="90" customFormat="1" ht="18" customHeight="1">
      <c r="A39" s="396"/>
      <c r="B39" s="479"/>
      <c r="C39" s="429"/>
      <c r="D39" s="429"/>
      <c r="E39" s="429"/>
      <c r="F39" s="507" t="s">
        <v>573</v>
      </c>
      <c r="G39" s="505"/>
      <c r="H39" s="505"/>
      <c r="I39" s="505"/>
      <c r="J39" s="505"/>
      <c r="K39" s="505"/>
    </row>
    <row r="40" spans="1:11" s="90" customFormat="1" ht="17.7" customHeight="1">
      <c r="A40" s="396"/>
      <c r="B40" s="479"/>
      <c r="C40" s="429"/>
      <c r="D40" s="429"/>
      <c r="E40" s="429"/>
      <c r="F40" s="508"/>
      <c r="G40" s="507" t="s">
        <v>88</v>
      </c>
      <c r="H40" s="505"/>
      <c r="I40" s="505"/>
      <c r="J40" s="505"/>
      <c r="K40" s="505"/>
    </row>
    <row r="41" spans="1:11" s="90" customFormat="1" ht="36" customHeight="1">
      <c r="A41" s="396"/>
      <c r="B41" s="479"/>
      <c r="C41" s="429"/>
      <c r="D41" s="429"/>
      <c r="E41" s="429"/>
      <c r="F41" s="508"/>
      <c r="G41" s="508"/>
      <c r="H41" s="507" t="s">
        <v>574</v>
      </c>
      <c r="I41" s="505"/>
      <c r="J41" s="505"/>
      <c r="K41" s="505"/>
    </row>
    <row r="42" spans="1:11" ht="34.799999999999997">
      <c r="A42" s="396"/>
      <c r="B42" s="479"/>
      <c r="C42" s="429"/>
      <c r="D42" s="429"/>
      <c r="E42" s="429"/>
      <c r="F42" s="508"/>
      <c r="G42" s="508"/>
      <c r="H42" s="319"/>
      <c r="I42" s="86" t="s">
        <v>575</v>
      </c>
      <c r="J42" s="320" t="s">
        <v>143</v>
      </c>
      <c r="K42" s="321">
        <v>2</v>
      </c>
    </row>
    <row r="43" spans="1:11" s="91" customFormat="1" ht="34.950000000000003" customHeight="1">
      <c r="A43" s="396"/>
      <c r="B43" s="479"/>
      <c r="C43" s="429"/>
      <c r="D43" s="100" t="s">
        <v>507</v>
      </c>
      <c r="E43" s="505" t="s">
        <v>508</v>
      </c>
      <c r="F43" s="505"/>
      <c r="G43" s="505"/>
      <c r="H43" s="505"/>
      <c r="I43" s="505"/>
      <c r="J43" s="322">
        <f>+'Հավելված N 2'!G312</f>
        <v>2397</v>
      </c>
      <c r="K43" s="322">
        <f>+'Հավելված N 2'!H312</f>
        <v>2397</v>
      </c>
    </row>
    <row r="44" spans="1:11" s="90" customFormat="1" ht="18" customHeight="1">
      <c r="A44" s="396"/>
      <c r="B44" s="479"/>
      <c r="C44" s="429"/>
      <c r="D44" s="429"/>
      <c r="E44" s="375"/>
      <c r="F44" s="507" t="s">
        <v>576</v>
      </c>
      <c r="G44" s="505"/>
      <c r="H44" s="505"/>
      <c r="I44" s="505"/>
      <c r="J44" s="505"/>
      <c r="K44" s="505"/>
    </row>
    <row r="45" spans="1:11" s="90" customFormat="1" ht="17.7" customHeight="1">
      <c r="A45" s="396"/>
      <c r="B45" s="479"/>
      <c r="C45" s="429"/>
      <c r="D45" s="429"/>
      <c r="E45" s="375"/>
      <c r="F45" s="508"/>
      <c r="G45" s="507" t="s">
        <v>88</v>
      </c>
      <c r="H45" s="505"/>
      <c r="I45" s="505"/>
      <c r="J45" s="505"/>
      <c r="K45" s="505"/>
    </row>
    <row r="46" spans="1:11" s="90" customFormat="1" ht="36" customHeight="1">
      <c r="A46" s="396"/>
      <c r="B46" s="479"/>
      <c r="C46" s="429"/>
      <c r="D46" s="429"/>
      <c r="E46" s="375"/>
      <c r="F46" s="508"/>
      <c r="G46" s="508"/>
      <c r="H46" s="507" t="s">
        <v>574</v>
      </c>
      <c r="I46" s="505"/>
      <c r="J46" s="505"/>
      <c r="K46" s="505"/>
    </row>
    <row r="47" spans="1:11" ht="34.799999999999997">
      <c r="A47" s="396"/>
      <c r="B47" s="479"/>
      <c r="C47" s="429"/>
      <c r="D47" s="429"/>
      <c r="E47" s="375"/>
      <c r="F47" s="508"/>
      <c r="G47" s="508"/>
      <c r="H47" s="319"/>
      <c r="I47" s="86" t="s">
        <v>577</v>
      </c>
      <c r="J47" s="320" t="s">
        <v>143</v>
      </c>
      <c r="K47" s="321">
        <v>1</v>
      </c>
    </row>
    <row r="48" spans="1:11" ht="8.5500000000000007" customHeight="1">
      <c r="A48" s="396"/>
      <c r="B48" s="69"/>
      <c r="C48" s="69"/>
      <c r="D48" s="69"/>
      <c r="E48" s="69"/>
      <c r="F48" s="69"/>
      <c r="G48" s="69"/>
      <c r="H48" s="69"/>
      <c r="I48" s="69"/>
      <c r="J48" s="69"/>
      <c r="K48" s="317"/>
    </row>
    <row r="49" spans="1:11" s="90" customFormat="1" ht="35.549999999999997" customHeight="1">
      <c r="A49" s="396"/>
      <c r="B49" s="100">
        <v>1130</v>
      </c>
      <c r="C49" s="514" t="s">
        <v>578</v>
      </c>
      <c r="D49" s="514"/>
      <c r="E49" s="514"/>
      <c r="F49" s="514"/>
      <c r="G49" s="514"/>
      <c r="H49" s="514"/>
      <c r="I49" s="514"/>
      <c r="J49" s="323">
        <f>+J50</f>
        <v>0</v>
      </c>
      <c r="K49" s="323">
        <f>+K50</f>
        <v>5040</v>
      </c>
    </row>
    <row r="50" spans="1:11" s="91" customFormat="1" ht="34.950000000000003" customHeight="1">
      <c r="A50" s="396"/>
      <c r="B50" s="479"/>
      <c r="C50" s="429"/>
      <c r="D50" s="100" t="s">
        <v>514</v>
      </c>
      <c r="E50" s="505" t="s">
        <v>356</v>
      </c>
      <c r="F50" s="505"/>
      <c r="G50" s="505"/>
      <c r="H50" s="505"/>
      <c r="I50" s="505"/>
      <c r="J50" s="324">
        <f>+'Հավելված N 2'!G405</f>
        <v>0</v>
      </c>
      <c r="K50" s="324">
        <f>+'Հավելված N 2'!H405</f>
        <v>5040</v>
      </c>
    </row>
    <row r="51" spans="1:11" s="90" customFormat="1" ht="18" customHeight="1">
      <c r="A51" s="396"/>
      <c r="B51" s="479"/>
      <c r="C51" s="429"/>
      <c r="D51" s="429"/>
      <c r="E51" s="508"/>
      <c r="F51" s="507" t="s">
        <v>579</v>
      </c>
      <c r="G51" s="505"/>
      <c r="H51" s="505"/>
      <c r="I51" s="505"/>
      <c r="J51" s="505"/>
      <c r="K51" s="505"/>
    </row>
    <row r="52" spans="1:11" s="90" customFormat="1" ht="17.7" customHeight="1">
      <c r="A52" s="396"/>
      <c r="B52" s="479"/>
      <c r="C52" s="429"/>
      <c r="D52" s="429"/>
      <c r="E52" s="508"/>
      <c r="F52" s="508"/>
      <c r="G52" s="507" t="s">
        <v>580</v>
      </c>
      <c r="H52" s="505"/>
      <c r="I52" s="505"/>
      <c r="J52" s="505"/>
      <c r="K52" s="505"/>
    </row>
    <row r="53" spans="1:11" s="90" customFormat="1" ht="36" customHeight="1">
      <c r="A53" s="396"/>
      <c r="B53" s="479"/>
      <c r="C53" s="429"/>
      <c r="D53" s="429"/>
      <c r="E53" s="508"/>
      <c r="F53" s="508"/>
      <c r="G53" s="508"/>
      <c r="H53" s="507" t="s">
        <v>581</v>
      </c>
      <c r="I53" s="505"/>
      <c r="J53" s="505"/>
      <c r="K53" s="505"/>
    </row>
    <row r="54" spans="1:11" ht="17.399999999999999" customHeight="1">
      <c r="A54" s="396"/>
      <c r="B54" s="479"/>
      <c r="C54" s="429"/>
      <c r="D54" s="429"/>
      <c r="E54" s="508"/>
      <c r="F54" s="508"/>
      <c r="G54" s="508"/>
      <c r="H54" s="319"/>
      <c r="I54" s="294" t="s">
        <v>582</v>
      </c>
      <c r="J54" s="320" t="s">
        <v>143</v>
      </c>
      <c r="K54" s="321">
        <v>1</v>
      </c>
    </row>
    <row r="55" spans="1:11" ht="8.5500000000000007" customHeight="1">
      <c r="A55" s="396"/>
      <c r="B55" s="69"/>
      <c r="C55" s="69"/>
      <c r="D55" s="69"/>
      <c r="E55" s="69"/>
      <c r="F55" s="69"/>
      <c r="G55" s="69"/>
      <c r="H55" s="69"/>
      <c r="I55" s="69"/>
      <c r="J55" s="69"/>
      <c r="K55" s="317"/>
    </row>
    <row r="56" spans="1:11" s="90" customFormat="1" ht="35.549999999999997" customHeight="1">
      <c r="A56" s="396"/>
      <c r="B56" s="100">
        <v>1148</v>
      </c>
      <c r="C56" s="526" t="s">
        <v>583</v>
      </c>
      <c r="D56" s="526"/>
      <c r="E56" s="526"/>
      <c r="F56" s="526"/>
      <c r="G56" s="526"/>
      <c r="H56" s="526"/>
      <c r="I56" s="526"/>
      <c r="J56" s="323">
        <f>+J57</f>
        <v>8486.9</v>
      </c>
      <c r="K56" s="323">
        <f>+K57</f>
        <v>20761.400000000001</v>
      </c>
    </row>
    <row r="57" spans="1:11" s="91" customFormat="1" ht="34.950000000000003" customHeight="1">
      <c r="A57" s="396"/>
      <c r="B57" s="479"/>
      <c r="C57" s="429"/>
      <c r="D57" s="100" t="s">
        <v>520</v>
      </c>
      <c r="E57" s="505" t="s">
        <v>278</v>
      </c>
      <c r="F57" s="505"/>
      <c r="G57" s="505"/>
      <c r="H57" s="505"/>
      <c r="I57" s="505"/>
      <c r="J57" s="324">
        <f>+'Հավելված N 2'!G251</f>
        <v>8486.9</v>
      </c>
      <c r="K57" s="324">
        <f>+'Հավելված N 2'!H251</f>
        <v>20761.400000000001</v>
      </c>
    </row>
    <row r="58" spans="1:11" s="90" customFormat="1" ht="18" customHeight="1">
      <c r="A58" s="396"/>
      <c r="B58" s="479"/>
      <c r="C58" s="429"/>
      <c r="D58" s="429"/>
      <c r="E58" s="508"/>
      <c r="F58" s="507" t="s">
        <v>584</v>
      </c>
      <c r="G58" s="505"/>
      <c r="H58" s="505"/>
      <c r="I58" s="505"/>
      <c r="J58" s="505"/>
      <c r="K58" s="505"/>
    </row>
    <row r="59" spans="1:11" s="90" customFormat="1" ht="18">
      <c r="A59" s="396"/>
      <c r="B59" s="479"/>
      <c r="C59" s="429"/>
      <c r="D59" s="429"/>
      <c r="E59" s="508"/>
      <c r="F59" s="508"/>
      <c r="G59" s="507" t="s">
        <v>522</v>
      </c>
      <c r="H59" s="505"/>
      <c r="I59" s="505"/>
      <c r="J59" s="505"/>
      <c r="K59" s="505"/>
    </row>
    <row r="60" spans="1:11" s="90" customFormat="1" ht="36" customHeight="1">
      <c r="A60" s="396"/>
      <c r="B60" s="479"/>
      <c r="C60" s="429"/>
      <c r="D60" s="429"/>
      <c r="E60" s="508"/>
      <c r="F60" s="508"/>
      <c r="G60" s="508"/>
      <c r="H60" s="507" t="s">
        <v>585</v>
      </c>
      <c r="I60" s="505"/>
      <c r="J60" s="505"/>
      <c r="K60" s="505"/>
    </row>
    <row r="61" spans="1:11" ht="34.799999999999997">
      <c r="A61" s="396"/>
      <c r="B61" s="479"/>
      <c r="C61" s="429"/>
      <c r="D61" s="429"/>
      <c r="E61" s="508"/>
      <c r="F61" s="508"/>
      <c r="G61" s="508"/>
      <c r="H61" s="510"/>
      <c r="I61" s="47" t="s">
        <v>575</v>
      </c>
      <c r="J61" s="320" t="s">
        <v>143</v>
      </c>
      <c r="K61" s="321">
        <v>1</v>
      </c>
    </row>
    <row r="62" spans="1:11" ht="34.799999999999997">
      <c r="A62" s="396"/>
      <c r="B62" s="479"/>
      <c r="C62" s="429"/>
      <c r="D62" s="429"/>
      <c r="E62" s="508"/>
      <c r="F62" s="508"/>
      <c r="G62" s="508"/>
      <c r="H62" s="510"/>
      <c r="I62" s="47" t="s">
        <v>145</v>
      </c>
      <c r="J62" s="320" t="s">
        <v>143</v>
      </c>
      <c r="K62" s="321">
        <v>1</v>
      </c>
    </row>
    <row r="63" spans="1:11" ht="8.5500000000000007" customHeight="1">
      <c r="A63" s="396"/>
      <c r="B63" s="69"/>
      <c r="C63" s="69"/>
      <c r="D63" s="69"/>
      <c r="E63" s="69"/>
      <c r="F63" s="69"/>
      <c r="G63" s="69"/>
      <c r="H63" s="69"/>
      <c r="I63" s="69"/>
      <c r="J63" s="69"/>
      <c r="K63" s="317"/>
    </row>
    <row r="64" spans="1:11" s="90" customFormat="1" ht="18">
      <c r="A64" s="396"/>
      <c r="B64" s="100">
        <v>1163</v>
      </c>
      <c r="C64" s="503" t="s">
        <v>154</v>
      </c>
      <c r="D64" s="503"/>
      <c r="E64" s="503"/>
      <c r="F64" s="503"/>
      <c r="G64" s="503"/>
      <c r="H64" s="503"/>
      <c r="I64" s="503"/>
      <c r="J64" s="84">
        <f>+J65+J70</f>
        <v>-93026.5</v>
      </c>
      <c r="K64" s="84">
        <f>+K65+K70</f>
        <v>-76888.599999999991</v>
      </c>
    </row>
    <row r="65" spans="1:11" s="91" customFormat="1" ht="34.950000000000003" customHeight="1">
      <c r="A65" s="396"/>
      <c r="B65" s="504"/>
      <c r="C65" s="390"/>
      <c r="D65" s="100" t="s">
        <v>523</v>
      </c>
      <c r="E65" s="505" t="s">
        <v>289</v>
      </c>
      <c r="F65" s="505"/>
      <c r="G65" s="505"/>
      <c r="H65" s="505"/>
      <c r="I65" s="505"/>
      <c r="J65" s="324">
        <f>+'Հավելված N 2'!G323</f>
        <v>0</v>
      </c>
      <c r="K65" s="324">
        <f>+'Հավելված N 2'!H323</f>
        <v>16138</v>
      </c>
    </row>
    <row r="66" spans="1:11" s="90" customFormat="1" ht="18" customHeight="1">
      <c r="A66" s="396"/>
      <c r="B66" s="392"/>
      <c r="C66" s="391"/>
      <c r="D66" s="390"/>
      <c r="E66" s="511"/>
      <c r="F66" s="505" t="s">
        <v>586</v>
      </c>
      <c r="G66" s="505"/>
      <c r="H66" s="505"/>
      <c r="I66" s="505"/>
      <c r="J66" s="505"/>
      <c r="K66" s="505"/>
    </row>
    <row r="67" spans="1:11" s="90" customFormat="1" ht="17.7" customHeight="1">
      <c r="A67" s="396"/>
      <c r="B67" s="392"/>
      <c r="C67" s="391"/>
      <c r="D67" s="391"/>
      <c r="E67" s="512"/>
      <c r="F67" s="511"/>
      <c r="G67" s="505" t="s">
        <v>587</v>
      </c>
      <c r="H67" s="505"/>
      <c r="I67" s="505"/>
      <c r="J67" s="505"/>
      <c r="K67" s="505"/>
    </row>
    <row r="68" spans="1:11" s="90" customFormat="1" ht="36" customHeight="1">
      <c r="A68" s="396"/>
      <c r="B68" s="392"/>
      <c r="C68" s="391"/>
      <c r="D68" s="391"/>
      <c r="E68" s="512"/>
      <c r="F68" s="512"/>
      <c r="G68" s="511"/>
      <c r="H68" s="505" t="s">
        <v>588</v>
      </c>
      <c r="I68" s="505"/>
      <c r="J68" s="505"/>
      <c r="K68" s="505"/>
    </row>
    <row r="69" spans="1:11" ht="34.799999999999997">
      <c r="A69" s="396"/>
      <c r="B69" s="392"/>
      <c r="C69" s="391"/>
      <c r="D69" s="400"/>
      <c r="E69" s="513"/>
      <c r="F69" s="513"/>
      <c r="G69" s="513"/>
      <c r="H69" s="302"/>
      <c r="I69" s="47" t="s">
        <v>145</v>
      </c>
      <c r="J69" s="320" t="s">
        <v>143</v>
      </c>
      <c r="K69" s="321">
        <v>1</v>
      </c>
    </row>
    <row r="70" spans="1:11" s="91" customFormat="1" ht="34.950000000000003" customHeight="1">
      <c r="A70" s="396"/>
      <c r="B70" s="392"/>
      <c r="C70" s="391"/>
      <c r="D70" s="46" t="s">
        <v>526</v>
      </c>
      <c r="E70" s="503" t="s">
        <v>398</v>
      </c>
      <c r="F70" s="503"/>
      <c r="G70" s="503"/>
      <c r="H70" s="503"/>
      <c r="I70" s="503"/>
      <c r="J70" s="76">
        <f>+'Հավելված N 2'!G28</f>
        <v>-93026.5</v>
      </c>
      <c r="K70" s="76">
        <f>+'Հավելված N 1'!H33</f>
        <v>-93026.599999999991</v>
      </c>
    </row>
    <row r="71" spans="1:11" s="90" customFormat="1" ht="18" customHeight="1">
      <c r="A71" s="396"/>
      <c r="B71" s="392"/>
      <c r="C71" s="391"/>
      <c r="D71" s="429"/>
      <c r="E71" s="429"/>
      <c r="F71" s="503" t="s">
        <v>590</v>
      </c>
      <c r="G71" s="503"/>
      <c r="H71" s="503"/>
      <c r="I71" s="503"/>
      <c r="J71" s="503"/>
      <c r="K71" s="503"/>
    </row>
    <row r="72" spans="1:11" s="90" customFormat="1" ht="17.7" customHeight="1">
      <c r="A72" s="396"/>
      <c r="B72" s="392"/>
      <c r="C72" s="391"/>
      <c r="D72" s="429"/>
      <c r="E72" s="429"/>
      <c r="F72" s="429"/>
      <c r="G72" s="503" t="s">
        <v>88</v>
      </c>
      <c r="H72" s="503"/>
      <c r="I72" s="503"/>
      <c r="J72" s="503"/>
      <c r="K72" s="503"/>
    </row>
    <row r="73" spans="1:11" s="90" customFormat="1" ht="36" customHeight="1">
      <c r="A73" s="396"/>
      <c r="B73" s="392"/>
      <c r="C73" s="391"/>
      <c r="D73" s="429"/>
      <c r="E73" s="429"/>
      <c r="F73" s="429"/>
      <c r="G73" s="46"/>
      <c r="H73" s="503" t="s">
        <v>163</v>
      </c>
      <c r="I73" s="503"/>
      <c r="J73" s="503"/>
      <c r="K73" s="503"/>
    </row>
    <row r="74" spans="1:11" ht="8.5500000000000007" customHeight="1">
      <c r="A74" s="396"/>
      <c r="B74" s="69"/>
      <c r="C74" s="69"/>
      <c r="D74" s="69"/>
      <c r="E74" s="69"/>
      <c r="F74" s="69"/>
      <c r="G74" s="69"/>
      <c r="H74" s="69"/>
      <c r="I74" s="69"/>
      <c r="J74" s="69"/>
      <c r="K74" s="89"/>
    </row>
    <row r="75" spans="1:11" s="90" customFormat="1" ht="18">
      <c r="A75" s="396"/>
      <c r="B75" s="100">
        <v>1168</v>
      </c>
      <c r="C75" s="503" t="s">
        <v>164</v>
      </c>
      <c r="D75" s="503"/>
      <c r="E75" s="503"/>
      <c r="F75" s="503"/>
      <c r="G75" s="503"/>
      <c r="H75" s="503"/>
      <c r="I75" s="503"/>
      <c r="J75" s="84">
        <f>+J76+J81</f>
        <v>-171579</v>
      </c>
      <c r="K75" s="84">
        <f>+K76+K81</f>
        <v>692111.3</v>
      </c>
    </row>
    <row r="76" spans="1:11" s="91" customFormat="1" ht="34.950000000000003" customHeight="1">
      <c r="A76" s="396"/>
      <c r="B76" s="506"/>
      <c r="C76" s="502"/>
      <c r="D76" s="100" t="s">
        <v>161</v>
      </c>
      <c r="E76" s="503" t="s">
        <v>151</v>
      </c>
      <c r="F76" s="503"/>
      <c r="G76" s="503"/>
      <c r="H76" s="503"/>
      <c r="I76" s="503"/>
      <c r="J76" s="76">
        <f>+'Հավելված N 2'!G100</f>
        <v>-171579</v>
      </c>
      <c r="K76" s="76">
        <f>+'Հավելված N 2'!H100</f>
        <v>-111991.09999999999</v>
      </c>
    </row>
    <row r="77" spans="1:11" s="90" customFormat="1" ht="33.9" customHeight="1">
      <c r="A77" s="396"/>
      <c r="B77" s="506"/>
      <c r="C77" s="502"/>
      <c r="D77" s="504"/>
      <c r="E77" s="390"/>
      <c r="F77" s="503" t="s">
        <v>165</v>
      </c>
      <c r="G77" s="503"/>
      <c r="H77" s="503"/>
      <c r="I77" s="503"/>
      <c r="J77" s="503"/>
      <c r="K77" s="503"/>
    </row>
    <row r="78" spans="1:11" s="90" customFormat="1" ht="17.7" customHeight="1">
      <c r="A78" s="396"/>
      <c r="B78" s="506"/>
      <c r="C78" s="502"/>
      <c r="D78" s="392"/>
      <c r="E78" s="391"/>
      <c r="F78" s="390"/>
      <c r="G78" s="503" t="s">
        <v>88</v>
      </c>
      <c r="H78" s="503"/>
      <c r="I78" s="503"/>
      <c r="J78" s="503"/>
      <c r="K78" s="503"/>
    </row>
    <row r="79" spans="1:11" s="90" customFormat="1" ht="18">
      <c r="A79" s="396"/>
      <c r="B79" s="506"/>
      <c r="C79" s="502"/>
      <c r="D79" s="392"/>
      <c r="E79" s="391"/>
      <c r="F79" s="391"/>
      <c r="G79" s="390"/>
      <c r="H79" s="474" t="s">
        <v>166</v>
      </c>
      <c r="I79" s="475"/>
      <c r="J79" s="475"/>
      <c r="K79" s="529"/>
    </row>
    <row r="80" spans="1:11" ht="34.799999999999997">
      <c r="A80" s="396"/>
      <c r="B80" s="506"/>
      <c r="C80" s="502"/>
      <c r="D80" s="326"/>
      <c r="E80" s="400"/>
      <c r="F80" s="400"/>
      <c r="G80" s="400"/>
      <c r="H80" s="47"/>
      <c r="I80" s="47" t="s">
        <v>594</v>
      </c>
      <c r="J80" s="325" t="s">
        <v>143</v>
      </c>
      <c r="K80" s="321">
        <v>1</v>
      </c>
    </row>
    <row r="81" spans="1:11" s="91" customFormat="1" ht="17.7" customHeight="1">
      <c r="A81" s="396"/>
      <c r="B81" s="506"/>
      <c r="C81" s="502"/>
      <c r="D81" s="100" t="s">
        <v>530</v>
      </c>
      <c r="E81" s="505" t="s">
        <v>531</v>
      </c>
      <c r="F81" s="505"/>
      <c r="G81" s="505"/>
      <c r="H81" s="505"/>
      <c r="I81" s="505"/>
      <c r="J81" s="76">
        <f>+'Հավելված N 2'!G115</f>
        <v>0</v>
      </c>
      <c r="K81" s="76">
        <f>+'Հավելված N 2'!H115</f>
        <v>804102.4</v>
      </c>
    </row>
    <row r="82" spans="1:11" s="90" customFormat="1" ht="17.55" customHeight="1">
      <c r="A82" s="396"/>
      <c r="B82" s="506"/>
      <c r="C82" s="502"/>
      <c r="D82" s="479"/>
      <c r="E82" s="429"/>
      <c r="F82" s="507" t="s">
        <v>595</v>
      </c>
      <c r="G82" s="505"/>
      <c r="H82" s="505"/>
      <c r="I82" s="505"/>
      <c r="J82" s="505"/>
      <c r="K82" s="505"/>
    </row>
    <row r="83" spans="1:11" s="90" customFormat="1" ht="17.7" customHeight="1">
      <c r="A83" s="396"/>
      <c r="B83" s="506"/>
      <c r="C83" s="502"/>
      <c r="D83" s="479"/>
      <c r="E83" s="429"/>
      <c r="F83" s="508"/>
      <c r="G83" s="507" t="s">
        <v>88</v>
      </c>
      <c r="H83" s="505"/>
      <c r="I83" s="505"/>
      <c r="J83" s="505"/>
      <c r="K83" s="505"/>
    </row>
    <row r="84" spans="1:11" s="90" customFormat="1" ht="18" customHeight="1">
      <c r="A84" s="396"/>
      <c r="B84" s="506"/>
      <c r="C84" s="502"/>
      <c r="D84" s="479"/>
      <c r="E84" s="429"/>
      <c r="F84" s="508"/>
      <c r="G84" s="508"/>
      <c r="H84" s="507" t="s">
        <v>596</v>
      </c>
      <c r="I84" s="505"/>
      <c r="J84" s="505"/>
      <c r="K84" s="505"/>
    </row>
    <row r="85" spans="1:11" ht="34.799999999999997">
      <c r="A85" s="396"/>
      <c r="B85" s="506"/>
      <c r="C85" s="502"/>
      <c r="D85" s="479"/>
      <c r="E85" s="429"/>
      <c r="F85" s="508"/>
      <c r="G85" s="508"/>
      <c r="H85" s="509"/>
      <c r="I85" s="47" t="s">
        <v>597</v>
      </c>
      <c r="J85" s="318" t="s">
        <v>143</v>
      </c>
      <c r="K85" s="93">
        <v>4</v>
      </c>
    </row>
    <row r="86" spans="1:11" ht="52.2">
      <c r="A86" s="396"/>
      <c r="B86" s="506"/>
      <c r="C86" s="502"/>
      <c r="D86" s="479"/>
      <c r="E86" s="429"/>
      <c r="F86" s="508"/>
      <c r="G86" s="508"/>
      <c r="H86" s="509"/>
      <c r="I86" s="47" t="s">
        <v>598</v>
      </c>
      <c r="J86" s="318" t="s">
        <v>143</v>
      </c>
      <c r="K86" s="93">
        <v>1</v>
      </c>
    </row>
    <row r="87" spans="1:11" ht="8.5500000000000007" customHeight="1">
      <c r="A87" s="396"/>
      <c r="B87" s="69"/>
      <c r="C87" s="69"/>
      <c r="D87" s="69"/>
      <c r="E87" s="69"/>
      <c r="F87" s="69"/>
      <c r="G87" s="69"/>
      <c r="H87" s="69"/>
      <c r="I87" s="69"/>
      <c r="J87" s="69"/>
      <c r="K87" s="89"/>
    </row>
    <row r="88" spans="1:11" s="90" customFormat="1" ht="18">
      <c r="A88" s="396"/>
      <c r="B88" s="100">
        <v>1183</v>
      </c>
      <c r="C88" s="503" t="s">
        <v>91</v>
      </c>
      <c r="D88" s="503"/>
      <c r="E88" s="503"/>
      <c r="F88" s="503"/>
      <c r="G88" s="503"/>
      <c r="H88" s="503"/>
      <c r="I88" s="503"/>
      <c r="J88" s="84">
        <f>+J89+J95</f>
        <v>4005.3</v>
      </c>
      <c r="K88" s="84">
        <f>+K89+K95</f>
        <v>28739.199999999997</v>
      </c>
    </row>
    <row r="89" spans="1:11" s="91" customFormat="1" ht="34.950000000000003" customHeight="1">
      <c r="A89" s="396"/>
      <c r="B89" s="94"/>
      <c r="C89" s="301"/>
      <c r="D89" s="100" t="s">
        <v>537</v>
      </c>
      <c r="E89" s="503" t="s">
        <v>601</v>
      </c>
      <c r="F89" s="503"/>
      <c r="G89" s="503"/>
      <c r="H89" s="503"/>
      <c r="I89" s="503"/>
      <c r="J89" s="76">
        <f>+'Հավելված N 2'!G352</f>
        <v>4005.3</v>
      </c>
      <c r="K89" s="76">
        <f>+'Հավելված N 2'!H352</f>
        <v>15536.3</v>
      </c>
    </row>
    <row r="90" spans="1:11" s="90" customFormat="1" ht="33.9" customHeight="1">
      <c r="A90" s="396"/>
      <c r="B90" s="94"/>
      <c r="C90" s="301"/>
      <c r="D90" s="390"/>
      <c r="E90" s="390"/>
      <c r="F90" s="503" t="s">
        <v>602</v>
      </c>
      <c r="G90" s="503"/>
      <c r="H90" s="503"/>
      <c r="I90" s="503"/>
      <c r="J90" s="503"/>
      <c r="K90" s="503"/>
    </row>
    <row r="91" spans="1:11" s="90" customFormat="1" ht="17.7" customHeight="1">
      <c r="A91" s="396"/>
      <c r="B91" s="94"/>
      <c r="C91" s="301"/>
      <c r="D91" s="391"/>
      <c r="E91" s="391"/>
      <c r="F91" s="390"/>
      <c r="G91" s="503" t="s">
        <v>88</v>
      </c>
      <c r="H91" s="503"/>
      <c r="I91" s="503"/>
      <c r="J91" s="503"/>
      <c r="K91" s="503"/>
    </row>
    <row r="92" spans="1:11" s="90" customFormat="1" ht="18">
      <c r="A92" s="396"/>
      <c r="B92" s="94"/>
      <c r="C92" s="301"/>
      <c r="D92" s="391"/>
      <c r="E92" s="391"/>
      <c r="F92" s="391"/>
      <c r="G92" s="390"/>
      <c r="H92" s="474" t="s">
        <v>146</v>
      </c>
      <c r="I92" s="475"/>
      <c r="J92" s="475"/>
      <c r="K92" s="476"/>
    </row>
    <row r="93" spans="1:11" ht="34.799999999999997">
      <c r="A93" s="396"/>
      <c r="B93" s="94"/>
      <c r="C93" s="301"/>
      <c r="D93" s="391"/>
      <c r="E93" s="391"/>
      <c r="F93" s="391"/>
      <c r="G93" s="391"/>
      <c r="H93" s="390"/>
      <c r="I93" s="47" t="s">
        <v>603</v>
      </c>
      <c r="J93" s="318" t="s">
        <v>143</v>
      </c>
      <c r="K93" s="93">
        <v>1</v>
      </c>
    </row>
    <row r="94" spans="1:11" ht="34.799999999999997">
      <c r="A94" s="396"/>
      <c r="B94" s="94"/>
      <c r="C94" s="301"/>
      <c r="D94" s="400"/>
      <c r="E94" s="400"/>
      <c r="F94" s="400"/>
      <c r="G94" s="400"/>
      <c r="H94" s="400"/>
      <c r="I94" s="47" t="s">
        <v>145</v>
      </c>
      <c r="J94" s="318" t="s">
        <v>143</v>
      </c>
      <c r="K94" s="93">
        <v>1</v>
      </c>
    </row>
    <row r="95" spans="1:11" s="91" customFormat="1" ht="17.7" customHeight="1">
      <c r="A95" s="396"/>
      <c r="B95" s="94"/>
      <c r="C95" s="301"/>
      <c r="D95" s="100" t="s">
        <v>535</v>
      </c>
      <c r="E95" s="503" t="s">
        <v>320</v>
      </c>
      <c r="F95" s="503"/>
      <c r="G95" s="503"/>
      <c r="H95" s="503"/>
      <c r="I95" s="503"/>
      <c r="J95" s="76">
        <f>+'Հավելված N 2'!G379</f>
        <v>0</v>
      </c>
      <c r="K95" s="76">
        <f>+'Հավելված N 2'!H379</f>
        <v>13202.9</v>
      </c>
    </row>
    <row r="96" spans="1:11" s="90" customFormat="1" ht="33.9" customHeight="1">
      <c r="A96" s="396"/>
      <c r="B96" s="94"/>
      <c r="C96" s="301"/>
      <c r="D96" s="504"/>
      <c r="E96" s="390"/>
      <c r="F96" s="503" t="s">
        <v>536</v>
      </c>
      <c r="G96" s="503"/>
      <c r="H96" s="503"/>
      <c r="I96" s="503"/>
      <c r="J96" s="503"/>
      <c r="K96" s="503"/>
    </row>
    <row r="97" spans="1:11" s="90" customFormat="1" ht="17.7" customHeight="1">
      <c r="A97" s="396"/>
      <c r="B97" s="94"/>
      <c r="C97" s="301"/>
      <c r="D97" s="392"/>
      <c r="E97" s="391"/>
      <c r="F97" s="390"/>
      <c r="G97" s="503" t="s">
        <v>118</v>
      </c>
      <c r="H97" s="503"/>
      <c r="I97" s="503"/>
      <c r="J97" s="503"/>
      <c r="K97" s="503"/>
    </row>
    <row r="98" spans="1:11" s="90" customFormat="1" ht="18">
      <c r="A98" s="396"/>
      <c r="B98" s="94"/>
      <c r="C98" s="301"/>
      <c r="D98" s="392"/>
      <c r="E98" s="391"/>
      <c r="F98" s="391"/>
      <c r="G98" s="297"/>
      <c r="H98" s="474" t="s">
        <v>600</v>
      </c>
      <c r="I98" s="475"/>
      <c r="J98" s="475"/>
      <c r="K98" s="476"/>
    </row>
    <row r="99" spans="1:11" ht="34.799999999999997">
      <c r="A99" s="396"/>
      <c r="B99" s="94"/>
      <c r="C99" s="301"/>
      <c r="D99" s="305"/>
      <c r="E99" s="296"/>
      <c r="F99" s="296"/>
      <c r="G99" s="297"/>
      <c r="H99" s="298"/>
      <c r="I99" s="47" t="s">
        <v>145</v>
      </c>
      <c r="J99" s="318" t="s">
        <v>143</v>
      </c>
      <c r="K99" s="93">
        <v>1</v>
      </c>
    </row>
    <row r="100" spans="1:11" ht="8.5500000000000007" customHeight="1">
      <c r="A100" s="396"/>
      <c r="B100" s="69"/>
      <c r="C100" s="69"/>
      <c r="D100" s="69"/>
      <c r="E100" s="69"/>
      <c r="F100" s="69"/>
      <c r="G100" s="69"/>
      <c r="H100" s="69"/>
      <c r="I100" s="69"/>
      <c r="J100" s="69"/>
      <c r="K100" s="89"/>
    </row>
    <row r="101" spans="1:11" s="90" customFormat="1" ht="18">
      <c r="A101" s="396"/>
      <c r="B101" s="327">
        <v>1196</v>
      </c>
      <c r="C101" s="521" t="s">
        <v>604</v>
      </c>
      <c r="D101" s="521"/>
      <c r="E101" s="521"/>
      <c r="F101" s="521"/>
      <c r="G101" s="521"/>
      <c r="H101" s="521"/>
      <c r="I101" s="521"/>
      <c r="J101" s="328">
        <f t="shared" ref="J101:K101" si="0">+J102</f>
        <v>9499.2000000000007</v>
      </c>
      <c r="K101" s="328">
        <f t="shared" si="0"/>
        <v>47495.9</v>
      </c>
    </row>
    <row r="102" spans="1:11" s="91" customFormat="1" ht="34.950000000000003" customHeight="1">
      <c r="A102" s="396"/>
      <c r="B102" s="381"/>
      <c r="C102" s="501"/>
      <c r="D102" s="100" t="s">
        <v>543</v>
      </c>
      <c r="E102" s="503" t="s">
        <v>605</v>
      </c>
      <c r="F102" s="503"/>
      <c r="G102" s="503"/>
      <c r="H102" s="503"/>
      <c r="I102" s="503"/>
      <c r="J102" s="76">
        <f>+'Հավելված N 2'!G85</f>
        <v>9499.2000000000007</v>
      </c>
      <c r="K102" s="76">
        <f>+'Հավելված N 2'!H85</f>
        <v>47495.9</v>
      </c>
    </row>
    <row r="103" spans="1:11" s="90" customFormat="1" ht="18">
      <c r="A103" s="396"/>
      <c r="B103" s="381"/>
      <c r="C103" s="501"/>
      <c r="D103" s="429"/>
      <c r="E103" s="429"/>
      <c r="F103" s="476" t="s">
        <v>606</v>
      </c>
      <c r="G103" s="503"/>
      <c r="H103" s="503"/>
      <c r="I103" s="503"/>
      <c r="J103" s="503"/>
      <c r="K103" s="503"/>
    </row>
    <row r="104" spans="1:11" s="90" customFormat="1" ht="17.7" customHeight="1">
      <c r="A104" s="396"/>
      <c r="B104" s="381"/>
      <c r="C104" s="501"/>
      <c r="D104" s="429"/>
      <c r="E104" s="429"/>
      <c r="F104" s="429"/>
      <c r="G104" s="476" t="s">
        <v>607</v>
      </c>
      <c r="H104" s="503"/>
      <c r="I104" s="503"/>
      <c r="J104" s="503"/>
      <c r="K104" s="503"/>
    </row>
    <row r="105" spans="1:11" s="90" customFormat="1" ht="18">
      <c r="A105" s="396"/>
      <c r="B105" s="381"/>
      <c r="C105" s="501"/>
      <c r="D105" s="429"/>
      <c r="E105" s="429"/>
      <c r="F105" s="429"/>
      <c r="G105" s="429"/>
      <c r="H105" s="475" t="s">
        <v>608</v>
      </c>
      <c r="I105" s="475"/>
      <c r="J105" s="475"/>
      <c r="K105" s="476"/>
    </row>
    <row r="106" spans="1:11" ht="34.799999999999997">
      <c r="A106" s="396"/>
      <c r="B106" s="381"/>
      <c r="C106" s="501"/>
      <c r="D106" s="429"/>
      <c r="E106" s="429"/>
      <c r="F106" s="429"/>
      <c r="G106" s="429"/>
      <c r="H106" s="299"/>
      <c r="I106" s="47" t="s">
        <v>575</v>
      </c>
      <c r="J106" s="320" t="s">
        <v>143</v>
      </c>
      <c r="K106" s="321">
        <v>1</v>
      </c>
    </row>
    <row r="107" spans="1:11" ht="8.5500000000000007" customHeight="1">
      <c r="A107" s="396"/>
      <c r="B107" s="69"/>
      <c r="C107" s="69"/>
      <c r="D107" s="69"/>
      <c r="E107" s="69"/>
      <c r="F107" s="69"/>
      <c r="G107" s="69"/>
      <c r="H107" s="69"/>
      <c r="I107" s="69"/>
      <c r="J107" s="69"/>
      <c r="K107" s="89"/>
    </row>
    <row r="108" spans="1:11" s="90" customFormat="1" ht="18">
      <c r="A108" s="396"/>
      <c r="B108" s="100">
        <v>1236</v>
      </c>
      <c r="C108" s="503" t="s">
        <v>87</v>
      </c>
      <c r="D108" s="503"/>
      <c r="E108" s="503"/>
      <c r="F108" s="503"/>
      <c r="G108" s="503"/>
      <c r="H108" s="503"/>
      <c r="I108" s="503"/>
      <c r="J108" s="84">
        <f>+J109+J113+J117+J121</f>
        <v>2169161.8999999994</v>
      </c>
      <c r="K108" s="84">
        <f>+K109+K113+K117+K121</f>
        <v>11903205.013</v>
      </c>
    </row>
    <row r="109" spans="1:11" s="91" customFormat="1" ht="17.7" customHeight="1">
      <c r="A109" s="396"/>
      <c r="B109" s="429"/>
      <c r="C109" s="429"/>
      <c r="D109" s="100" t="s">
        <v>219</v>
      </c>
      <c r="E109" s="503" t="s">
        <v>169</v>
      </c>
      <c r="F109" s="503"/>
      <c r="G109" s="503"/>
      <c r="H109" s="503"/>
      <c r="I109" s="503"/>
      <c r="J109" s="76">
        <f>+'Հավելված N 2'!G156</f>
        <v>29138</v>
      </c>
      <c r="K109" s="76">
        <f>+'Հավելված N 2'!H156</f>
        <v>29138</v>
      </c>
    </row>
    <row r="110" spans="1:11" s="90" customFormat="1" ht="35.549999999999997" customHeight="1">
      <c r="A110" s="396"/>
      <c r="B110" s="429"/>
      <c r="C110" s="429"/>
      <c r="D110" s="504"/>
      <c r="E110" s="390"/>
      <c r="F110" s="505" t="s">
        <v>227</v>
      </c>
      <c r="G110" s="505"/>
      <c r="H110" s="505"/>
      <c r="I110" s="505"/>
      <c r="J110" s="505"/>
      <c r="K110" s="505"/>
    </row>
    <row r="111" spans="1:11" s="90" customFormat="1" ht="17.7" customHeight="1">
      <c r="A111" s="396"/>
      <c r="B111" s="429"/>
      <c r="C111" s="429"/>
      <c r="D111" s="392"/>
      <c r="E111" s="391"/>
      <c r="F111" s="511"/>
      <c r="G111" s="505" t="s">
        <v>88</v>
      </c>
      <c r="H111" s="505"/>
      <c r="I111" s="505"/>
      <c r="J111" s="505"/>
      <c r="K111" s="505"/>
    </row>
    <row r="112" spans="1:11" s="90" customFormat="1" ht="18">
      <c r="A112" s="396"/>
      <c r="B112" s="429"/>
      <c r="C112" s="429"/>
      <c r="D112" s="392"/>
      <c r="E112" s="391"/>
      <c r="F112" s="512"/>
      <c r="G112" s="303"/>
      <c r="H112" s="505" t="s">
        <v>226</v>
      </c>
      <c r="I112" s="505"/>
      <c r="J112" s="505"/>
      <c r="K112" s="505"/>
    </row>
    <row r="113" spans="1:19" s="91" customFormat="1" ht="17.7" customHeight="1">
      <c r="A113" s="396"/>
      <c r="B113" s="429"/>
      <c r="C113" s="429"/>
      <c r="D113" s="100" t="s">
        <v>221</v>
      </c>
      <c r="E113" s="503" t="s">
        <v>187</v>
      </c>
      <c r="F113" s="503"/>
      <c r="G113" s="503"/>
      <c r="H113" s="503"/>
      <c r="I113" s="503"/>
      <c r="J113" s="135">
        <f>+'Հավելված N 2'!G180</f>
        <v>497662.39999999991</v>
      </c>
      <c r="K113" s="135">
        <f>+'Հավելված N 2'!H180</f>
        <v>5576939.8130000001</v>
      </c>
    </row>
    <row r="114" spans="1:19" s="90" customFormat="1" ht="35.549999999999997" customHeight="1">
      <c r="A114" s="396"/>
      <c r="B114" s="429"/>
      <c r="C114" s="429"/>
      <c r="D114" s="479"/>
      <c r="E114" s="429"/>
      <c r="F114" s="505" t="s">
        <v>228</v>
      </c>
      <c r="G114" s="505"/>
      <c r="H114" s="505"/>
      <c r="I114" s="505"/>
      <c r="J114" s="505"/>
      <c r="K114" s="505"/>
    </row>
    <row r="115" spans="1:19" s="90" customFormat="1" ht="17.7" customHeight="1">
      <c r="A115" s="396"/>
      <c r="B115" s="429"/>
      <c r="C115" s="429"/>
      <c r="D115" s="479"/>
      <c r="E115" s="429"/>
      <c r="F115" s="508"/>
      <c r="G115" s="505" t="s">
        <v>88</v>
      </c>
      <c r="H115" s="505"/>
      <c r="I115" s="505"/>
      <c r="J115" s="505"/>
      <c r="K115" s="505"/>
    </row>
    <row r="116" spans="1:19" s="90" customFormat="1" ht="18" customHeight="1">
      <c r="A116" s="396"/>
      <c r="B116" s="429"/>
      <c r="C116" s="429"/>
      <c r="D116" s="479"/>
      <c r="E116" s="429"/>
      <c r="F116" s="508"/>
      <c r="G116" s="300"/>
      <c r="H116" s="505" t="s">
        <v>229</v>
      </c>
      <c r="I116" s="505"/>
      <c r="J116" s="505"/>
      <c r="K116" s="505"/>
    </row>
    <row r="117" spans="1:19" s="91" customFormat="1" ht="17.7" customHeight="1">
      <c r="A117" s="396"/>
      <c r="B117" s="429"/>
      <c r="C117" s="429"/>
      <c r="D117" s="100" t="s">
        <v>546</v>
      </c>
      <c r="E117" s="503" t="s">
        <v>436</v>
      </c>
      <c r="F117" s="503"/>
      <c r="G117" s="503"/>
      <c r="H117" s="503"/>
      <c r="I117" s="503"/>
      <c r="J117" s="135">
        <f>+'Հավելված N 2'!G203</f>
        <v>3200000</v>
      </c>
      <c r="K117" s="135">
        <f>+'Հավելված N 2'!H203</f>
        <v>8000000</v>
      </c>
    </row>
    <row r="118" spans="1:19" s="90" customFormat="1" ht="35.549999999999997" customHeight="1">
      <c r="A118" s="396"/>
      <c r="B118" s="429"/>
      <c r="C118" s="429"/>
      <c r="D118" s="479"/>
      <c r="E118" s="429"/>
      <c r="F118" s="476" t="s">
        <v>610</v>
      </c>
      <c r="G118" s="503"/>
      <c r="H118" s="503"/>
      <c r="I118" s="503"/>
      <c r="J118" s="503"/>
      <c r="K118" s="503"/>
    </row>
    <row r="119" spans="1:19" s="90" customFormat="1" ht="17.7" customHeight="1">
      <c r="A119" s="396"/>
      <c r="B119" s="429"/>
      <c r="C119" s="429"/>
      <c r="D119" s="479"/>
      <c r="E119" s="429"/>
      <c r="F119" s="508"/>
      <c r="G119" s="476" t="s">
        <v>88</v>
      </c>
      <c r="H119" s="503"/>
      <c r="I119" s="503"/>
      <c r="J119" s="503"/>
      <c r="K119" s="503"/>
    </row>
    <row r="120" spans="1:19" s="90" customFormat="1" ht="18" customHeight="1">
      <c r="A120" s="396"/>
      <c r="B120" s="429"/>
      <c r="C120" s="429"/>
      <c r="D120" s="479"/>
      <c r="E120" s="429"/>
      <c r="F120" s="508"/>
      <c r="G120" s="300"/>
      <c r="H120" s="505" t="s">
        <v>229</v>
      </c>
      <c r="I120" s="505"/>
      <c r="J120" s="505"/>
      <c r="K120" s="505"/>
    </row>
    <row r="121" spans="1:19" s="91" customFormat="1" ht="17.7" customHeight="1">
      <c r="A121" s="396"/>
      <c r="B121" s="429"/>
      <c r="C121" s="429"/>
      <c r="D121" s="100" t="s">
        <v>726</v>
      </c>
      <c r="E121" s="505" t="s">
        <v>663</v>
      </c>
      <c r="F121" s="505"/>
      <c r="G121" s="505"/>
      <c r="H121" s="505"/>
      <c r="I121" s="505"/>
      <c r="J121" s="324">
        <f>+'Հավելված N 2'!G221</f>
        <v>-1557638.5000000002</v>
      </c>
      <c r="K121" s="324">
        <f>+'Հավելված N 2'!H221</f>
        <v>-1702872.8</v>
      </c>
    </row>
    <row r="122" spans="1:19" s="90" customFormat="1" ht="35.549999999999997" customHeight="1">
      <c r="A122" s="396"/>
      <c r="B122" s="429"/>
      <c r="C122" s="429"/>
      <c r="D122" s="504"/>
      <c r="E122" s="511"/>
      <c r="F122" s="505" t="s">
        <v>228</v>
      </c>
      <c r="G122" s="505"/>
      <c r="H122" s="505"/>
      <c r="I122" s="505"/>
      <c r="J122" s="505"/>
      <c r="K122" s="505"/>
    </row>
    <row r="123" spans="1:19" s="90" customFormat="1" ht="17.7" customHeight="1">
      <c r="A123" s="396"/>
      <c r="B123" s="429"/>
      <c r="C123" s="429"/>
      <c r="D123" s="392"/>
      <c r="E123" s="512"/>
      <c r="F123" s="511"/>
      <c r="G123" s="505" t="s">
        <v>88</v>
      </c>
      <c r="H123" s="505"/>
      <c r="I123" s="505"/>
      <c r="J123" s="505"/>
      <c r="K123" s="505"/>
    </row>
    <row r="124" spans="1:19" s="90" customFormat="1" ht="18" customHeight="1">
      <c r="A124" s="396"/>
      <c r="B124" s="429"/>
      <c r="C124" s="429"/>
      <c r="D124" s="393"/>
      <c r="E124" s="513"/>
      <c r="F124" s="513"/>
      <c r="G124" s="47"/>
      <c r="H124" s="505" t="s">
        <v>727</v>
      </c>
      <c r="I124" s="505"/>
      <c r="J124" s="505"/>
      <c r="K124" s="505"/>
    </row>
    <row r="126" spans="1:19" s="86" customFormat="1" ht="30" customHeight="1">
      <c r="A126" s="496" t="s">
        <v>230</v>
      </c>
      <c r="B126" s="496"/>
      <c r="C126" s="496"/>
      <c r="D126" s="496"/>
      <c r="E126" s="496"/>
      <c r="F126" s="496"/>
      <c r="G126" s="496"/>
      <c r="H126" s="496"/>
      <c r="I126" s="496"/>
      <c r="J126" s="137">
        <f>+J127+J138+J155</f>
        <v>316503.30000000005</v>
      </c>
      <c r="K126" s="137">
        <f>+K127+K138+K155</f>
        <v>316745.59999999986</v>
      </c>
      <c r="L126" s="10"/>
      <c r="M126" s="10"/>
      <c r="N126" s="10"/>
      <c r="O126" s="10"/>
      <c r="P126" s="10"/>
      <c r="Q126" s="10"/>
      <c r="R126" s="10"/>
      <c r="S126" s="10"/>
    </row>
    <row r="127" spans="1:19" ht="18">
      <c r="A127" s="396"/>
      <c r="B127" s="103">
        <v>1045</v>
      </c>
      <c r="C127" s="525" t="s">
        <v>110</v>
      </c>
      <c r="D127" s="498"/>
      <c r="E127" s="498"/>
      <c r="F127" s="498"/>
      <c r="G127" s="498"/>
      <c r="H127" s="498"/>
      <c r="I127" s="498"/>
      <c r="J127" s="84">
        <f>+J128+J132</f>
        <v>-213690.4</v>
      </c>
      <c r="K127" s="84">
        <f>+K128+K132</f>
        <v>-361132.3</v>
      </c>
    </row>
    <row r="128" spans="1:19" s="88" customFormat="1" ht="33" customHeight="1">
      <c r="A128" s="396"/>
      <c r="B128" s="499"/>
      <c r="C128" s="518"/>
      <c r="D128" s="103" t="s">
        <v>487</v>
      </c>
      <c r="E128" s="498" t="s">
        <v>488</v>
      </c>
      <c r="F128" s="498"/>
      <c r="G128" s="498"/>
      <c r="H128" s="498"/>
      <c r="I128" s="498"/>
      <c r="J128" s="87">
        <f>+'Հավելված N 2'!G282</f>
        <v>-87024</v>
      </c>
      <c r="K128" s="87">
        <f>+'Հավելված N 2'!H282</f>
        <v>-100000</v>
      </c>
    </row>
    <row r="129" spans="1:11" ht="33.299999999999997" customHeight="1">
      <c r="A129" s="396"/>
      <c r="B129" s="499"/>
      <c r="C129" s="519"/>
      <c r="D129" s="499"/>
      <c r="E129" s="515"/>
      <c r="F129" s="523" t="s">
        <v>561</v>
      </c>
      <c r="G129" s="524"/>
      <c r="H129" s="524"/>
      <c r="I129" s="524"/>
      <c r="J129" s="524"/>
      <c r="K129" s="525"/>
    </row>
    <row r="130" spans="1:11" ht="33.299999999999997" customHeight="1">
      <c r="A130" s="396"/>
      <c r="B130" s="499"/>
      <c r="C130" s="519"/>
      <c r="D130" s="499"/>
      <c r="E130" s="516"/>
      <c r="F130" s="515"/>
      <c r="G130" s="523" t="s">
        <v>88</v>
      </c>
      <c r="H130" s="524"/>
      <c r="I130" s="524"/>
      <c r="J130" s="524"/>
      <c r="K130" s="525"/>
    </row>
    <row r="131" spans="1:11" ht="33.299999999999997" customHeight="1">
      <c r="A131" s="396"/>
      <c r="B131" s="499"/>
      <c r="C131" s="519"/>
      <c r="D131" s="499"/>
      <c r="E131" s="516"/>
      <c r="F131" s="516"/>
      <c r="G131" s="316"/>
      <c r="H131" s="523" t="s">
        <v>144</v>
      </c>
      <c r="I131" s="524"/>
      <c r="J131" s="524"/>
      <c r="K131" s="525"/>
    </row>
    <row r="132" spans="1:11" s="88" customFormat="1" ht="33" customHeight="1">
      <c r="A132" s="396"/>
      <c r="B132" s="499"/>
      <c r="C132" s="519"/>
      <c r="D132" s="103" t="s">
        <v>214</v>
      </c>
      <c r="E132" s="498" t="s">
        <v>215</v>
      </c>
      <c r="F132" s="498"/>
      <c r="G132" s="498"/>
      <c r="H132" s="498"/>
      <c r="I132" s="498"/>
      <c r="J132" s="87">
        <f>+'Հավելված N 2'!G291</f>
        <v>-126666.4</v>
      </c>
      <c r="K132" s="87">
        <f>+'Հավելված N 2'!H291</f>
        <v>-261132.3</v>
      </c>
    </row>
    <row r="133" spans="1:11" ht="33.299999999999997" customHeight="1">
      <c r="A133" s="396"/>
      <c r="B133" s="499"/>
      <c r="C133" s="519"/>
      <c r="D133" s="499"/>
      <c r="E133" s="500"/>
      <c r="F133" s="507" t="s">
        <v>223</v>
      </c>
      <c r="G133" s="505"/>
      <c r="H133" s="505"/>
      <c r="I133" s="505"/>
      <c r="J133" s="505"/>
      <c r="K133" s="505"/>
    </row>
    <row r="134" spans="1:11" ht="33.299999999999997" customHeight="1">
      <c r="A134" s="396"/>
      <c r="B134" s="499"/>
      <c r="C134" s="519"/>
      <c r="D134" s="499"/>
      <c r="E134" s="500"/>
      <c r="F134" s="508"/>
      <c r="G134" s="507" t="s">
        <v>88</v>
      </c>
      <c r="H134" s="505"/>
      <c r="I134" s="505"/>
      <c r="J134" s="505"/>
      <c r="K134" s="505"/>
    </row>
    <row r="135" spans="1:11" ht="33.299999999999997" customHeight="1">
      <c r="A135" s="396"/>
      <c r="B135" s="499"/>
      <c r="C135" s="519"/>
      <c r="D135" s="499"/>
      <c r="E135" s="500"/>
      <c r="F135" s="508"/>
      <c r="G135" s="508"/>
      <c r="H135" s="507" t="s">
        <v>144</v>
      </c>
      <c r="I135" s="505"/>
      <c r="J135" s="505"/>
      <c r="K135" s="505"/>
    </row>
    <row r="136" spans="1:11" ht="52.2">
      <c r="A136" s="396"/>
      <c r="B136" s="499"/>
      <c r="C136" s="520"/>
      <c r="D136" s="499"/>
      <c r="E136" s="500"/>
      <c r="F136" s="508"/>
      <c r="G136" s="508"/>
      <c r="H136" s="94"/>
      <c r="I136" s="47" t="s">
        <v>224</v>
      </c>
      <c r="J136" s="134" t="s">
        <v>143</v>
      </c>
      <c r="K136" s="133">
        <v>-1</v>
      </c>
    </row>
    <row r="137" spans="1:11" ht="8.5500000000000007" customHeight="1">
      <c r="A137" s="396"/>
      <c r="B137" s="317"/>
      <c r="C137" s="69"/>
      <c r="D137" s="69"/>
      <c r="E137" s="69"/>
      <c r="F137" s="69"/>
      <c r="G137" s="69"/>
      <c r="H137" s="69"/>
      <c r="I137" s="69"/>
      <c r="J137" s="69"/>
      <c r="K137" s="317"/>
    </row>
    <row r="138" spans="1:11" s="90" customFormat="1" ht="18">
      <c r="A138" s="396"/>
      <c r="B138" s="100">
        <v>1163</v>
      </c>
      <c r="C138" s="476" t="s">
        <v>154</v>
      </c>
      <c r="D138" s="503"/>
      <c r="E138" s="503"/>
      <c r="F138" s="503"/>
      <c r="G138" s="503"/>
      <c r="H138" s="503"/>
      <c r="I138" s="503"/>
      <c r="J138" s="84">
        <f>+J139+J143+J149</f>
        <v>-779148.1</v>
      </c>
      <c r="K138" s="84">
        <f>+K139+K143+K149</f>
        <v>-1388361.7000000002</v>
      </c>
    </row>
    <row r="139" spans="1:11" s="91" customFormat="1" ht="34.950000000000003" customHeight="1">
      <c r="A139" s="396"/>
      <c r="B139" s="499"/>
      <c r="C139" s="499"/>
      <c r="D139" s="100" t="s">
        <v>523</v>
      </c>
      <c r="E139" s="505" t="s">
        <v>289</v>
      </c>
      <c r="F139" s="505"/>
      <c r="G139" s="505"/>
      <c r="H139" s="505"/>
      <c r="I139" s="505"/>
      <c r="J139" s="324">
        <f>+'Հավելված N 2'!G330</f>
        <v>-239793.5</v>
      </c>
      <c r="K139" s="324">
        <f>+'Հավելված N 2'!H330</f>
        <v>-567074.90000000014</v>
      </c>
    </row>
    <row r="140" spans="1:11" s="90" customFormat="1" ht="18" customHeight="1">
      <c r="A140" s="396"/>
      <c r="B140" s="499"/>
      <c r="C140" s="499"/>
      <c r="D140" s="479"/>
      <c r="E140" s="508"/>
      <c r="F140" s="505" t="s">
        <v>586</v>
      </c>
      <c r="G140" s="505"/>
      <c r="H140" s="505"/>
      <c r="I140" s="505"/>
      <c r="J140" s="505"/>
      <c r="K140" s="505"/>
    </row>
    <row r="141" spans="1:11" s="90" customFormat="1" ht="17.7" customHeight="1">
      <c r="A141" s="396"/>
      <c r="B141" s="499"/>
      <c r="C141" s="499"/>
      <c r="D141" s="479"/>
      <c r="E141" s="508"/>
      <c r="F141" s="508"/>
      <c r="G141" s="505" t="s">
        <v>587</v>
      </c>
      <c r="H141" s="505"/>
      <c r="I141" s="505"/>
      <c r="J141" s="505"/>
      <c r="K141" s="505"/>
    </row>
    <row r="142" spans="1:11" s="90" customFormat="1" ht="36" customHeight="1">
      <c r="A142" s="396"/>
      <c r="B142" s="499"/>
      <c r="C142" s="499"/>
      <c r="D142" s="479"/>
      <c r="E142" s="508"/>
      <c r="F142" s="508"/>
      <c r="G142" s="300"/>
      <c r="H142" s="505" t="s">
        <v>588</v>
      </c>
      <c r="I142" s="505"/>
      <c r="J142" s="505"/>
      <c r="K142" s="505"/>
    </row>
    <row r="143" spans="1:11" s="91" customFormat="1" ht="34.950000000000003" customHeight="1">
      <c r="A143" s="396"/>
      <c r="B143" s="499"/>
      <c r="C143" s="499"/>
      <c r="D143" s="100" t="s">
        <v>217</v>
      </c>
      <c r="E143" s="503" t="s">
        <v>197</v>
      </c>
      <c r="F143" s="503"/>
      <c r="G143" s="503"/>
      <c r="H143" s="503"/>
      <c r="I143" s="503"/>
      <c r="J143" s="76">
        <f>+'Հավելված N 2'!G339</f>
        <v>-539354.6</v>
      </c>
      <c r="K143" s="76">
        <f>+'Հավելված N 2'!H339</f>
        <v>-621286.79999999993</v>
      </c>
    </row>
    <row r="144" spans="1:11" s="90" customFormat="1" ht="18" customHeight="1">
      <c r="A144" s="396"/>
      <c r="B144" s="499"/>
      <c r="C144" s="499"/>
      <c r="D144" s="479"/>
      <c r="E144" s="429"/>
      <c r="F144" s="507" t="s">
        <v>225</v>
      </c>
      <c r="G144" s="505"/>
      <c r="H144" s="505"/>
      <c r="I144" s="505"/>
      <c r="J144" s="505"/>
      <c r="K144" s="505"/>
    </row>
    <row r="145" spans="1:11" s="90" customFormat="1" ht="17.7" customHeight="1">
      <c r="A145" s="396"/>
      <c r="B145" s="499"/>
      <c r="C145" s="499"/>
      <c r="D145" s="479"/>
      <c r="E145" s="429"/>
      <c r="F145" s="508"/>
      <c r="G145" s="507" t="s">
        <v>88</v>
      </c>
      <c r="H145" s="505"/>
      <c r="I145" s="505"/>
      <c r="J145" s="505"/>
      <c r="K145" s="505"/>
    </row>
    <row r="146" spans="1:11" s="90" customFormat="1" ht="36" customHeight="1">
      <c r="A146" s="396"/>
      <c r="B146" s="499"/>
      <c r="C146" s="499"/>
      <c r="D146" s="479"/>
      <c r="E146" s="429"/>
      <c r="F146" s="508"/>
      <c r="G146" s="508"/>
      <c r="H146" s="507" t="s">
        <v>163</v>
      </c>
      <c r="I146" s="505"/>
      <c r="J146" s="505"/>
      <c r="K146" s="505"/>
    </row>
    <row r="147" spans="1:11" ht="34.799999999999997">
      <c r="A147" s="396"/>
      <c r="B147" s="499"/>
      <c r="C147" s="499"/>
      <c r="D147" s="479"/>
      <c r="E147" s="429"/>
      <c r="F147" s="508"/>
      <c r="G147" s="508"/>
      <c r="H147" s="509"/>
      <c r="I147" s="86" t="s">
        <v>589</v>
      </c>
      <c r="J147" s="320" t="s">
        <v>143</v>
      </c>
      <c r="K147" s="321">
        <v>-2</v>
      </c>
    </row>
    <row r="148" spans="1:11" ht="34.799999999999997">
      <c r="A148" s="396"/>
      <c r="B148" s="499"/>
      <c r="C148" s="499"/>
      <c r="D148" s="479"/>
      <c r="E148" s="429"/>
      <c r="F148" s="508"/>
      <c r="G148" s="508"/>
      <c r="H148" s="509"/>
      <c r="I148" s="102" t="s">
        <v>145</v>
      </c>
      <c r="J148" s="320" t="s">
        <v>143</v>
      </c>
      <c r="K148" s="321">
        <v>2</v>
      </c>
    </row>
    <row r="149" spans="1:11" s="91" customFormat="1" ht="34.950000000000003" customHeight="1">
      <c r="A149" s="396"/>
      <c r="B149" s="499"/>
      <c r="C149" s="499"/>
      <c r="D149" s="100" t="s">
        <v>528</v>
      </c>
      <c r="E149" s="505" t="s">
        <v>393</v>
      </c>
      <c r="F149" s="505"/>
      <c r="G149" s="505"/>
      <c r="H149" s="505"/>
      <c r="I149" s="505"/>
      <c r="J149" s="324">
        <f>+'Հավելված N 2'!G37</f>
        <v>0</v>
      </c>
      <c r="K149" s="324">
        <f>+'Հավելված N 2'!H37</f>
        <v>-200000</v>
      </c>
    </row>
    <row r="150" spans="1:11" s="90" customFormat="1" ht="18" customHeight="1">
      <c r="A150" s="396"/>
      <c r="B150" s="499"/>
      <c r="C150" s="499"/>
      <c r="D150" s="330"/>
      <c r="E150" s="511"/>
      <c r="F150" s="505" t="s">
        <v>591</v>
      </c>
      <c r="G150" s="505"/>
      <c r="H150" s="505"/>
      <c r="I150" s="505"/>
      <c r="J150" s="505"/>
      <c r="K150" s="505"/>
    </row>
    <row r="151" spans="1:11" s="90" customFormat="1" ht="17.7" customHeight="1">
      <c r="A151" s="396"/>
      <c r="B151" s="499"/>
      <c r="C151" s="499"/>
      <c r="D151" s="331"/>
      <c r="E151" s="512"/>
      <c r="F151" s="511"/>
      <c r="G151" s="505" t="s">
        <v>88</v>
      </c>
      <c r="H151" s="505"/>
      <c r="I151" s="505"/>
      <c r="J151" s="505"/>
      <c r="K151" s="505"/>
    </row>
    <row r="152" spans="1:11" s="90" customFormat="1" ht="36" customHeight="1">
      <c r="A152" s="396"/>
      <c r="B152" s="499"/>
      <c r="C152" s="499"/>
      <c r="D152" s="331"/>
      <c r="E152" s="512"/>
      <c r="F152" s="512"/>
      <c r="G152" s="511"/>
      <c r="H152" s="505" t="s">
        <v>592</v>
      </c>
      <c r="I152" s="505"/>
      <c r="J152" s="505"/>
      <c r="K152" s="505"/>
    </row>
    <row r="153" spans="1:11" ht="34.799999999999997">
      <c r="A153" s="396"/>
      <c r="B153" s="499"/>
      <c r="C153" s="499"/>
      <c r="D153" s="326"/>
      <c r="E153" s="513"/>
      <c r="F153" s="513"/>
      <c r="G153" s="513"/>
      <c r="H153" s="47"/>
      <c r="I153" s="47" t="s">
        <v>593</v>
      </c>
      <c r="J153" s="325" t="s">
        <v>143</v>
      </c>
      <c r="K153" s="321">
        <v>-1</v>
      </c>
    </row>
    <row r="154" spans="1:11" ht="8.5500000000000007" customHeight="1">
      <c r="A154" s="396"/>
      <c r="B154" s="317"/>
      <c r="C154" s="69"/>
      <c r="D154" s="69"/>
      <c r="E154" s="69"/>
      <c r="F154" s="69"/>
      <c r="G154" s="69"/>
      <c r="H154" s="69"/>
      <c r="I154" s="69"/>
      <c r="J154" s="69"/>
      <c r="K154" s="89"/>
    </row>
    <row r="155" spans="1:11" s="90" customFormat="1" ht="18">
      <c r="A155" s="396"/>
      <c r="B155" s="100">
        <v>1236</v>
      </c>
      <c r="C155" s="476" t="s">
        <v>87</v>
      </c>
      <c r="D155" s="503"/>
      <c r="E155" s="503"/>
      <c r="F155" s="503"/>
      <c r="G155" s="503"/>
      <c r="H155" s="503"/>
      <c r="I155" s="503"/>
      <c r="J155" s="84">
        <f>+J156+J160+J166</f>
        <v>1309341.8</v>
      </c>
      <c r="K155" s="84">
        <f>+K156+K160+K166</f>
        <v>2066239.6</v>
      </c>
    </row>
    <row r="156" spans="1:11" s="91" customFormat="1" ht="17.7" customHeight="1">
      <c r="A156" s="396"/>
      <c r="B156" s="429"/>
      <c r="C156" s="429"/>
      <c r="D156" s="100" t="s">
        <v>219</v>
      </c>
      <c r="E156" s="503" t="s">
        <v>169</v>
      </c>
      <c r="F156" s="503"/>
      <c r="G156" s="503"/>
      <c r="H156" s="503"/>
      <c r="I156" s="503"/>
      <c r="J156" s="76">
        <f>+'Հավելված N 2'!G163</f>
        <v>-281474.89999999997</v>
      </c>
      <c r="K156" s="76">
        <f>+'Հավելված N 2'!H163</f>
        <v>-197306.4</v>
      </c>
    </row>
    <row r="157" spans="1:11" s="90" customFormat="1" ht="35.549999999999997" customHeight="1">
      <c r="A157" s="396"/>
      <c r="B157" s="429"/>
      <c r="C157" s="429"/>
      <c r="D157" s="504"/>
      <c r="E157" s="390"/>
      <c r="F157" s="505" t="s">
        <v>227</v>
      </c>
      <c r="G157" s="505"/>
      <c r="H157" s="505"/>
      <c r="I157" s="505"/>
      <c r="J157" s="505"/>
      <c r="K157" s="505"/>
    </row>
    <row r="158" spans="1:11" s="90" customFormat="1" ht="17.7" customHeight="1">
      <c r="A158" s="396"/>
      <c r="B158" s="429"/>
      <c r="C158" s="429"/>
      <c r="D158" s="392"/>
      <c r="E158" s="391"/>
      <c r="F158" s="511"/>
      <c r="G158" s="505" t="s">
        <v>88</v>
      </c>
      <c r="H158" s="505"/>
      <c r="I158" s="505"/>
      <c r="J158" s="505"/>
      <c r="K158" s="505"/>
    </row>
    <row r="159" spans="1:11" s="90" customFormat="1" ht="18" customHeight="1">
      <c r="A159" s="396"/>
      <c r="B159" s="429"/>
      <c r="C159" s="429"/>
      <c r="D159" s="392"/>
      <c r="E159" s="391"/>
      <c r="F159" s="512"/>
      <c r="G159" s="303"/>
      <c r="H159" s="505" t="s">
        <v>226</v>
      </c>
      <c r="I159" s="505"/>
      <c r="J159" s="505"/>
      <c r="K159" s="505"/>
    </row>
    <row r="160" spans="1:11" s="91" customFormat="1" ht="17.7" customHeight="1">
      <c r="A160" s="396"/>
      <c r="B160" s="429"/>
      <c r="C160" s="429"/>
      <c r="D160" s="100" t="s">
        <v>221</v>
      </c>
      <c r="E160" s="503" t="s">
        <v>187</v>
      </c>
      <c r="F160" s="503"/>
      <c r="G160" s="503"/>
      <c r="H160" s="503"/>
      <c r="I160" s="503"/>
      <c r="J160" s="135">
        <f>+'Հավելված N 2'!G192</f>
        <v>990816.7</v>
      </c>
      <c r="K160" s="135">
        <f>+'Հավելված N 2'!H192</f>
        <v>1017997.3</v>
      </c>
    </row>
    <row r="161" spans="1:24" s="90" customFormat="1" ht="35.549999999999997" customHeight="1">
      <c r="A161" s="396"/>
      <c r="B161" s="429"/>
      <c r="C161" s="429"/>
      <c r="D161" s="504"/>
      <c r="E161" s="390"/>
      <c r="F161" s="507" t="s">
        <v>228</v>
      </c>
      <c r="G161" s="505"/>
      <c r="H161" s="505"/>
      <c r="I161" s="505"/>
      <c r="J161" s="505"/>
      <c r="K161" s="505"/>
    </row>
    <row r="162" spans="1:24" s="90" customFormat="1" ht="17.7" customHeight="1">
      <c r="A162" s="396"/>
      <c r="B162" s="429"/>
      <c r="C162" s="429"/>
      <c r="D162" s="392"/>
      <c r="E162" s="391"/>
      <c r="F162" s="511"/>
      <c r="G162" s="507" t="s">
        <v>88</v>
      </c>
      <c r="H162" s="505"/>
      <c r="I162" s="505"/>
      <c r="J162" s="505"/>
      <c r="K162" s="505"/>
    </row>
    <row r="163" spans="1:24" s="90" customFormat="1" ht="18" customHeight="1">
      <c r="A163" s="396"/>
      <c r="B163" s="429"/>
      <c r="C163" s="429"/>
      <c r="D163" s="392"/>
      <c r="E163" s="391"/>
      <c r="F163" s="512"/>
      <c r="G163" s="511"/>
      <c r="H163" s="507" t="s">
        <v>229</v>
      </c>
      <c r="I163" s="505"/>
      <c r="J163" s="505"/>
      <c r="K163" s="505"/>
    </row>
    <row r="164" spans="1:24" ht="87">
      <c r="A164" s="396"/>
      <c r="B164" s="429"/>
      <c r="C164" s="429"/>
      <c r="D164" s="392"/>
      <c r="E164" s="391"/>
      <c r="F164" s="512"/>
      <c r="G164" s="512"/>
      <c r="H164" s="391"/>
      <c r="I164" s="102" t="s">
        <v>609</v>
      </c>
      <c r="J164" s="136"/>
      <c r="K164" s="136">
        <v>-1</v>
      </c>
    </row>
    <row r="165" spans="1:24" ht="34.799999999999997">
      <c r="A165" s="396"/>
      <c r="B165" s="429"/>
      <c r="C165" s="429"/>
      <c r="D165" s="392"/>
      <c r="E165" s="391"/>
      <c r="F165" s="512"/>
      <c r="G165" s="512"/>
      <c r="H165" s="391"/>
      <c r="I165" s="102" t="s">
        <v>145</v>
      </c>
      <c r="J165" s="136"/>
      <c r="K165" s="136">
        <v>1</v>
      </c>
    </row>
    <row r="166" spans="1:24" s="91" customFormat="1" ht="17.7" customHeight="1">
      <c r="A166" s="396"/>
      <c r="B166" s="429"/>
      <c r="C166" s="429"/>
      <c r="D166" s="100" t="s">
        <v>546</v>
      </c>
      <c r="E166" s="503" t="s">
        <v>436</v>
      </c>
      <c r="F166" s="503"/>
      <c r="G166" s="503"/>
      <c r="H166" s="503"/>
      <c r="I166" s="503"/>
      <c r="J166" s="76">
        <f>+'Հավելված N 2'!G210</f>
        <v>600000</v>
      </c>
      <c r="K166" s="76">
        <f>+'Հավելված N 2'!H210</f>
        <v>1245548.7</v>
      </c>
    </row>
    <row r="167" spans="1:24" s="90" customFormat="1" ht="35.549999999999997" customHeight="1">
      <c r="A167" s="396"/>
      <c r="B167" s="429"/>
      <c r="C167" s="429"/>
      <c r="D167" s="429"/>
      <c r="E167" s="429"/>
      <c r="F167" s="476" t="s">
        <v>610</v>
      </c>
      <c r="G167" s="503"/>
      <c r="H167" s="503"/>
      <c r="I167" s="503"/>
      <c r="J167" s="503"/>
      <c r="K167" s="503"/>
    </row>
    <row r="168" spans="1:24" s="90" customFormat="1" ht="17.7" customHeight="1">
      <c r="A168" s="396"/>
      <c r="B168" s="429"/>
      <c r="C168" s="429"/>
      <c r="D168" s="429"/>
      <c r="E168" s="429"/>
      <c r="F168" s="429"/>
      <c r="G168" s="476" t="s">
        <v>88</v>
      </c>
      <c r="H168" s="503"/>
      <c r="I168" s="503"/>
      <c r="J168" s="503"/>
      <c r="K168" s="503"/>
    </row>
    <row r="169" spans="1:24" s="90" customFormat="1" ht="18" customHeight="1">
      <c r="A169" s="396"/>
      <c r="B169" s="429"/>
      <c r="C169" s="429"/>
      <c r="D169" s="429"/>
      <c r="E169" s="429"/>
      <c r="F169" s="429"/>
      <c r="G169" s="429"/>
      <c r="H169" s="476" t="s">
        <v>146</v>
      </c>
      <c r="I169" s="503"/>
      <c r="J169" s="503"/>
      <c r="K169" s="503"/>
    </row>
    <row r="170" spans="1:24" ht="34.799999999999997">
      <c r="A170" s="396"/>
      <c r="B170" s="429"/>
      <c r="C170" s="429"/>
      <c r="D170" s="429"/>
      <c r="E170" s="429"/>
      <c r="F170" s="429"/>
      <c r="G170" s="429"/>
      <c r="H170" s="509"/>
      <c r="I170" s="102" t="s">
        <v>145</v>
      </c>
      <c r="J170" s="136"/>
      <c r="K170" s="136">
        <v>-1</v>
      </c>
    </row>
    <row r="171" spans="1:24" ht="87">
      <c r="A171" s="396"/>
      <c r="B171" s="429"/>
      <c r="C171" s="429"/>
      <c r="D171" s="429"/>
      <c r="E171" s="429"/>
      <c r="F171" s="429"/>
      <c r="G171" s="429"/>
      <c r="H171" s="509"/>
      <c r="I171" s="102" t="s">
        <v>635</v>
      </c>
      <c r="J171" s="362"/>
      <c r="K171" s="136">
        <v>18</v>
      </c>
    </row>
    <row r="173" spans="1:24" s="86" customFormat="1" ht="30" customHeight="1">
      <c r="A173" s="496" t="s">
        <v>616</v>
      </c>
      <c r="B173" s="496"/>
      <c r="C173" s="496"/>
      <c r="D173" s="496"/>
      <c r="E173" s="496"/>
      <c r="F173" s="496"/>
      <c r="G173" s="496"/>
      <c r="H173" s="496"/>
      <c r="I173" s="496"/>
      <c r="J173" s="329">
        <f>+J174</f>
        <v>50163</v>
      </c>
      <c r="K173" s="329">
        <f>+K174</f>
        <v>100325.90000000001</v>
      </c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</row>
    <row r="174" spans="1:24" s="90" customFormat="1" ht="18">
      <c r="A174" s="502"/>
      <c r="B174" s="46">
        <v>1183</v>
      </c>
      <c r="C174" s="503" t="s">
        <v>91</v>
      </c>
      <c r="D174" s="503"/>
      <c r="E174" s="503"/>
      <c r="F174" s="503"/>
      <c r="G174" s="503"/>
      <c r="H174" s="503"/>
      <c r="I174" s="503"/>
      <c r="J174" s="84">
        <f>+J175</f>
        <v>50163</v>
      </c>
      <c r="K174" s="84">
        <f>+K175</f>
        <v>100325.90000000001</v>
      </c>
    </row>
    <row r="175" spans="1:24" s="91" customFormat="1" ht="34.950000000000003" customHeight="1">
      <c r="A175" s="502"/>
      <c r="B175" s="502"/>
      <c r="C175" s="502"/>
      <c r="D175" s="46" t="s">
        <v>537</v>
      </c>
      <c r="E175" s="503" t="s">
        <v>601</v>
      </c>
      <c r="F175" s="503"/>
      <c r="G175" s="503"/>
      <c r="H175" s="503"/>
      <c r="I175" s="503"/>
      <c r="J175" s="76">
        <f>+'Հավելված N 2'!G363</f>
        <v>50163</v>
      </c>
      <c r="K175" s="76">
        <f>+'Հավելված N 2'!H363</f>
        <v>100325.90000000001</v>
      </c>
    </row>
    <row r="176" spans="1:24" s="90" customFormat="1" ht="33.9" customHeight="1">
      <c r="A176" s="502"/>
      <c r="B176" s="502"/>
      <c r="C176" s="502"/>
      <c r="D176" s="429"/>
      <c r="E176" s="429"/>
      <c r="F176" s="503" t="s">
        <v>602</v>
      </c>
      <c r="G176" s="503"/>
      <c r="H176" s="503"/>
      <c r="I176" s="503"/>
      <c r="J176" s="503"/>
      <c r="K176" s="503"/>
    </row>
    <row r="177" spans="1:53" s="90" customFormat="1" ht="17.7" customHeight="1">
      <c r="A177" s="502"/>
      <c r="B177" s="502"/>
      <c r="C177" s="502"/>
      <c r="D177" s="429"/>
      <c r="E177" s="429"/>
      <c r="F177" s="429"/>
      <c r="G177" s="503" t="s">
        <v>88</v>
      </c>
      <c r="H177" s="503"/>
      <c r="I177" s="503"/>
      <c r="J177" s="503"/>
      <c r="K177" s="503"/>
    </row>
    <row r="178" spans="1:53" s="90" customFormat="1" ht="18">
      <c r="A178" s="502"/>
      <c r="B178" s="502"/>
      <c r="C178" s="502"/>
      <c r="D178" s="429"/>
      <c r="E178" s="429"/>
      <c r="F178" s="429"/>
      <c r="G178" s="429"/>
      <c r="H178" s="503" t="s">
        <v>146</v>
      </c>
      <c r="I178" s="503"/>
      <c r="J178" s="503"/>
      <c r="K178" s="503"/>
    </row>
    <row r="179" spans="1:53" ht="34.799999999999997">
      <c r="A179" s="502"/>
      <c r="B179" s="502"/>
      <c r="C179" s="502"/>
      <c r="D179" s="429"/>
      <c r="E179" s="429"/>
      <c r="F179" s="429"/>
      <c r="G179" s="429"/>
      <c r="H179" s="46"/>
      <c r="I179" s="47" t="s">
        <v>603</v>
      </c>
      <c r="J179" s="318" t="s">
        <v>143</v>
      </c>
      <c r="K179" s="93">
        <v>1</v>
      </c>
    </row>
    <row r="181" spans="1:53" s="86" customFormat="1" ht="30" customHeight="1">
      <c r="A181" s="496" t="s">
        <v>617</v>
      </c>
      <c r="B181" s="496"/>
      <c r="C181" s="496"/>
      <c r="D181" s="496"/>
      <c r="E181" s="496"/>
      <c r="F181" s="496"/>
      <c r="G181" s="496"/>
      <c r="H181" s="496"/>
      <c r="I181" s="496"/>
      <c r="J181" s="329">
        <f>+J182</f>
        <v>249319.8</v>
      </c>
      <c r="K181" s="329">
        <f>+K182</f>
        <v>249319.8</v>
      </c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</row>
    <row r="182" spans="1:53" s="90" customFormat="1" ht="18">
      <c r="A182" s="502"/>
      <c r="B182" s="46">
        <v>1183</v>
      </c>
      <c r="C182" s="503" t="s">
        <v>91</v>
      </c>
      <c r="D182" s="503"/>
      <c r="E182" s="503"/>
      <c r="F182" s="503"/>
      <c r="G182" s="503"/>
      <c r="H182" s="503"/>
      <c r="I182" s="503"/>
      <c r="J182" s="84">
        <f>+J183</f>
        <v>249319.8</v>
      </c>
      <c r="K182" s="84">
        <f>+K183</f>
        <v>249319.8</v>
      </c>
    </row>
    <row r="183" spans="1:53" s="91" customFormat="1" ht="34.950000000000003" customHeight="1">
      <c r="A183" s="502"/>
      <c r="B183" s="502"/>
      <c r="C183" s="502"/>
      <c r="D183" s="46" t="s">
        <v>537</v>
      </c>
      <c r="E183" s="503" t="s">
        <v>601</v>
      </c>
      <c r="F183" s="503"/>
      <c r="G183" s="503"/>
      <c r="H183" s="503"/>
      <c r="I183" s="503"/>
      <c r="J183" s="76">
        <f>+'Հավելված N 2'!G370</f>
        <v>249319.8</v>
      </c>
      <c r="K183" s="76">
        <f>+'Հավելված N 2'!H370</f>
        <v>249319.8</v>
      </c>
    </row>
    <row r="184" spans="1:53" s="90" customFormat="1" ht="33.9" customHeight="1">
      <c r="A184" s="502"/>
      <c r="B184" s="502"/>
      <c r="C184" s="502"/>
      <c r="D184" s="429"/>
      <c r="E184" s="429"/>
      <c r="F184" s="503" t="s">
        <v>602</v>
      </c>
      <c r="G184" s="503"/>
      <c r="H184" s="503"/>
      <c r="I184" s="503"/>
      <c r="J184" s="503"/>
      <c r="K184" s="503"/>
    </row>
    <row r="185" spans="1:53" s="90" customFormat="1" ht="17.7" customHeight="1">
      <c r="A185" s="502"/>
      <c r="B185" s="502"/>
      <c r="C185" s="502"/>
      <c r="D185" s="429"/>
      <c r="E185" s="429"/>
      <c r="F185" s="429"/>
      <c r="G185" s="503" t="s">
        <v>88</v>
      </c>
      <c r="H185" s="503"/>
      <c r="I185" s="503"/>
      <c r="J185" s="503"/>
      <c r="K185" s="503"/>
    </row>
    <row r="186" spans="1:53" s="90" customFormat="1" ht="18">
      <c r="A186" s="502"/>
      <c r="B186" s="502"/>
      <c r="C186" s="502"/>
      <c r="D186" s="429"/>
      <c r="E186" s="429"/>
      <c r="F186" s="429"/>
      <c r="G186" s="429"/>
      <c r="H186" s="503" t="s">
        <v>146</v>
      </c>
      <c r="I186" s="503"/>
      <c r="J186" s="503"/>
      <c r="K186" s="503"/>
    </row>
    <row r="187" spans="1:53" ht="34.799999999999997">
      <c r="A187" s="502"/>
      <c r="B187" s="502"/>
      <c r="C187" s="502"/>
      <c r="D187" s="429"/>
      <c r="E187" s="429"/>
      <c r="F187" s="429"/>
      <c r="G187" s="429"/>
      <c r="H187" s="46"/>
      <c r="I187" s="47" t="s">
        <v>603</v>
      </c>
      <c r="J187" s="318" t="s">
        <v>143</v>
      </c>
      <c r="K187" s="93">
        <v>6</v>
      </c>
    </row>
    <row r="189" spans="1:53" s="86" customFormat="1" ht="30" customHeight="1">
      <c r="A189" s="495" t="s">
        <v>731</v>
      </c>
      <c r="B189" s="496"/>
      <c r="C189" s="496"/>
      <c r="D189" s="496"/>
      <c r="E189" s="496"/>
      <c r="F189" s="496"/>
      <c r="G189" s="496"/>
      <c r="H189" s="496"/>
      <c r="I189" s="496"/>
      <c r="J189" s="329">
        <f>+J190</f>
        <v>-2521776</v>
      </c>
      <c r="K189" s="329">
        <f>+K190+K204+K210</f>
        <v>-13214638.112999998</v>
      </c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10"/>
      <c r="AG189" s="10"/>
      <c r="AH189" s="10"/>
      <c r="AI189" s="10"/>
      <c r="AJ189" s="10"/>
      <c r="AK189" s="10"/>
      <c r="AL189" s="10"/>
      <c r="AM189" s="10"/>
      <c r="AN189" s="10"/>
      <c r="AO189" s="10"/>
      <c r="AP189" s="10"/>
      <c r="AQ189" s="10"/>
      <c r="AR189" s="10"/>
      <c r="AS189" s="10"/>
      <c r="AT189" s="10"/>
      <c r="AU189" s="10"/>
      <c r="AV189" s="10"/>
      <c r="AW189" s="10"/>
      <c r="AX189" s="10"/>
      <c r="AY189" s="10"/>
      <c r="AZ189" s="10"/>
      <c r="BA189" s="10"/>
    </row>
    <row r="190" spans="1:53" ht="18">
      <c r="A190" s="396"/>
      <c r="B190" s="372">
        <v>1006</v>
      </c>
      <c r="C190" s="497" t="s">
        <v>746</v>
      </c>
      <c r="D190" s="497"/>
      <c r="E190" s="497"/>
      <c r="F190" s="497"/>
      <c r="G190" s="497"/>
      <c r="H190" s="497"/>
      <c r="I190" s="497"/>
      <c r="J190" s="323">
        <f>+J191</f>
        <v>-2521776</v>
      </c>
      <c r="K190" s="323">
        <f>+K191+K195</f>
        <v>-13214638.112999998</v>
      </c>
    </row>
    <row r="191" spans="1:53" s="88" customFormat="1" ht="33" customHeight="1">
      <c r="A191" s="396"/>
      <c r="B191" s="429"/>
      <c r="C191" s="429"/>
      <c r="D191" s="103" t="s">
        <v>742</v>
      </c>
      <c r="E191" s="498" t="s">
        <v>743</v>
      </c>
      <c r="F191" s="498"/>
      <c r="G191" s="498"/>
      <c r="H191" s="498"/>
      <c r="I191" s="498"/>
      <c r="J191" s="87">
        <f>+'Հավելված N 2'!G426</f>
        <v>-2521776</v>
      </c>
      <c r="K191" s="87">
        <f>+'Հավելված N 2'!H426</f>
        <v>-13214638.112999998</v>
      </c>
    </row>
    <row r="192" spans="1:53" ht="33.299999999999997" customHeight="1">
      <c r="A192" s="396"/>
      <c r="B192" s="429"/>
      <c r="C192" s="429"/>
      <c r="D192" s="499"/>
      <c r="E192" s="500"/>
      <c r="F192" s="498" t="s">
        <v>747</v>
      </c>
      <c r="G192" s="498"/>
      <c r="H192" s="498"/>
      <c r="I192" s="498"/>
      <c r="J192" s="498"/>
      <c r="K192" s="498"/>
    </row>
    <row r="193" spans="1:24" ht="33.299999999999997" customHeight="1">
      <c r="A193" s="396"/>
      <c r="B193" s="429"/>
      <c r="C193" s="429"/>
      <c r="D193" s="499"/>
      <c r="E193" s="500"/>
      <c r="F193" s="500"/>
      <c r="G193" s="498" t="s">
        <v>748</v>
      </c>
      <c r="H193" s="498"/>
      <c r="I193" s="498"/>
      <c r="J193" s="498"/>
      <c r="K193" s="498"/>
    </row>
    <row r="194" spans="1:24" ht="33.299999999999997" customHeight="1">
      <c r="A194" s="396"/>
      <c r="B194" s="429"/>
      <c r="C194" s="429"/>
      <c r="D194" s="499"/>
      <c r="E194" s="500"/>
      <c r="F194" s="500"/>
      <c r="G194" s="304"/>
      <c r="H194" s="498" t="s">
        <v>749</v>
      </c>
      <c r="I194" s="498"/>
      <c r="J194" s="498"/>
      <c r="K194" s="498"/>
    </row>
    <row r="196" spans="1:24" s="86" customFormat="1" ht="30" customHeight="1">
      <c r="A196" s="496" t="s">
        <v>123</v>
      </c>
      <c r="B196" s="496"/>
      <c r="C196" s="496"/>
      <c r="D196" s="496"/>
      <c r="E196" s="496"/>
      <c r="F196" s="496"/>
      <c r="G196" s="496"/>
      <c r="H196" s="496"/>
      <c r="I196" s="496"/>
      <c r="J196" s="329">
        <f>+J197+J206</f>
        <v>-122546.2</v>
      </c>
      <c r="K196" s="329">
        <f>+K197+K206</f>
        <v>-153182.79999999999</v>
      </c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</row>
    <row r="197" spans="1:24" ht="18">
      <c r="A197" s="535"/>
      <c r="B197" s="103">
        <v>1139</v>
      </c>
      <c r="C197" s="497" t="s">
        <v>611</v>
      </c>
      <c r="D197" s="497"/>
      <c r="E197" s="497"/>
      <c r="F197" s="497"/>
      <c r="G197" s="497"/>
      <c r="H197" s="497"/>
      <c r="I197" s="497"/>
      <c r="J197" s="323">
        <f>+J198+J202</f>
        <v>0</v>
      </c>
      <c r="K197" s="323">
        <f>+K198+K202</f>
        <v>0</v>
      </c>
    </row>
    <row r="198" spans="1:24" s="88" customFormat="1" ht="33" customHeight="1">
      <c r="A198" s="522"/>
      <c r="B198" s="515"/>
      <c r="C198" s="535"/>
      <c r="D198" s="103" t="s">
        <v>612</v>
      </c>
      <c r="E198" s="498" t="s">
        <v>555</v>
      </c>
      <c r="F198" s="498"/>
      <c r="G198" s="498"/>
      <c r="H198" s="498"/>
      <c r="I198" s="498"/>
      <c r="J198" s="87">
        <f>+'Հավելված N 2'!G446</f>
        <v>10883.9</v>
      </c>
      <c r="K198" s="87">
        <f>+'Հավելված N 2'!H446</f>
        <v>23158.400000000001</v>
      </c>
    </row>
    <row r="199" spans="1:24" ht="33.299999999999997" customHeight="1">
      <c r="A199" s="522"/>
      <c r="B199" s="516"/>
      <c r="C199" s="522"/>
      <c r="D199" s="499"/>
      <c r="E199" s="500"/>
      <c r="F199" s="498" t="s">
        <v>613</v>
      </c>
      <c r="G199" s="498"/>
      <c r="H199" s="498"/>
      <c r="I199" s="498"/>
      <c r="J199" s="498"/>
      <c r="K199" s="498"/>
    </row>
    <row r="200" spans="1:24" ht="33.299999999999997" customHeight="1">
      <c r="A200" s="522"/>
      <c r="B200" s="516"/>
      <c r="C200" s="522"/>
      <c r="D200" s="499"/>
      <c r="E200" s="500"/>
      <c r="F200" s="500"/>
      <c r="G200" s="498" t="s">
        <v>614</v>
      </c>
      <c r="H200" s="498"/>
      <c r="I200" s="498"/>
      <c r="J200" s="498"/>
      <c r="K200" s="498"/>
    </row>
    <row r="201" spans="1:24" ht="33.299999999999997" customHeight="1">
      <c r="A201" s="522"/>
      <c r="B201" s="516"/>
      <c r="C201" s="522"/>
      <c r="D201" s="499"/>
      <c r="E201" s="500"/>
      <c r="F201" s="500"/>
      <c r="G201" s="304"/>
      <c r="H201" s="498" t="s">
        <v>615</v>
      </c>
      <c r="I201" s="498"/>
      <c r="J201" s="498"/>
      <c r="K201" s="498"/>
    </row>
    <row r="202" spans="1:24" s="88" customFormat="1" ht="33" customHeight="1">
      <c r="A202" s="522"/>
      <c r="B202" s="516"/>
      <c r="C202" s="522"/>
      <c r="D202" s="103" t="s">
        <v>612</v>
      </c>
      <c r="E202" s="498" t="s">
        <v>555</v>
      </c>
      <c r="F202" s="498"/>
      <c r="G202" s="498"/>
      <c r="H202" s="498"/>
      <c r="I202" s="498"/>
      <c r="J202" s="87">
        <f>+'Հավելված N 2'!G454</f>
        <v>-10883.9</v>
      </c>
      <c r="K202" s="87">
        <f>+'Հավելված N 2'!H454</f>
        <v>-23158.400000000001</v>
      </c>
    </row>
    <row r="203" spans="1:24" ht="33.299999999999997" customHeight="1">
      <c r="A203" s="522"/>
      <c r="B203" s="516"/>
      <c r="C203" s="522"/>
      <c r="D203" s="499"/>
      <c r="E203" s="500"/>
      <c r="F203" s="498" t="s">
        <v>613</v>
      </c>
      <c r="G203" s="498"/>
      <c r="H203" s="498"/>
      <c r="I203" s="498"/>
      <c r="J203" s="498"/>
      <c r="K203" s="498"/>
    </row>
    <row r="204" spans="1:24" ht="33.299999999999997" customHeight="1">
      <c r="A204" s="522"/>
      <c r="B204" s="516"/>
      <c r="C204" s="522"/>
      <c r="D204" s="499"/>
      <c r="E204" s="500"/>
      <c r="F204" s="500"/>
      <c r="G204" s="498" t="s">
        <v>614</v>
      </c>
      <c r="H204" s="498"/>
      <c r="I204" s="498"/>
      <c r="J204" s="498"/>
      <c r="K204" s="498"/>
    </row>
    <row r="205" spans="1:24" ht="33.299999999999997" customHeight="1">
      <c r="A205" s="522"/>
      <c r="B205" s="517"/>
      <c r="C205" s="536"/>
      <c r="D205" s="499"/>
      <c r="E205" s="500"/>
      <c r="F205" s="500"/>
      <c r="G205" s="304"/>
      <c r="H205" s="498" t="s">
        <v>615</v>
      </c>
      <c r="I205" s="498"/>
      <c r="J205" s="498"/>
      <c r="K205" s="498"/>
    </row>
    <row r="206" spans="1:24" s="90" customFormat="1" ht="18">
      <c r="A206" s="522"/>
      <c r="B206" s="46">
        <v>1183</v>
      </c>
      <c r="C206" s="503" t="s">
        <v>91</v>
      </c>
      <c r="D206" s="503"/>
      <c r="E206" s="503"/>
      <c r="F206" s="503"/>
      <c r="G206" s="503"/>
      <c r="H206" s="503"/>
      <c r="I206" s="503"/>
      <c r="J206" s="84">
        <f>+J207</f>
        <v>-122546.2</v>
      </c>
      <c r="K206" s="84">
        <f>+K207</f>
        <v>-153182.79999999999</v>
      </c>
    </row>
    <row r="207" spans="1:24" s="91" customFormat="1" ht="36" customHeight="1">
      <c r="A207" s="522"/>
      <c r="B207" s="515"/>
      <c r="C207" s="535"/>
      <c r="D207" s="100" t="s">
        <v>533</v>
      </c>
      <c r="E207" s="505" t="s">
        <v>408</v>
      </c>
      <c r="F207" s="505"/>
      <c r="G207" s="505"/>
      <c r="H207" s="505"/>
      <c r="I207" s="505"/>
      <c r="J207" s="324">
        <f>+'Հավելված N 2'!G388</f>
        <v>-122546.2</v>
      </c>
      <c r="K207" s="324">
        <f>+'Հավելված N 2'!H388</f>
        <v>-153182.79999999999</v>
      </c>
    </row>
    <row r="208" spans="1:24" s="90" customFormat="1" ht="33.9" customHeight="1">
      <c r="A208" s="522"/>
      <c r="B208" s="516"/>
      <c r="C208" s="522"/>
      <c r="D208" s="479"/>
      <c r="E208" s="511"/>
      <c r="F208" s="505" t="s">
        <v>599</v>
      </c>
      <c r="G208" s="505"/>
      <c r="H208" s="505"/>
      <c r="I208" s="505"/>
      <c r="J208" s="505"/>
      <c r="K208" s="505"/>
    </row>
    <row r="209" spans="1:11" s="90" customFormat="1" ht="17.7" customHeight="1">
      <c r="A209" s="522"/>
      <c r="B209" s="516"/>
      <c r="C209" s="522"/>
      <c r="D209" s="479"/>
      <c r="E209" s="512"/>
      <c r="F209" s="511"/>
      <c r="G209" s="505" t="s">
        <v>88</v>
      </c>
      <c r="H209" s="505"/>
      <c r="I209" s="505"/>
      <c r="J209" s="505"/>
      <c r="K209" s="505"/>
    </row>
    <row r="210" spans="1:11" s="90" customFormat="1" ht="18" customHeight="1">
      <c r="A210" s="536"/>
      <c r="B210" s="517"/>
      <c r="C210" s="536"/>
      <c r="D210" s="479"/>
      <c r="E210" s="513"/>
      <c r="F210" s="513"/>
      <c r="G210" s="47"/>
      <c r="H210" s="505" t="s">
        <v>146</v>
      </c>
      <c r="I210" s="505"/>
      <c r="J210" s="505"/>
      <c r="K210" s="505"/>
    </row>
  </sheetData>
  <mergeCells count="332">
    <mergeCell ref="E117:I117"/>
    <mergeCell ref="D118:D120"/>
    <mergeCell ref="E118:E120"/>
    <mergeCell ref="F118:K118"/>
    <mergeCell ref="F119:F120"/>
    <mergeCell ref="G119:K119"/>
    <mergeCell ref="H120:K120"/>
    <mergeCell ref="E121:I121"/>
    <mergeCell ref="D122:D124"/>
    <mergeCell ref="E122:E124"/>
    <mergeCell ref="F122:K122"/>
    <mergeCell ref="F123:F124"/>
    <mergeCell ref="G123:K123"/>
    <mergeCell ref="H124:K124"/>
    <mergeCell ref="A11:I11"/>
    <mergeCell ref="A12:I12"/>
    <mergeCell ref="A13:I13"/>
    <mergeCell ref="C14:I14"/>
    <mergeCell ref="B15:B18"/>
    <mergeCell ref="C15:C18"/>
    <mergeCell ref="E15:I15"/>
    <mergeCell ref="D16:D18"/>
    <mergeCell ref="E16:E18"/>
    <mergeCell ref="A14:A124"/>
    <mergeCell ref="B109:B124"/>
    <mergeCell ref="C109:C124"/>
    <mergeCell ref="C20:I20"/>
    <mergeCell ref="B21:B35"/>
    <mergeCell ref="C21:C35"/>
    <mergeCell ref="E21:I21"/>
    <mergeCell ref="D22:D26"/>
    <mergeCell ref="E22:E26"/>
    <mergeCell ref="F22:K22"/>
    <mergeCell ref="F23:F26"/>
    <mergeCell ref="F16:K16"/>
    <mergeCell ref="F17:F18"/>
    <mergeCell ref="G17:K17"/>
    <mergeCell ref="H18:K18"/>
    <mergeCell ref="A9:A10"/>
    <mergeCell ref="B9:C9"/>
    <mergeCell ref="D9:G9"/>
    <mergeCell ref="H9:H10"/>
    <mergeCell ref="I9:I10"/>
    <mergeCell ref="J9:K9"/>
    <mergeCell ref="G1:H1"/>
    <mergeCell ref="I1:K1"/>
    <mergeCell ref="I2:K2"/>
    <mergeCell ref="G3:H3"/>
    <mergeCell ref="I3:K3"/>
    <mergeCell ref="A6:K6"/>
    <mergeCell ref="H30:K30"/>
    <mergeCell ref="E32:I32"/>
    <mergeCell ref="D33:D35"/>
    <mergeCell ref="E33:E35"/>
    <mergeCell ref="F33:K33"/>
    <mergeCell ref="F34:F35"/>
    <mergeCell ref="G34:K34"/>
    <mergeCell ref="H35:K35"/>
    <mergeCell ref="G23:K23"/>
    <mergeCell ref="G24:G26"/>
    <mergeCell ref="H24:K24"/>
    <mergeCell ref="E27:I27"/>
    <mergeCell ref="D28:D31"/>
    <mergeCell ref="E28:E31"/>
    <mergeCell ref="F28:K28"/>
    <mergeCell ref="F29:F31"/>
    <mergeCell ref="G29:K29"/>
    <mergeCell ref="G30:G31"/>
    <mergeCell ref="C37:I37"/>
    <mergeCell ref="B38:B47"/>
    <mergeCell ref="C38:C47"/>
    <mergeCell ref="E38:I38"/>
    <mergeCell ref="D39:D42"/>
    <mergeCell ref="E39:E42"/>
    <mergeCell ref="F39:K39"/>
    <mergeCell ref="F40:F42"/>
    <mergeCell ref="G40:K40"/>
    <mergeCell ref="G41:G42"/>
    <mergeCell ref="H41:K41"/>
    <mergeCell ref="E43:I43"/>
    <mergeCell ref="D44:D47"/>
    <mergeCell ref="E44:E47"/>
    <mergeCell ref="F44:K44"/>
    <mergeCell ref="F45:F47"/>
    <mergeCell ref="G45:K45"/>
    <mergeCell ref="G46:G47"/>
    <mergeCell ref="H46:K46"/>
    <mergeCell ref="C49:I49"/>
    <mergeCell ref="B50:B54"/>
    <mergeCell ref="C50:C54"/>
    <mergeCell ref="E50:I50"/>
    <mergeCell ref="D51:D54"/>
    <mergeCell ref="E51:E54"/>
    <mergeCell ref="F51:K51"/>
    <mergeCell ref="F52:F54"/>
    <mergeCell ref="G52:K52"/>
    <mergeCell ref="G53:G54"/>
    <mergeCell ref="H53:K53"/>
    <mergeCell ref="C56:I56"/>
    <mergeCell ref="B57:B62"/>
    <mergeCell ref="C57:C62"/>
    <mergeCell ref="E57:I57"/>
    <mergeCell ref="D58:D62"/>
    <mergeCell ref="E58:E62"/>
    <mergeCell ref="F58:K58"/>
    <mergeCell ref="F59:F62"/>
    <mergeCell ref="G59:K59"/>
    <mergeCell ref="F67:F69"/>
    <mergeCell ref="G67:K67"/>
    <mergeCell ref="G68:G69"/>
    <mergeCell ref="H68:K68"/>
    <mergeCell ref="G60:G62"/>
    <mergeCell ref="H60:K60"/>
    <mergeCell ref="H61:H62"/>
    <mergeCell ref="C64:I64"/>
    <mergeCell ref="B65:B73"/>
    <mergeCell ref="C65:C73"/>
    <mergeCell ref="E65:I65"/>
    <mergeCell ref="D66:D69"/>
    <mergeCell ref="E66:E69"/>
    <mergeCell ref="F66:K66"/>
    <mergeCell ref="C75:I75"/>
    <mergeCell ref="B76:B86"/>
    <mergeCell ref="C76:C86"/>
    <mergeCell ref="E76:I76"/>
    <mergeCell ref="D77:D79"/>
    <mergeCell ref="E77:E80"/>
    <mergeCell ref="E70:I70"/>
    <mergeCell ref="D71:D73"/>
    <mergeCell ref="E71:E73"/>
    <mergeCell ref="F71:K71"/>
    <mergeCell ref="F72:F73"/>
    <mergeCell ref="G72:K72"/>
    <mergeCell ref="H73:K73"/>
    <mergeCell ref="D82:D86"/>
    <mergeCell ref="E82:E86"/>
    <mergeCell ref="F82:K82"/>
    <mergeCell ref="F83:F86"/>
    <mergeCell ref="G83:K83"/>
    <mergeCell ref="G84:G86"/>
    <mergeCell ref="H84:K84"/>
    <mergeCell ref="H85:H86"/>
    <mergeCell ref="F77:K77"/>
    <mergeCell ref="F78:F80"/>
    <mergeCell ref="G78:K78"/>
    <mergeCell ref="G79:G80"/>
    <mergeCell ref="H79:K79"/>
    <mergeCell ref="E81:I81"/>
    <mergeCell ref="E95:I95"/>
    <mergeCell ref="D96:D98"/>
    <mergeCell ref="E96:E98"/>
    <mergeCell ref="F96:K96"/>
    <mergeCell ref="F97:F98"/>
    <mergeCell ref="G97:K97"/>
    <mergeCell ref="H98:K98"/>
    <mergeCell ref="C88:I88"/>
    <mergeCell ref="E89:I89"/>
    <mergeCell ref="D90:D94"/>
    <mergeCell ref="E90:E94"/>
    <mergeCell ref="F90:K90"/>
    <mergeCell ref="F91:F94"/>
    <mergeCell ref="G91:K91"/>
    <mergeCell ref="G92:G94"/>
    <mergeCell ref="H92:K92"/>
    <mergeCell ref="H93:H94"/>
    <mergeCell ref="C101:I101"/>
    <mergeCell ref="B102:B106"/>
    <mergeCell ref="C102:C106"/>
    <mergeCell ref="E102:I102"/>
    <mergeCell ref="D103:D106"/>
    <mergeCell ref="E103:E106"/>
    <mergeCell ref="F103:K103"/>
    <mergeCell ref="F104:F106"/>
    <mergeCell ref="G104:K104"/>
    <mergeCell ref="G105:G106"/>
    <mergeCell ref="E113:I113"/>
    <mergeCell ref="D114:D116"/>
    <mergeCell ref="E114:E116"/>
    <mergeCell ref="F114:K114"/>
    <mergeCell ref="F115:F116"/>
    <mergeCell ref="G115:K115"/>
    <mergeCell ref="H116:K116"/>
    <mergeCell ref="H105:K105"/>
    <mergeCell ref="C108:I108"/>
    <mergeCell ref="E109:I109"/>
    <mergeCell ref="D110:D112"/>
    <mergeCell ref="E110:E112"/>
    <mergeCell ref="F110:K110"/>
    <mergeCell ref="F111:F112"/>
    <mergeCell ref="G111:K111"/>
    <mergeCell ref="H112:K112"/>
    <mergeCell ref="H201:K201"/>
    <mergeCell ref="E202:I202"/>
    <mergeCell ref="D203:D205"/>
    <mergeCell ref="E203:E205"/>
    <mergeCell ref="F203:K203"/>
    <mergeCell ref="F204:F205"/>
    <mergeCell ref="G204:K204"/>
    <mergeCell ref="H205:K205"/>
    <mergeCell ref="A196:I196"/>
    <mergeCell ref="C197:I197"/>
    <mergeCell ref="B198:B205"/>
    <mergeCell ref="C198:C205"/>
    <mergeCell ref="E198:I198"/>
    <mergeCell ref="D199:D201"/>
    <mergeCell ref="E199:E201"/>
    <mergeCell ref="F199:K199"/>
    <mergeCell ref="F200:F201"/>
    <mergeCell ref="A126:I126"/>
    <mergeCell ref="C127:I127"/>
    <mergeCell ref="B128:B136"/>
    <mergeCell ref="C128:C136"/>
    <mergeCell ref="E128:I128"/>
    <mergeCell ref="D129:D131"/>
    <mergeCell ref="E129:E131"/>
    <mergeCell ref="F129:K129"/>
    <mergeCell ref="F130:F131"/>
    <mergeCell ref="G130:K130"/>
    <mergeCell ref="C138:I138"/>
    <mergeCell ref="E139:I139"/>
    <mergeCell ref="H131:K131"/>
    <mergeCell ref="E132:I132"/>
    <mergeCell ref="D133:D136"/>
    <mergeCell ref="E133:E136"/>
    <mergeCell ref="F133:K133"/>
    <mergeCell ref="F134:F136"/>
    <mergeCell ref="G134:K134"/>
    <mergeCell ref="G135:G136"/>
    <mergeCell ref="H135:K135"/>
    <mergeCell ref="E149:I149"/>
    <mergeCell ref="F150:K150"/>
    <mergeCell ref="G151:K151"/>
    <mergeCell ref="H152:K152"/>
    <mergeCell ref="C139:C153"/>
    <mergeCell ref="B139:B153"/>
    <mergeCell ref="G152:G153"/>
    <mergeCell ref="F151:F153"/>
    <mergeCell ref="E150:E153"/>
    <mergeCell ref="E143:I143"/>
    <mergeCell ref="D144:D148"/>
    <mergeCell ref="E144:E148"/>
    <mergeCell ref="F144:K144"/>
    <mergeCell ref="F145:F148"/>
    <mergeCell ref="G145:K145"/>
    <mergeCell ref="G146:G148"/>
    <mergeCell ref="H146:K146"/>
    <mergeCell ref="H147:H148"/>
    <mergeCell ref="D140:D142"/>
    <mergeCell ref="E140:E142"/>
    <mergeCell ref="F140:K140"/>
    <mergeCell ref="F141:F142"/>
    <mergeCell ref="G141:K141"/>
    <mergeCell ref="H142:K142"/>
    <mergeCell ref="C155:I155"/>
    <mergeCell ref="E156:I156"/>
    <mergeCell ref="D157:D159"/>
    <mergeCell ref="E157:E159"/>
    <mergeCell ref="F157:K157"/>
    <mergeCell ref="F158:F159"/>
    <mergeCell ref="G158:K158"/>
    <mergeCell ref="H159:K159"/>
    <mergeCell ref="E160:I160"/>
    <mergeCell ref="H170:H171"/>
    <mergeCell ref="G169:G171"/>
    <mergeCell ref="F168:F171"/>
    <mergeCell ref="E167:E171"/>
    <mergeCell ref="D167:D171"/>
    <mergeCell ref="C156:C171"/>
    <mergeCell ref="A173:I173"/>
    <mergeCell ref="C175:C179"/>
    <mergeCell ref="B175:B179"/>
    <mergeCell ref="A174:A179"/>
    <mergeCell ref="E161:E165"/>
    <mergeCell ref="F161:K161"/>
    <mergeCell ref="F162:F165"/>
    <mergeCell ref="G162:K162"/>
    <mergeCell ref="G163:G165"/>
    <mergeCell ref="H163:K163"/>
    <mergeCell ref="H164:H165"/>
    <mergeCell ref="F167:K167"/>
    <mergeCell ref="G168:K168"/>
    <mergeCell ref="H169:K169"/>
    <mergeCell ref="D161:D165"/>
    <mergeCell ref="E166:I166"/>
    <mergeCell ref="B156:B171"/>
    <mergeCell ref="A127:A171"/>
    <mergeCell ref="A181:I181"/>
    <mergeCell ref="C174:I174"/>
    <mergeCell ref="E175:I175"/>
    <mergeCell ref="D176:D179"/>
    <mergeCell ref="E176:E179"/>
    <mergeCell ref="F176:K176"/>
    <mergeCell ref="F177:F179"/>
    <mergeCell ref="G177:K177"/>
    <mergeCell ref="G178:G179"/>
    <mergeCell ref="H178:K178"/>
    <mergeCell ref="G186:G187"/>
    <mergeCell ref="H186:K186"/>
    <mergeCell ref="F209:F210"/>
    <mergeCell ref="E208:E210"/>
    <mergeCell ref="A197:A210"/>
    <mergeCell ref="C206:I206"/>
    <mergeCell ref="C207:C210"/>
    <mergeCell ref="B207:B210"/>
    <mergeCell ref="A182:A187"/>
    <mergeCell ref="C182:I182"/>
    <mergeCell ref="B183:B187"/>
    <mergeCell ref="C183:C187"/>
    <mergeCell ref="E183:I183"/>
    <mergeCell ref="D184:D187"/>
    <mergeCell ref="E184:E187"/>
    <mergeCell ref="F184:K184"/>
    <mergeCell ref="F185:F187"/>
    <mergeCell ref="G185:K185"/>
    <mergeCell ref="E207:I207"/>
    <mergeCell ref="D208:D210"/>
    <mergeCell ref="F208:K208"/>
    <mergeCell ref="G209:K209"/>
    <mergeCell ref="H210:K210"/>
    <mergeCell ref="G200:K200"/>
    <mergeCell ref="A189:I189"/>
    <mergeCell ref="A190:A194"/>
    <mergeCell ref="C190:I190"/>
    <mergeCell ref="B191:B194"/>
    <mergeCell ref="C191:C194"/>
    <mergeCell ref="E191:I191"/>
    <mergeCell ref="D192:D194"/>
    <mergeCell ref="E192:E194"/>
    <mergeCell ref="F192:K192"/>
    <mergeCell ref="F193:F194"/>
    <mergeCell ref="G193:K193"/>
    <mergeCell ref="H194:K194"/>
  </mergeCells>
  <pageMargins left="0.7" right="0.7" top="0.75" bottom="0.75" header="0.3" footer="0.3"/>
  <pageSetup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rgb="FF92D050"/>
  </sheetPr>
  <dimension ref="A1:Y259"/>
  <sheetViews>
    <sheetView topLeftCell="A182" zoomScale="85" zoomScaleNormal="85" workbookViewId="0">
      <selection activeCell="J192" sqref="J192"/>
    </sheetView>
  </sheetViews>
  <sheetFormatPr defaultColWidth="9.109375" defaultRowHeight="17.399999999999999"/>
  <cols>
    <col min="1" max="4" width="18.21875" style="160" customWidth="1"/>
    <col min="5" max="6" width="14.44140625" style="159" customWidth="1"/>
    <col min="7" max="7" width="17.6640625" style="164" customWidth="1"/>
    <col min="8" max="8" width="14.44140625" style="164" customWidth="1"/>
    <col min="9" max="9" width="30.21875" style="256" customWidth="1"/>
    <col min="10" max="10" width="20.21875" style="160" customWidth="1"/>
    <col min="11" max="11" width="14" style="160" bestFit="1" customWidth="1"/>
    <col min="12" max="16384" width="9.109375" style="160"/>
  </cols>
  <sheetData>
    <row r="1" spans="1:10" s="21" customFormat="1" ht="33.450000000000003" customHeight="1">
      <c r="A1" s="282"/>
      <c r="B1" s="282"/>
      <c r="C1" s="282"/>
      <c r="D1" s="282"/>
      <c r="E1" s="283"/>
      <c r="F1" s="283"/>
      <c r="G1" s="284"/>
      <c r="H1" s="565" t="s">
        <v>633</v>
      </c>
      <c r="I1" s="565"/>
    </row>
    <row r="2" spans="1:10" s="21" customFormat="1">
      <c r="A2" s="282"/>
      <c r="B2" s="282"/>
      <c r="C2" s="282"/>
      <c r="D2" s="282"/>
      <c r="E2" s="283"/>
      <c r="F2" s="283"/>
      <c r="G2" s="284"/>
      <c r="H2" s="566" t="s">
        <v>97</v>
      </c>
      <c r="I2" s="566"/>
    </row>
    <row r="3" spans="1:10" s="21" customFormat="1">
      <c r="A3" s="282"/>
      <c r="B3" s="282"/>
      <c r="C3" s="282"/>
      <c r="D3" s="282"/>
      <c r="E3" s="283"/>
      <c r="F3" s="283"/>
      <c r="G3" s="284"/>
      <c r="H3" s="566" t="s">
        <v>0</v>
      </c>
      <c r="I3" s="566"/>
    </row>
    <row r="4" spans="1:10" s="21" customFormat="1">
      <c r="A4" s="282"/>
      <c r="B4" s="282"/>
      <c r="C4" s="282"/>
      <c r="D4" s="282"/>
      <c r="E4" s="283"/>
      <c r="F4" s="283"/>
      <c r="G4" s="284"/>
      <c r="H4" s="284"/>
      <c r="I4" s="285"/>
    </row>
    <row r="5" spans="1:10" s="21" customFormat="1">
      <c r="A5" s="282"/>
      <c r="B5" s="282"/>
      <c r="C5" s="282"/>
      <c r="D5" s="282"/>
      <c r="E5" s="283"/>
      <c r="F5" s="283"/>
      <c r="G5" s="284"/>
      <c r="H5" s="284"/>
      <c r="I5" s="285"/>
    </row>
    <row r="6" spans="1:10" s="21" customFormat="1" ht="32.25" customHeight="1">
      <c r="A6" s="567" t="s">
        <v>105</v>
      </c>
      <c r="B6" s="567"/>
      <c r="C6" s="567"/>
      <c r="D6" s="567"/>
      <c r="E6" s="567"/>
      <c r="F6" s="567"/>
      <c r="G6" s="567"/>
      <c r="H6" s="567"/>
      <c r="I6" s="567"/>
    </row>
    <row r="7" spans="1:10" s="21" customFormat="1" ht="21" customHeight="1">
      <c r="A7" s="567"/>
      <c r="B7" s="567"/>
      <c r="C7" s="567"/>
      <c r="D7" s="567"/>
      <c r="E7" s="567"/>
      <c r="F7" s="567"/>
      <c r="G7" s="567"/>
      <c r="H7" s="567"/>
      <c r="I7" s="567"/>
    </row>
    <row r="8" spans="1:10" s="21" customFormat="1" ht="21" customHeight="1">
      <c r="A8" s="286"/>
      <c r="B8" s="286"/>
      <c r="C8" s="286"/>
      <c r="D8" s="286"/>
      <c r="E8" s="286"/>
      <c r="F8" s="286"/>
      <c r="G8" s="286"/>
      <c r="H8" s="286"/>
      <c r="I8" s="287"/>
    </row>
    <row r="9" spans="1:10" s="21" customFormat="1" ht="21" customHeight="1">
      <c r="A9" s="286"/>
      <c r="B9" s="286"/>
      <c r="C9" s="286"/>
      <c r="D9" s="286"/>
      <c r="E9" s="286"/>
      <c r="F9" s="286"/>
      <c r="G9" s="286"/>
      <c r="H9" s="286"/>
      <c r="I9" s="287"/>
    </row>
    <row r="10" spans="1:10" s="21" customFormat="1" ht="73.8" customHeight="1">
      <c r="A10" s="568" t="s">
        <v>28</v>
      </c>
      <c r="B10" s="568" t="s">
        <v>29</v>
      </c>
      <c r="C10" s="568"/>
      <c r="D10" s="568"/>
      <c r="E10" s="568" t="s">
        <v>30</v>
      </c>
      <c r="F10" s="568" t="s">
        <v>31</v>
      </c>
      <c r="G10" s="568" t="s">
        <v>32</v>
      </c>
      <c r="H10" s="569" t="s">
        <v>71</v>
      </c>
      <c r="I10" s="569"/>
    </row>
    <row r="11" spans="1:10" s="21" customFormat="1" ht="21" customHeight="1">
      <c r="A11" s="568"/>
      <c r="B11" s="568"/>
      <c r="C11" s="568"/>
      <c r="D11" s="568"/>
      <c r="E11" s="568"/>
      <c r="F11" s="568"/>
      <c r="G11" s="568"/>
      <c r="H11" s="288" t="s">
        <v>33</v>
      </c>
      <c r="I11" s="289" t="s">
        <v>34</v>
      </c>
    </row>
    <row r="12" spans="1:10" s="21" customFormat="1">
      <c r="A12" s="290">
        <v>1</v>
      </c>
      <c r="B12" s="562">
        <v>2</v>
      </c>
      <c r="C12" s="563"/>
      <c r="D12" s="564"/>
      <c r="E12" s="288">
        <v>3</v>
      </c>
      <c r="F12" s="288">
        <v>4</v>
      </c>
      <c r="G12" s="288">
        <v>5</v>
      </c>
      <c r="H12" s="288">
        <v>6</v>
      </c>
      <c r="I12" s="366">
        <v>7</v>
      </c>
    </row>
    <row r="13" spans="1:10" s="21" customFormat="1" ht="44.85" customHeight="1">
      <c r="A13" s="561" t="s">
        <v>12</v>
      </c>
      <c r="B13" s="561"/>
      <c r="C13" s="561"/>
      <c r="D13" s="561"/>
      <c r="E13" s="561"/>
      <c r="F13" s="561"/>
      <c r="G13" s="561"/>
      <c r="H13" s="561"/>
      <c r="I13" s="252">
        <f>+I14+I21+I25+I32+I58+I76+I80+I132+I137+I159</f>
        <v>-5641745.2869999995</v>
      </c>
      <c r="J13" s="315"/>
    </row>
    <row r="14" spans="1:10" s="34" customFormat="1">
      <c r="A14" s="129" t="s">
        <v>35</v>
      </c>
      <c r="B14" s="129" t="s">
        <v>147</v>
      </c>
      <c r="C14" s="129" t="s">
        <v>76</v>
      </c>
      <c r="D14" s="545" t="s">
        <v>395</v>
      </c>
      <c r="E14" s="546"/>
      <c r="F14" s="546"/>
      <c r="G14" s="546"/>
      <c r="H14" s="547"/>
      <c r="I14" s="95">
        <f>+I15</f>
        <v>-93026.6</v>
      </c>
      <c r="J14" s="154"/>
    </row>
    <row r="15" spans="1:10" s="21" customFormat="1" ht="54.75" customHeight="1">
      <c r="A15" s="155" t="s">
        <v>400</v>
      </c>
      <c r="B15" s="548" t="s">
        <v>401</v>
      </c>
      <c r="C15" s="549"/>
      <c r="D15" s="549"/>
      <c r="E15" s="549"/>
      <c r="F15" s="549"/>
      <c r="G15" s="549"/>
      <c r="H15" s="543"/>
      <c r="I15" s="253">
        <f>+I16+I18</f>
        <v>-93026.6</v>
      </c>
    </row>
    <row r="16" spans="1:10" s="35" customFormat="1" ht="21" customHeight="1">
      <c r="A16" s="43"/>
      <c r="B16" s="380" t="s">
        <v>50</v>
      </c>
      <c r="C16" s="544"/>
      <c r="D16" s="381"/>
      <c r="E16" s="59" t="s">
        <v>79</v>
      </c>
      <c r="F16" s="59" t="s">
        <v>79</v>
      </c>
      <c r="G16" s="59" t="s">
        <v>79</v>
      </c>
      <c r="H16" s="156"/>
      <c r="I16" s="60">
        <f>+I17</f>
        <v>-90631.5</v>
      </c>
    </row>
    <row r="17" spans="1:9" s="35" customFormat="1" ht="35.549999999999997" customHeight="1">
      <c r="A17" s="43" t="s">
        <v>360</v>
      </c>
      <c r="B17" s="540" t="s">
        <v>402</v>
      </c>
      <c r="C17" s="540"/>
      <c r="D17" s="540"/>
      <c r="E17" s="36" t="s">
        <v>98</v>
      </c>
      <c r="F17" s="36" t="s">
        <v>51</v>
      </c>
      <c r="G17" s="53">
        <v>90631500</v>
      </c>
      <c r="H17" s="158">
        <v>-1</v>
      </c>
      <c r="I17" s="170">
        <f t="shared" ref="I17" si="0">+ROUNDDOWN(H17*G17/1000,1)</f>
        <v>-90631.5</v>
      </c>
    </row>
    <row r="18" spans="1:9" s="21" customFormat="1" ht="16.5" customHeight="1">
      <c r="A18" s="130"/>
      <c r="B18" s="550" t="s">
        <v>52</v>
      </c>
      <c r="C18" s="551"/>
      <c r="D18" s="552"/>
      <c r="E18" s="131"/>
      <c r="F18" s="131"/>
      <c r="G18" s="132"/>
      <c r="H18" s="132"/>
      <c r="I18" s="157">
        <f>SUM(I19:I20)</f>
        <v>-2395.1000000000004</v>
      </c>
    </row>
    <row r="19" spans="1:9" s="22" customFormat="1" ht="17.7" customHeight="1">
      <c r="A19" s="47" t="s">
        <v>99</v>
      </c>
      <c r="B19" s="553" t="s">
        <v>60</v>
      </c>
      <c r="C19" s="553"/>
      <c r="D19" s="553"/>
      <c r="E19" s="153" t="s">
        <v>53</v>
      </c>
      <c r="F19" s="153" t="s">
        <v>73</v>
      </c>
      <c r="G19" s="111">
        <v>1842400</v>
      </c>
      <c r="H19" s="158">
        <v>-1</v>
      </c>
      <c r="I19" s="170">
        <f t="shared" ref="I19:I20" si="1">+ROUNDDOWN(H19*G19/1000,1)</f>
        <v>-1842.4</v>
      </c>
    </row>
    <row r="20" spans="1:9" s="22" customFormat="1" ht="17.7" customHeight="1">
      <c r="A20" s="47" t="s">
        <v>100</v>
      </c>
      <c r="B20" s="553" t="s">
        <v>61</v>
      </c>
      <c r="C20" s="553"/>
      <c r="D20" s="553"/>
      <c r="E20" s="153" t="s">
        <v>54</v>
      </c>
      <c r="F20" s="153" t="s">
        <v>73</v>
      </c>
      <c r="G20" s="111">
        <v>552700</v>
      </c>
      <c r="H20" s="158">
        <v>-1</v>
      </c>
      <c r="I20" s="170">
        <f t="shared" si="1"/>
        <v>-552.70000000000005</v>
      </c>
    </row>
    <row r="21" spans="1:9" s="34" customFormat="1">
      <c r="A21" s="129" t="s">
        <v>35</v>
      </c>
      <c r="B21" s="129" t="s">
        <v>59</v>
      </c>
      <c r="C21" s="129" t="s">
        <v>309</v>
      </c>
      <c r="D21" s="545" t="s">
        <v>310</v>
      </c>
      <c r="E21" s="546"/>
      <c r="F21" s="546"/>
      <c r="G21" s="546"/>
      <c r="H21" s="547"/>
      <c r="I21" s="95">
        <f>+I22</f>
        <v>960</v>
      </c>
    </row>
    <row r="22" spans="1:9" s="21" customFormat="1" ht="54.75" customHeight="1">
      <c r="A22" s="155" t="s">
        <v>311</v>
      </c>
      <c r="B22" s="548" t="s">
        <v>312</v>
      </c>
      <c r="C22" s="549"/>
      <c r="D22" s="549"/>
      <c r="E22" s="549"/>
      <c r="F22" s="549"/>
      <c r="G22" s="549"/>
      <c r="H22" s="543"/>
      <c r="I22" s="253">
        <f>+I23</f>
        <v>960</v>
      </c>
    </row>
    <row r="23" spans="1:9" s="21" customFormat="1" ht="16.5" customHeight="1">
      <c r="A23" s="130"/>
      <c r="B23" s="550" t="s">
        <v>52</v>
      </c>
      <c r="C23" s="551"/>
      <c r="D23" s="552"/>
      <c r="E23" s="131"/>
      <c r="F23" s="131"/>
      <c r="G23" s="132"/>
      <c r="H23" s="132"/>
      <c r="I23" s="157">
        <f>+I24</f>
        <v>960</v>
      </c>
    </row>
    <row r="24" spans="1:9" s="22" customFormat="1" ht="17.7" customHeight="1">
      <c r="A24" s="37" t="s">
        <v>313</v>
      </c>
      <c r="B24" s="554" t="s">
        <v>64</v>
      </c>
      <c r="C24" s="554"/>
      <c r="D24" s="554"/>
      <c r="E24" s="153" t="s">
        <v>53</v>
      </c>
      <c r="F24" s="36" t="s">
        <v>73</v>
      </c>
      <c r="G24" s="53">
        <v>960000</v>
      </c>
      <c r="H24" s="171">
        <v>1</v>
      </c>
      <c r="I24" s="170">
        <f>+ROUNDUP(H24*G24/1000,1)</f>
        <v>960</v>
      </c>
    </row>
    <row r="25" spans="1:9" s="34" customFormat="1">
      <c r="A25" s="129" t="s">
        <v>35</v>
      </c>
      <c r="B25" s="129" t="s">
        <v>59</v>
      </c>
      <c r="C25" s="129" t="s">
        <v>269</v>
      </c>
      <c r="D25" s="545" t="s">
        <v>270</v>
      </c>
      <c r="E25" s="546"/>
      <c r="F25" s="546"/>
      <c r="G25" s="546"/>
      <c r="H25" s="547"/>
      <c r="I25" s="95">
        <f>+I26</f>
        <v>47495.9</v>
      </c>
    </row>
    <row r="26" spans="1:9" s="21" customFormat="1" ht="54.75" customHeight="1">
      <c r="A26" s="155" t="s">
        <v>271</v>
      </c>
      <c r="B26" s="548" t="s">
        <v>272</v>
      </c>
      <c r="C26" s="549"/>
      <c r="D26" s="549"/>
      <c r="E26" s="549"/>
      <c r="F26" s="549"/>
      <c r="G26" s="549"/>
      <c r="H26" s="543"/>
      <c r="I26" s="253">
        <f>+I27+I29</f>
        <v>47495.9</v>
      </c>
    </row>
    <row r="27" spans="1:9" s="35" customFormat="1" ht="21" customHeight="1">
      <c r="A27" s="43"/>
      <c r="B27" s="380" t="s">
        <v>50</v>
      </c>
      <c r="C27" s="544"/>
      <c r="D27" s="381"/>
      <c r="E27" s="59"/>
      <c r="F27" s="59"/>
      <c r="G27" s="59"/>
      <c r="H27" s="156"/>
      <c r="I27" s="60">
        <f>SUM(I28:I28)</f>
        <v>46000</v>
      </c>
    </row>
    <row r="28" spans="1:9" s="35" customFormat="1" ht="18" customHeight="1">
      <c r="A28" s="43" t="s">
        <v>273</v>
      </c>
      <c r="B28" s="540" t="s">
        <v>232</v>
      </c>
      <c r="C28" s="540"/>
      <c r="D28" s="540"/>
      <c r="E28" s="36" t="s">
        <v>200</v>
      </c>
      <c r="F28" s="36" t="s">
        <v>73</v>
      </c>
      <c r="G28" s="53">
        <v>46000000</v>
      </c>
      <c r="H28" s="63">
        <v>1</v>
      </c>
      <c r="I28" s="61">
        <f>+ROUNDUP(H28*G28/1000,1)</f>
        <v>46000</v>
      </c>
    </row>
    <row r="29" spans="1:9" s="21" customFormat="1" ht="16.5" customHeight="1">
      <c r="A29" s="130"/>
      <c r="B29" s="550" t="s">
        <v>52</v>
      </c>
      <c r="C29" s="551"/>
      <c r="D29" s="552"/>
      <c r="E29" s="131"/>
      <c r="F29" s="131"/>
      <c r="G29" s="132"/>
      <c r="H29" s="132"/>
      <c r="I29" s="157">
        <f>SUM(I30:I31)</f>
        <v>1495.8999999999999</v>
      </c>
    </row>
    <row r="30" spans="1:9" s="22" customFormat="1" ht="17.7" customHeight="1">
      <c r="A30" s="47" t="s">
        <v>179</v>
      </c>
      <c r="B30" s="553" t="s">
        <v>60</v>
      </c>
      <c r="C30" s="553"/>
      <c r="D30" s="553"/>
      <c r="E30" s="153" t="s">
        <v>53</v>
      </c>
      <c r="F30" s="153" t="s">
        <v>73</v>
      </c>
      <c r="G30" s="111">
        <f>2000000/82400000*G28</f>
        <v>1116504.8543689321</v>
      </c>
      <c r="H30" s="63">
        <v>1</v>
      </c>
      <c r="I30" s="61">
        <f>+ROUNDUP(H30*G30/1000,1)</f>
        <v>1116.5999999999999</v>
      </c>
    </row>
    <row r="31" spans="1:9" s="35" customFormat="1">
      <c r="A31" s="151">
        <v>98111140</v>
      </c>
      <c r="B31" s="540" t="s">
        <v>61</v>
      </c>
      <c r="C31" s="540"/>
      <c r="D31" s="540"/>
      <c r="E31" s="36" t="s">
        <v>54</v>
      </c>
      <c r="F31" s="36" t="s">
        <v>51</v>
      </c>
      <c r="G31" s="53">
        <f>+G28/82400000*679369.097</f>
        <v>379259.44735436887</v>
      </c>
      <c r="H31" s="63">
        <v>1</v>
      </c>
      <c r="I31" s="61">
        <f>+ROUNDUP(H31*G31/1000,1)</f>
        <v>379.3</v>
      </c>
    </row>
    <row r="32" spans="1:9" s="34" customFormat="1">
      <c r="A32" s="129" t="s">
        <v>35</v>
      </c>
      <c r="B32" s="129" t="s">
        <v>59</v>
      </c>
      <c r="C32" s="129" t="s">
        <v>149</v>
      </c>
      <c r="D32" s="545" t="s">
        <v>150</v>
      </c>
      <c r="E32" s="546"/>
      <c r="F32" s="546"/>
      <c r="G32" s="546"/>
      <c r="H32" s="547"/>
      <c r="I32" s="95">
        <f>+I33+I43</f>
        <v>676062.00000000012</v>
      </c>
    </row>
    <row r="33" spans="1:9" s="21" customFormat="1" ht="54.75" customHeight="1">
      <c r="A33" s="155" t="s">
        <v>404</v>
      </c>
      <c r="B33" s="548" t="s">
        <v>152</v>
      </c>
      <c r="C33" s="549"/>
      <c r="D33" s="549"/>
      <c r="E33" s="549"/>
      <c r="F33" s="549"/>
      <c r="G33" s="549"/>
      <c r="H33" s="543"/>
      <c r="I33" s="253">
        <f>+I34+I37</f>
        <v>-128040.4</v>
      </c>
    </row>
    <row r="34" spans="1:9" s="35" customFormat="1" ht="21" customHeight="1">
      <c r="A34" s="43"/>
      <c r="B34" s="380" t="s">
        <v>50</v>
      </c>
      <c r="C34" s="544"/>
      <c r="D34" s="381"/>
      <c r="E34" s="59"/>
      <c r="F34" s="59"/>
      <c r="G34" s="59"/>
      <c r="H34" s="156"/>
      <c r="I34" s="60">
        <f>SUM(I35:I36)</f>
        <v>-139786</v>
      </c>
    </row>
    <row r="35" spans="1:9" s="35" customFormat="1" ht="18" customHeight="1">
      <c r="A35" s="43" t="s">
        <v>405</v>
      </c>
      <c r="B35" s="540" t="s">
        <v>232</v>
      </c>
      <c r="C35" s="540"/>
      <c r="D35" s="540"/>
      <c r="E35" s="36" t="s">
        <v>200</v>
      </c>
      <c r="F35" s="36" t="s">
        <v>73</v>
      </c>
      <c r="G35" s="53"/>
      <c r="H35" s="63"/>
      <c r="I35" s="61">
        <v>-59786</v>
      </c>
    </row>
    <row r="36" spans="1:9" s="35" customFormat="1" ht="18" customHeight="1">
      <c r="A36" s="43" t="s">
        <v>407</v>
      </c>
      <c r="B36" s="540" t="s">
        <v>232</v>
      </c>
      <c r="C36" s="540"/>
      <c r="D36" s="540"/>
      <c r="E36" s="36" t="s">
        <v>200</v>
      </c>
      <c r="F36" s="36" t="s">
        <v>73</v>
      </c>
      <c r="G36" s="53"/>
      <c r="H36" s="63"/>
      <c r="I36" s="61">
        <v>-80000</v>
      </c>
    </row>
    <row r="37" spans="1:9" s="21" customFormat="1" ht="16.5" customHeight="1">
      <c r="A37" s="130"/>
      <c r="B37" s="550" t="s">
        <v>52</v>
      </c>
      <c r="C37" s="551"/>
      <c r="D37" s="552"/>
      <c r="E37" s="131"/>
      <c r="F37" s="131"/>
      <c r="G37" s="132"/>
      <c r="H37" s="132"/>
      <c r="I37" s="157">
        <f>SUM(I38:I42)</f>
        <v>11745.6</v>
      </c>
    </row>
    <row r="38" spans="1:9" s="22" customFormat="1" ht="17.7" customHeight="1">
      <c r="A38" s="47" t="s">
        <v>99</v>
      </c>
      <c r="B38" s="553" t="s">
        <v>60</v>
      </c>
      <c r="C38" s="553"/>
      <c r="D38" s="553"/>
      <c r="E38" s="153" t="s">
        <v>53</v>
      </c>
      <c r="F38" s="153" t="s">
        <v>73</v>
      </c>
      <c r="G38" s="111">
        <v>2195700</v>
      </c>
      <c r="H38" s="158">
        <v>-1</v>
      </c>
      <c r="I38" s="170">
        <f t="shared" ref="I38:I40" si="2">+ROUNDDOWN(H38*G38/1000,1)</f>
        <v>-2195.6999999999998</v>
      </c>
    </row>
    <row r="39" spans="1:9" s="22" customFormat="1" ht="17.7" customHeight="1">
      <c r="A39" s="47" t="s">
        <v>174</v>
      </c>
      <c r="B39" s="553" t="s">
        <v>60</v>
      </c>
      <c r="C39" s="553"/>
      <c r="D39" s="553"/>
      <c r="E39" s="153" t="s">
        <v>53</v>
      </c>
      <c r="F39" s="153" t="s">
        <v>73</v>
      </c>
      <c r="G39" s="111">
        <v>4500000</v>
      </c>
      <c r="H39" s="158">
        <v>-1</v>
      </c>
      <c r="I39" s="170">
        <f t="shared" ref="I39" si="3">+ROUNDDOWN(H39*G39/1000,1)</f>
        <v>-4500</v>
      </c>
    </row>
    <row r="40" spans="1:9" s="35" customFormat="1">
      <c r="A40" s="151" t="s">
        <v>100</v>
      </c>
      <c r="B40" s="540" t="s">
        <v>61</v>
      </c>
      <c r="C40" s="540"/>
      <c r="D40" s="540"/>
      <c r="E40" s="36" t="s">
        <v>54</v>
      </c>
      <c r="F40" s="36" t="s">
        <v>51</v>
      </c>
      <c r="G40" s="53">
        <v>658700</v>
      </c>
      <c r="H40" s="158">
        <v>-1</v>
      </c>
      <c r="I40" s="170">
        <f t="shared" si="2"/>
        <v>-658.7</v>
      </c>
    </row>
    <row r="41" spans="1:9" s="35" customFormat="1">
      <c r="A41" s="151" t="s">
        <v>175</v>
      </c>
      <c r="B41" s="540" t="s">
        <v>61</v>
      </c>
      <c r="C41" s="540"/>
      <c r="D41" s="540"/>
      <c r="E41" s="36" t="s">
        <v>54</v>
      </c>
      <c r="F41" s="36" t="s">
        <v>51</v>
      </c>
      <c r="G41" s="53">
        <v>900000</v>
      </c>
      <c r="H41" s="158">
        <v>-1</v>
      </c>
      <c r="I41" s="170">
        <f t="shared" ref="I41" si="4">+ROUNDDOWN(H41*G41/1000,1)</f>
        <v>-900</v>
      </c>
    </row>
    <row r="42" spans="1:9" s="35" customFormat="1" ht="33.9" customHeight="1">
      <c r="A42" s="43" t="s">
        <v>455</v>
      </c>
      <c r="B42" s="540" t="s">
        <v>80</v>
      </c>
      <c r="C42" s="540"/>
      <c r="D42" s="540"/>
      <c r="E42" s="36" t="s">
        <v>53</v>
      </c>
      <c r="F42" s="36" t="s">
        <v>73</v>
      </c>
      <c r="G42" s="53">
        <v>19999996.800000001</v>
      </c>
      <c r="H42" s="63">
        <v>1</v>
      </c>
      <c r="I42" s="61">
        <f>+ROUNDUP(H42*G42/1000,1)</f>
        <v>20000</v>
      </c>
    </row>
    <row r="43" spans="1:9" s="21" customFormat="1" ht="54.75" customHeight="1">
      <c r="A43" s="155" t="s">
        <v>233</v>
      </c>
      <c r="B43" s="548" t="s">
        <v>234</v>
      </c>
      <c r="C43" s="549"/>
      <c r="D43" s="549"/>
      <c r="E43" s="549"/>
      <c r="F43" s="549"/>
      <c r="G43" s="549"/>
      <c r="H43" s="543"/>
      <c r="I43" s="253">
        <f>+I44</f>
        <v>804102.40000000014</v>
      </c>
    </row>
    <row r="44" spans="1:9" s="35" customFormat="1" ht="21" customHeight="1">
      <c r="A44" s="43"/>
      <c r="B44" s="380" t="s">
        <v>235</v>
      </c>
      <c r="C44" s="544"/>
      <c r="D44" s="381"/>
      <c r="E44" s="59" t="s">
        <v>79</v>
      </c>
      <c r="F44" s="59" t="s">
        <v>79</v>
      </c>
      <c r="G44" s="59" t="s">
        <v>79</v>
      </c>
      <c r="H44" s="156"/>
      <c r="I44" s="60">
        <f>SUM(I45:I57)</f>
        <v>804102.40000000014</v>
      </c>
    </row>
    <row r="45" spans="1:9" s="35" customFormat="1">
      <c r="A45" s="43" t="s">
        <v>236</v>
      </c>
      <c r="B45" s="540" t="s">
        <v>237</v>
      </c>
      <c r="C45" s="540" t="s">
        <v>238</v>
      </c>
      <c r="D45" s="540" t="s">
        <v>239</v>
      </c>
      <c r="E45" s="36" t="s">
        <v>238</v>
      </c>
      <c r="F45" s="36" t="s">
        <v>239</v>
      </c>
      <c r="G45" s="53">
        <v>78700048.799999997</v>
      </c>
      <c r="H45" s="158">
        <v>1</v>
      </c>
      <c r="I45" s="61">
        <f t="shared" ref="I45:I50" si="5">+ROUNDUP(H45*G45/1000,1)</f>
        <v>78700.100000000006</v>
      </c>
    </row>
    <row r="46" spans="1:9" s="35" customFormat="1">
      <c r="A46" s="43" t="s">
        <v>248</v>
      </c>
      <c r="B46" s="540" t="s">
        <v>249</v>
      </c>
      <c r="C46" s="540" t="s">
        <v>238</v>
      </c>
      <c r="D46" s="540" t="s">
        <v>239</v>
      </c>
      <c r="E46" s="36" t="s">
        <v>238</v>
      </c>
      <c r="F46" s="36" t="s">
        <v>239</v>
      </c>
      <c r="G46" s="53">
        <v>398202000</v>
      </c>
      <c r="H46" s="158">
        <v>1</v>
      </c>
      <c r="I46" s="61">
        <f t="shared" si="5"/>
        <v>398202</v>
      </c>
    </row>
    <row r="47" spans="1:9" s="35" customFormat="1">
      <c r="A47" s="43" t="s">
        <v>240</v>
      </c>
      <c r="B47" s="540" t="s">
        <v>241</v>
      </c>
      <c r="C47" s="540" t="s">
        <v>238</v>
      </c>
      <c r="D47" s="540" t="s">
        <v>239</v>
      </c>
      <c r="E47" s="36" t="s">
        <v>238</v>
      </c>
      <c r="F47" s="36" t="s">
        <v>242</v>
      </c>
      <c r="G47" s="53">
        <v>9720000</v>
      </c>
      <c r="H47" s="158">
        <v>1</v>
      </c>
      <c r="I47" s="61">
        <f t="shared" si="5"/>
        <v>9720</v>
      </c>
    </row>
    <row r="48" spans="1:9" s="35" customFormat="1">
      <c r="A48" s="43" t="s">
        <v>255</v>
      </c>
      <c r="B48" s="540" t="s">
        <v>249</v>
      </c>
      <c r="C48" s="540" t="s">
        <v>238</v>
      </c>
      <c r="D48" s="540" t="s">
        <v>239</v>
      </c>
      <c r="E48" s="36" t="s">
        <v>53</v>
      </c>
      <c r="F48" s="36" t="s">
        <v>239</v>
      </c>
      <c r="G48" s="53">
        <v>52140000</v>
      </c>
      <c r="H48" s="158">
        <v>1</v>
      </c>
      <c r="I48" s="61">
        <f t="shared" si="5"/>
        <v>52140</v>
      </c>
    </row>
    <row r="49" spans="1:9" s="35" customFormat="1">
      <c r="A49" s="43" t="s">
        <v>243</v>
      </c>
      <c r="B49" s="540" t="s">
        <v>244</v>
      </c>
      <c r="C49" s="540" t="s">
        <v>238</v>
      </c>
      <c r="D49" s="540" t="s">
        <v>242</v>
      </c>
      <c r="E49" s="36" t="s">
        <v>238</v>
      </c>
      <c r="F49" s="36" t="s">
        <v>242</v>
      </c>
      <c r="G49" s="53">
        <v>291760.61</v>
      </c>
      <c r="H49" s="158">
        <v>13</v>
      </c>
      <c r="I49" s="61">
        <f t="shared" si="5"/>
        <v>3792.9</v>
      </c>
    </row>
    <row r="50" spans="1:9" s="35" customFormat="1">
      <c r="A50" s="43" t="s">
        <v>245</v>
      </c>
      <c r="B50" s="540" t="s">
        <v>246</v>
      </c>
      <c r="C50" s="540" t="s">
        <v>238</v>
      </c>
      <c r="D50" s="540" t="s">
        <v>242</v>
      </c>
      <c r="E50" s="36" t="s">
        <v>238</v>
      </c>
      <c r="F50" s="36" t="s">
        <v>242</v>
      </c>
      <c r="G50" s="53">
        <v>445920</v>
      </c>
      <c r="H50" s="158">
        <v>1</v>
      </c>
      <c r="I50" s="61">
        <f t="shared" si="5"/>
        <v>446</v>
      </c>
    </row>
    <row r="51" spans="1:9" s="35" customFormat="1">
      <c r="A51" s="43" t="s">
        <v>256</v>
      </c>
      <c r="B51" s="540" t="s">
        <v>257</v>
      </c>
      <c r="C51" s="540" t="s">
        <v>238</v>
      </c>
      <c r="D51" s="540" t="s">
        <v>247</v>
      </c>
      <c r="E51" s="36" t="s">
        <v>53</v>
      </c>
      <c r="F51" s="36" t="s">
        <v>242</v>
      </c>
      <c r="G51" s="53">
        <v>348000</v>
      </c>
      <c r="H51" s="158">
        <v>1</v>
      </c>
      <c r="I51" s="61">
        <f t="shared" ref="I51" si="6">+ROUNDUP(H51*G51/1000,1)</f>
        <v>348</v>
      </c>
    </row>
    <row r="52" spans="1:9" s="35" customFormat="1">
      <c r="A52" s="43" t="s">
        <v>258</v>
      </c>
      <c r="B52" s="540" t="s">
        <v>259</v>
      </c>
      <c r="C52" s="540" t="s">
        <v>238</v>
      </c>
      <c r="D52" s="540" t="s">
        <v>247</v>
      </c>
      <c r="E52" s="36" t="s">
        <v>238</v>
      </c>
      <c r="F52" s="36" t="s">
        <v>242</v>
      </c>
      <c r="G52" s="53">
        <v>3558000</v>
      </c>
      <c r="H52" s="158">
        <v>1</v>
      </c>
      <c r="I52" s="61">
        <f t="shared" ref="I52:I53" si="7">+ROUNDUP(H52*G52/1000,1)</f>
        <v>3558</v>
      </c>
    </row>
    <row r="53" spans="1:9" s="35" customFormat="1">
      <c r="A53" s="43" t="s">
        <v>261</v>
      </c>
      <c r="B53" s="540" t="s">
        <v>262</v>
      </c>
      <c r="C53" s="540" t="s">
        <v>238</v>
      </c>
      <c r="D53" s="540" t="s">
        <v>247</v>
      </c>
      <c r="E53" s="36" t="s">
        <v>238</v>
      </c>
      <c r="F53" s="36" t="s">
        <v>239</v>
      </c>
      <c r="G53" s="53">
        <v>66331737</v>
      </c>
      <c r="H53" s="158">
        <v>1</v>
      </c>
      <c r="I53" s="61">
        <f t="shared" si="7"/>
        <v>66331.8</v>
      </c>
    </row>
    <row r="54" spans="1:9" s="35" customFormat="1" ht="17.7" customHeight="1">
      <c r="A54" s="43" t="s">
        <v>263</v>
      </c>
      <c r="B54" s="540" t="s">
        <v>249</v>
      </c>
      <c r="C54" s="540" t="s">
        <v>238</v>
      </c>
      <c r="D54" s="540" t="s">
        <v>239</v>
      </c>
      <c r="E54" s="36" t="s">
        <v>238</v>
      </c>
      <c r="F54" s="36" t="s">
        <v>239</v>
      </c>
      <c r="G54" s="53">
        <v>35994737</v>
      </c>
      <c r="H54" s="158">
        <v>1</v>
      </c>
      <c r="I54" s="61">
        <f t="shared" ref="I54:I55" si="8">+ROUNDUP(H54*G54/1000,1)</f>
        <v>35994.799999999996</v>
      </c>
    </row>
    <row r="55" spans="1:9" s="35" customFormat="1">
      <c r="A55" s="43" t="s">
        <v>264</v>
      </c>
      <c r="B55" s="540" t="s">
        <v>262</v>
      </c>
      <c r="C55" s="540" t="s">
        <v>238</v>
      </c>
      <c r="D55" s="540" t="s">
        <v>247</v>
      </c>
      <c r="E55" s="36" t="s">
        <v>98</v>
      </c>
      <c r="F55" s="36" t="s">
        <v>239</v>
      </c>
      <c r="G55" s="53">
        <v>93221897</v>
      </c>
      <c r="H55" s="158">
        <v>1</v>
      </c>
      <c r="I55" s="61">
        <f t="shared" si="8"/>
        <v>93221.900000000009</v>
      </c>
    </row>
    <row r="56" spans="1:9" s="35" customFormat="1" ht="17.7" customHeight="1">
      <c r="A56" s="43" t="s">
        <v>265</v>
      </c>
      <c r="B56" s="540" t="s">
        <v>249</v>
      </c>
      <c r="C56" s="540" t="s">
        <v>238</v>
      </c>
      <c r="D56" s="540" t="s">
        <v>239</v>
      </c>
      <c r="E56" s="36" t="s">
        <v>238</v>
      </c>
      <c r="F56" s="36" t="s">
        <v>239</v>
      </c>
      <c r="G56" s="53">
        <v>43916875</v>
      </c>
      <c r="H56" s="158">
        <v>1</v>
      </c>
      <c r="I56" s="61">
        <f t="shared" ref="I56" si="9">+ROUNDUP(H56*G56/1000,1)</f>
        <v>43916.9</v>
      </c>
    </row>
    <row r="57" spans="1:9" s="35" customFormat="1">
      <c r="A57" s="43" t="s">
        <v>267</v>
      </c>
      <c r="B57" s="540" t="s">
        <v>268</v>
      </c>
      <c r="C57" s="540" t="s">
        <v>238</v>
      </c>
      <c r="D57" s="540" t="s">
        <v>247</v>
      </c>
      <c r="E57" s="36" t="s">
        <v>53</v>
      </c>
      <c r="F57" s="36" t="s">
        <v>242</v>
      </c>
      <c r="G57" s="53">
        <v>70920</v>
      </c>
      <c r="H57" s="158">
        <v>250</v>
      </c>
      <c r="I57" s="61">
        <f t="shared" ref="I57" si="10">+ROUNDUP(H57*G57/1000,1)</f>
        <v>17730</v>
      </c>
    </row>
    <row r="58" spans="1:9" s="34" customFormat="1" ht="38.1" customHeight="1">
      <c r="A58" s="129" t="s">
        <v>35</v>
      </c>
      <c r="B58" s="129" t="s">
        <v>59</v>
      </c>
      <c r="C58" s="129" t="s">
        <v>345</v>
      </c>
      <c r="D58" s="545" t="s">
        <v>346</v>
      </c>
      <c r="E58" s="546"/>
      <c r="F58" s="546"/>
      <c r="G58" s="546"/>
      <c r="H58" s="547"/>
      <c r="I58" s="95">
        <f>+I59</f>
        <v>-111367</v>
      </c>
    </row>
    <row r="59" spans="1:9" s="21" customFormat="1" ht="54.75" customHeight="1">
      <c r="A59" s="155" t="s">
        <v>347</v>
      </c>
      <c r="B59" s="548" t="s">
        <v>298</v>
      </c>
      <c r="C59" s="549"/>
      <c r="D59" s="549"/>
      <c r="E59" s="549"/>
      <c r="F59" s="549"/>
      <c r="G59" s="549"/>
      <c r="H59" s="543"/>
      <c r="I59" s="253">
        <f>+I60+I64</f>
        <v>-111367</v>
      </c>
    </row>
    <row r="60" spans="1:9" s="35" customFormat="1" ht="21" customHeight="1">
      <c r="A60" s="43"/>
      <c r="B60" s="380" t="s">
        <v>50</v>
      </c>
      <c r="C60" s="544"/>
      <c r="D60" s="555"/>
      <c r="E60" s="59" t="s">
        <v>79</v>
      </c>
      <c r="F60" s="59" t="s">
        <v>79</v>
      </c>
      <c r="G60" s="59" t="s">
        <v>79</v>
      </c>
      <c r="H60" s="168"/>
      <c r="I60" s="60">
        <f>SUM(I61:I63)</f>
        <v>-80319.399999999994</v>
      </c>
    </row>
    <row r="61" spans="1:9" s="22" customFormat="1" ht="34.950000000000003" customHeight="1">
      <c r="A61" s="47" t="s">
        <v>443</v>
      </c>
      <c r="B61" s="553" t="s">
        <v>442</v>
      </c>
      <c r="C61" s="553"/>
      <c r="D61" s="553"/>
      <c r="E61" s="153" t="s">
        <v>98</v>
      </c>
      <c r="F61" s="153" t="s">
        <v>73</v>
      </c>
      <c r="G61" s="111">
        <v>20000040</v>
      </c>
      <c r="H61" s="169">
        <v>-1</v>
      </c>
      <c r="I61" s="170">
        <f>+ROUNDDOWN(H61*G61/1000,1)</f>
        <v>-20000</v>
      </c>
    </row>
    <row r="62" spans="1:9" s="22" customFormat="1" ht="34.950000000000003" customHeight="1">
      <c r="A62" s="47" t="s">
        <v>441</v>
      </c>
      <c r="B62" s="553" t="s">
        <v>442</v>
      </c>
      <c r="C62" s="553"/>
      <c r="D62" s="553"/>
      <c r="E62" s="153" t="s">
        <v>98</v>
      </c>
      <c r="F62" s="153" t="s">
        <v>73</v>
      </c>
      <c r="G62" s="111">
        <v>20000000</v>
      </c>
      <c r="H62" s="169">
        <v>-1</v>
      </c>
      <c r="I62" s="170">
        <f>+ROUNDDOWN(H62*G62/1000,1)</f>
        <v>-20000</v>
      </c>
    </row>
    <row r="63" spans="1:9" s="22" customFormat="1" ht="34.950000000000003" customHeight="1">
      <c r="A63" s="47" t="s">
        <v>444</v>
      </c>
      <c r="B63" s="553" t="s">
        <v>442</v>
      </c>
      <c r="C63" s="553"/>
      <c r="D63" s="553"/>
      <c r="E63" s="153" t="s">
        <v>98</v>
      </c>
      <c r="F63" s="153" t="s">
        <v>73</v>
      </c>
      <c r="G63" s="111">
        <v>40319460</v>
      </c>
      <c r="H63" s="169">
        <v>-1</v>
      </c>
      <c r="I63" s="170">
        <f>+ROUNDDOWN(H63*G63/1000,1)</f>
        <v>-40319.4</v>
      </c>
    </row>
    <row r="64" spans="1:9" s="35" customFormat="1" ht="21" customHeight="1">
      <c r="A64" s="43"/>
      <c r="B64" s="380" t="s">
        <v>52</v>
      </c>
      <c r="C64" s="544"/>
      <c r="D64" s="555"/>
      <c r="E64" s="59" t="s">
        <v>79</v>
      </c>
      <c r="F64" s="59" t="s">
        <v>79</v>
      </c>
      <c r="G64" s="59" t="s">
        <v>79</v>
      </c>
      <c r="H64" s="168"/>
      <c r="I64" s="60">
        <f>SUM(I65:I75)</f>
        <v>-31047.599999999999</v>
      </c>
    </row>
    <row r="65" spans="1:9" s="35" customFormat="1">
      <c r="A65" s="43" t="s">
        <v>414</v>
      </c>
      <c r="B65" s="540" t="s">
        <v>60</v>
      </c>
      <c r="C65" s="540"/>
      <c r="D65" s="540"/>
      <c r="E65" s="36" t="s">
        <v>53</v>
      </c>
      <c r="F65" s="36" t="s">
        <v>51</v>
      </c>
      <c r="G65" s="53">
        <f>543184-143100</f>
        <v>400084</v>
      </c>
      <c r="H65" s="171">
        <v>-1</v>
      </c>
      <c r="I65" s="170">
        <f t="shared" ref="I65" si="11">+ROUNDDOWN(H65*G65/1000,1)</f>
        <v>-400</v>
      </c>
    </row>
    <row r="66" spans="1:9" s="35" customFormat="1">
      <c r="A66" s="43" t="s">
        <v>192</v>
      </c>
      <c r="B66" s="540" t="s">
        <v>60</v>
      </c>
      <c r="C66" s="540"/>
      <c r="D66" s="540"/>
      <c r="E66" s="36" t="s">
        <v>53</v>
      </c>
      <c r="F66" s="36" t="s">
        <v>51</v>
      </c>
      <c r="G66" s="53">
        <v>400000</v>
      </c>
      <c r="H66" s="171">
        <v>-1</v>
      </c>
      <c r="I66" s="170">
        <f t="shared" ref="I66" si="12">+ROUNDDOWN(H66*G66/1000,1)</f>
        <v>-400</v>
      </c>
    </row>
    <row r="67" spans="1:9" s="35" customFormat="1">
      <c r="A67" s="43" t="s">
        <v>445</v>
      </c>
      <c r="B67" s="540" t="s">
        <v>60</v>
      </c>
      <c r="C67" s="540"/>
      <c r="D67" s="540"/>
      <c r="E67" s="36" t="s">
        <v>53</v>
      </c>
      <c r="F67" s="36" t="s">
        <v>51</v>
      </c>
      <c r="G67" s="53"/>
      <c r="H67" s="171"/>
      <c r="I67" s="170">
        <v>-502.5</v>
      </c>
    </row>
    <row r="68" spans="1:9" s="35" customFormat="1">
      <c r="A68" s="151" t="s">
        <v>415</v>
      </c>
      <c r="B68" s="540" t="s">
        <v>61</v>
      </c>
      <c r="C68" s="540"/>
      <c r="D68" s="540"/>
      <c r="E68" s="36" t="s">
        <v>54</v>
      </c>
      <c r="F68" s="36" t="s">
        <v>51</v>
      </c>
      <c r="G68" s="53">
        <f>353070-67000</f>
        <v>286070</v>
      </c>
      <c r="H68" s="171">
        <v>-1</v>
      </c>
      <c r="I68" s="170">
        <f t="shared" ref="I68:I70" si="13">+ROUNDDOWN(H68*G68/1000,1)</f>
        <v>-286</v>
      </c>
    </row>
    <row r="69" spans="1:9" s="35" customFormat="1">
      <c r="A69" s="151" t="s">
        <v>423</v>
      </c>
      <c r="B69" s="540" t="s">
        <v>61</v>
      </c>
      <c r="C69" s="540"/>
      <c r="D69" s="540"/>
      <c r="E69" s="36" t="s">
        <v>54</v>
      </c>
      <c r="F69" s="36" t="s">
        <v>51</v>
      </c>
      <c r="G69" s="53">
        <v>260000</v>
      </c>
      <c r="H69" s="171">
        <v>-1</v>
      </c>
      <c r="I69" s="170">
        <f t="shared" si="13"/>
        <v>-260</v>
      </c>
    </row>
    <row r="70" spans="1:9" s="35" customFormat="1">
      <c r="A70" s="151" t="s">
        <v>446</v>
      </c>
      <c r="B70" s="540" t="s">
        <v>61</v>
      </c>
      <c r="C70" s="540"/>
      <c r="D70" s="540"/>
      <c r="E70" s="36" t="s">
        <v>54</v>
      </c>
      <c r="F70" s="36" t="s">
        <v>51</v>
      </c>
      <c r="G70" s="53">
        <v>524152</v>
      </c>
      <c r="H70" s="171">
        <v>-1</v>
      </c>
      <c r="I70" s="170">
        <f t="shared" si="13"/>
        <v>-524.1</v>
      </c>
    </row>
    <row r="71" spans="1:9" s="22" customFormat="1">
      <c r="A71" s="47" t="s">
        <v>207</v>
      </c>
      <c r="B71" s="553" t="s">
        <v>80</v>
      </c>
      <c r="C71" s="553"/>
      <c r="D71" s="553"/>
      <c r="E71" s="153" t="s">
        <v>53</v>
      </c>
      <c r="F71" s="153" t="s">
        <v>73</v>
      </c>
      <c r="G71" s="111">
        <v>5000000</v>
      </c>
      <c r="H71" s="169">
        <v>-1</v>
      </c>
      <c r="I71" s="170">
        <f>+ROUNDDOWN(H71*G71/1000,1)</f>
        <v>-5000</v>
      </c>
    </row>
    <row r="72" spans="1:9" s="22" customFormat="1">
      <c r="A72" s="47" t="s">
        <v>348</v>
      </c>
      <c r="B72" s="553" t="s">
        <v>80</v>
      </c>
      <c r="C72" s="553"/>
      <c r="D72" s="553"/>
      <c r="E72" s="153" t="s">
        <v>53</v>
      </c>
      <c r="F72" s="153" t="s">
        <v>73</v>
      </c>
      <c r="G72" s="111">
        <v>7500000</v>
      </c>
      <c r="H72" s="169">
        <v>-1</v>
      </c>
      <c r="I72" s="170">
        <f t="shared" ref="I72:I74" si="14">+ROUNDDOWN(H72*G72/1000,1)</f>
        <v>-7500</v>
      </c>
    </row>
    <row r="73" spans="1:9" s="22" customFormat="1" ht="17.7" customHeight="1">
      <c r="A73" s="37" t="s">
        <v>208</v>
      </c>
      <c r="B73" s="554" t="s">
        <v>64</v>
      </c>
      <c r="C73" s="554"/>
      <c r="D73" s="554"/>
      <c r="E73" s="153" t="s">
        <v>53</v>
      </c>
      <c r="F73" s="36" t="s">
        <v>73</v>
      </c>
      <c r="G73" s="53">
        <v>500000</v>
      </c>
      <c r="H73" s="169">
        <v>-1</v>
      </c>
      <c r="I73" s="170">
        <f t="shared" si="14"/>
        <v>-500</v>
      </c>
    </row>
    <row r="74" spans="1:9" s="22" customFormat="1" ht="17.7" customHeight="1">
      <c r="A74" s="37" t="s">
        <v>349</v>
      </c>
      <c r="B74" s="554" t="s">
        <v>64</v>
      </c>
      <c r="C74" s="554"/>
      <c r="D74" s="554"/>
      <c r="E74" s="153" t="s">
        <v>53</v>
      </c>
      <c r="F74" s="36" t="s">
        <v>73</v>
      </c>
      <c r="G74" s="53">
        <v>675000</v>
      </c>
      <c r="H74" s="171">
        <v>-1</v>
      </c>
      <c r="I74" s="170">
        <f t="shared" si="14"/>
        <v>-675</v>
      </c>
    </row>
    <row r="75" spans="1:9" s="35" customFormat="1" ht="36.6" customHeight="1">
      <c r="A75" s="43" t="s">
        <v>470</v>
      </c>
      <c r="B75" s="540" t="s">
        <v>471</v>
      </c>
      <c r="C75" s="540"/>
      <c r="D75" s="540"/>
      <c r="E75" s="36" t="s">
        <v>53</v>
      </c>
      <c r="F75" s="36" t="s">
        <v>51</v>
      </c>
      <c r="G75" s="53">
        <v>15000000</v>
      </c>
      <c r="H75" s="63">
        <v>-1</v>
      </c>
      <c r="I75" s="61">
        <f>+ROUNDDOWN(H75*G75/1000,1)</f>
        <v>-15000</v>
      </c>
    </row>
    <row r="76" spans="1:9" s="3" customFormat="1" ht="17.7" customHeight="1">
      <c r="A76" s="166" t="s">
        <v>74</v>
      </c>
      <c r="B76" s="166" t="s">
        <v>147</v>
      </c>
      <c r="C76" s="166" t="s">
        <v>76</v>
      </c>
      <c r="D76" s="556" t="s">
        <v>182</v>
      </c>
      <c r="E76" s="557"/>
      <c r="F76" s="557"/>
      <c r="G76" s="557"/>
      <c r="H76" s="547"/>
      <c r="I76" s="254">
        <f>+I77</f>
        <v>29138</v>
      </c>
    </row>
    <row r="77" spans="1:9" s="21" customFormat="1" ht="54.75" customHeight="1">
      <c r="A77" s="167" t="s">
        <v>170</v>
      </c>
      <c r="B77" s="541" t="s">
        <v>171</v>
      </c>
      <c r="C77" s="542"/>
      <c r="D77" s="542"/>
      <c r="E77" s="542"/>
      <c r="F77" s="542"/>
      <c r="G77" s="542"/>
      <c r="H77" s="543"/>
      <c r="I77" s="255">
        <f>+I78</f>
        <v>29138</v>
      </c>
    </row>
    <row r="78" spans="1:9" s="19" customFormat="1" ht="21" customHeight="1">
      <c r="A78" s="203"/>
      <c r="B78" s="380" t="s">
        <v>78</v>
      </c>
      <c r="C78" s="544"/>
      <c r="D78" s="381"/>
      <c r="E78" s="59"/>
      <c r="F78" s="59"/>
      <c r="G78" s="59"/>
      <c r="H78" s="204"/>
      <c r="I78" s="60">
        <f>+I79</f>
        <v>29138</v>
      </c>
    </row>
    <row r="79" spans="1:9" s="35" customFormat="1" ht="37.049999999999997" customHeight="1">
      <c r="A79" s="151" t="s">
        <v>451</v>
      </c>
      <c r="B79" s="540" t="s">
        <v>450</v>
      </c>
      <c r="C79" s="540"/>
      <c r="D79" s="540"/>
      <c r="E79" s="36" t="s">
        <v>98</v>
      </c>
      <c r="F79" s="36" t="s">
        <v>73</v>
      </c>
      <c r="G79" s="53">
        <v>29137934</v>
      </c>
      <c r="H79" s="169">
        <v>1</v>
      </c>
      <c r="I79" s="170">
        <f>+ROUNDUP(H79*G79/1000,1)</f>
        <v>29138</v>
      </c>
    </row>
    <row r="80" spans="1:9" s="3" customFormat="1" ht="17.7" customHeight="1">
      <c r="A80" s="166" t="s">
        <v>74</v>
      </c>
      <c r="B80" s="166" t="s">
        <v>59</v>
      </c>
      <c r="C80" s="166" t="s">
        <v>76</v>
      </c>
      <c r="D80" s="556" t="s">
        <v>94</v>
      </c>
      <c r="E80" s="557"/>
      <c r="F80" s="557"/>
      <c r="G80" s="557"/>
      <c r="H80" s="547"/>
      <c r="I80" s="254">
        <f>+I81+I99+I129</f>
        <v>-6141628.9869999997</v>
      </c>
    </row>
    <row r="81" spans="1:9" s="21" customFormat="1" ht="54.75" customHeight="1">
      <c r="A81" s="167" t="s">
        <v>184</v>
      </c>
      <c r="B81" s="541" t="s">
        <v>185</v>
      </c>
      <c r="C81" s="542"/>
      <c r="D81" s="542"/>
      <c r="E81" s="542"/>
      <c r="F81" s="542"/>
      <c r="G81" s="542"/>
      <c r="H81" s="543"/>
      <c r="I81" s="255">
        <f>+I82+I97</f>
        <v>-1938065.6869999999</v>
      </c>
    </row>
    <row r="82" spans="1:9" s="19" customFormat="1" ht="21" customHeight="1">
      <c r="A82" s="203"/>
      <c r="B82" s="380" t="s">
        <v>78</v>
      </c>
      <c r="C82" s="544"/>
      <c r="D82" s="381"/>
      <c r="E82" s="59"/>
      <c r="F82" s="59"/>
      <c r="G82" s="59"/>
      <c r="H82" s="204"/>
      <c r="I82" s="60">
        <f>SUM(I83:I96)</f>
        <v>-1939665.6869999999</v>
      </c>
    </row>
    <row r="83" spans="1:9" s="35" customFormat="1" ht="37.049999999999997" customHeight="1">
      <c r="A83" s="151" t="s">
        <v>636</v>
      </c>
      <c r="B83" s="540" t="s">
        <v>637</v>
      </c>
      <c r="C83" s="540"/>
      <c r="D83" s="540"/>
      <c r="E83" s="36" t="s">
        <v>177</v>
      </c>
      <c r="F83" s="36" t="s">
        <v>73</v>
      </c>
      <c r="G83" s="53"/>
      <c r="H83" s="169"/>
      <c r="I83" s="170">
        <v>-11962.7</v>
      </c>
    </row>
    <row r="84" spans="1:9" s="35" customFormat="1" ht="37.049999999999997" customHeight="1">
      <c r="A84" s="151" t="s">
        <v>644</v>
      </c>
      <c r="B84" s="540" t="s">
        <v>637</v>
      </c>
      <c r="C84" s="540"/>
      <c r="D84" s="540"/>
      <c r="E84" s="36" t="s">
        <v>177</v>
      </c>
      <c r="F84" s="36" t="s">
        <v>73</v>
      </c>
      <c r="G84" s="53"/>
      <c r="H84" s="169"/>
      <c r="I84" s="170">
        <v>-53440.800000000003</v>
      </c>
    </row>
    <row r="85" spans="1:9" s="35" customFormat="1" ht="37.049999999999997" customHeight="1">
      <c r="A85" s="151" t="s">
        <v>723</v>
      </c>
      <c r="B85" s="540" t="s">
        <v>637</v>
      </c>
      <c r="C85" s="540"/>
      <c r="D85" s="540"/>
      <c r="E85" s="36" t="s">
        <v>177</v>
      </c>
      <c r="F85" s="36" t="s">
        <v>73</v>
      </c>
      <c r="G85" s="53"/>
      <c r="H85" s="169"/>
      <c r="I85" s="170">
        <v>-65640</v>
      </c>
    </row>
    <row r="86" spans="1:9" s="35" customFormat="1" ht="37.049999999999997" customHeight="1">
      <c r="A86" s="151" t="s">
        <v>641</v>
      </c>
      <c r="B86" s="540" t="s">
        <v>637</v>
      </c>
      <c r="C86" s="540"/>
      <c r="D86" s="540"/>
      <c r="E86" s="36" t="s">
        <v>177</v>
      </c>
      <c r="F86" s="36" t="s">
        <v>73</v>
      </c>
      <c r="G86" s="53"/>
      <c r="H86" s="169"/>
      <c r="I86" s="170">
        <v>-27000</v>
      </c>
    </row>
    <row r="87" spans="1:9" s="35" customFormat="1" ht="37.049999999999997" customHeight="1">
      <c r="A87" s="151" t="s">
        <v>642</v>
      </c>
      <c r="B87" s="540" t="s">
        <v>637</v>
      </c>
      <c r="C87" s="540"/>
      <c r="D87" s="540"/>
      <c r="E87" s="36" t="s">
        <v>177</v>
      </c>
      <c r="F87" s="36" t="s">
        <v>73</v>
      </c>
      <c r="G87" s="53"/>
      <c r="H87" s="169"/>
      <c r="I87" s="170">
        <v>-260000</v>
      </c>
    </row>
    <row r="88" spans="1:9" s="35" customFormat="1" ht="37.049999999999997" customHeight="1">
      <c r="A88" s="151" t="s">
        <v>648</v>
      </c>
      <c r="B88" s="540" t="s">
        <v>637</v>
      </c>
      <c r="C88" s="540"/>
      <c r="D88" s="540"/>
      <c r="E88" s="36" t="s">
        <v>177</v>
      </c>
      <c r="F88" s="36" t="s">
        <v>73</v>
      </c>
      <c r="G88" s="53"/>
      <c r="H88" s="169"/>
      <c r="I88" s="170">
        <v>-55147.6</v>
      </c>
    </row>
    <row r="89" spans="1:9" s="35" customFormat="1" ht="37.049999999999997" customHeight="1">
      <c r="A89" s="151" t="s">
        <v>649</v>
      </c>
      <c r="B89" s="540" t="s">
        <v>637</v>
      </c>
      <c r="C89" s="540"/>
      <c r="D89" s="540"/>
      <c r="E89" s="36" t="s">
        <v>177</v>
      </c>
      <c r="F89" s="36" t="s">
        <v>73</v>
      </c>
      <c r="G89" s="53"/>
      <c r="H89" s="169"/>
      <c r="I89" s="170">
        <v>-90564.6</v>
      </c>
    </row>
    <row r="90" spans="1:9" s="35" customFormat="1" ht="37.049999999999997" customHeight="1">
      <c r="A90" s="151" t="s">
        <v>650</v>
      </c>
      <c r="B90" s="540" t="s">
        <v>637</v>
      </c>
      <c r="C90" s="540"/>
      <c r="D90" s="540"/>
      <c r="E90" s="36" t="s">
        <v>177</v>
      </c>
      <c r="F90" s="36" t="s">
        <v>73</v>
      </c>
      <c r="G90" s="53"/>
      <c r="H90" s="169"/>
      <c r="I90" s="170">
        <v>-26739</v>
      </c>
    </row>
    <row r="91" spans="1:9" s="35" customFormat="1" ht="37.049999999999997" customHeight="1">
      <c r="A91" s="151" t="s">
        <v>653</v>
      </c>
      <c r="B91" s="540" t="s">
        <v>637</v>
      </c>
      <c r="C91" s="540"/>
      <c r="D91" s="540"/>
      <c r="E91" s="36" t="s">
        <v>177</v>
      </c>
      <c r="F91" s="36" t="s">
        <v>73</v>
      </c>
      <c r="G91" s="53"/>
      <c r="H91" s="169"/>
      <c r="I91" s="170">
        <v>-425600</v>
      </c>
    </row>
    <row r="92" spans="1:9" s="35" customFormat="1" ht="37.049999999999997" customHeight="1">
      <c r="A92" s="151" t="s">
        <v>654</v>
      </c>
      <c r="B92" s="540" t="s">
        <v>637</v>
      </c>
      <c r="C92" s="540"/>
      <c r="D92" s="540"/>
      <c r="E92" s="36" t="s">
        <v>177</v>
      </c>
      <c r="F92" s="36" t="s">
        <v>73</v>
      </c>
      <c r="G92" s="53"/>
      <c r="H92" s="169"/>
      <c r="I92" s="170">
        <v>-250000</v>
      </c>
    </row>
    <row r="93" spans="1:9" s="35" customFormat="1" ht="37.049999999999997" customHeight="1">
      <c r="A93" s="151" t="s">
        <v>655</v>
      </c>
      <c r="B93" s="540" t="s">
        <v>637</v>
      </c>
      <c r="C93" s="540"/>
      <c r="D93" s="540"/>
      <c r="E93" s="36" t="s">
        <v>177</v>
      </c>
      <c r="F93" s="36" t="s">
        <v>73</v>
      </c>
      <c r="G93" s="53"/>
      <c r="H93" s="169"/>
      <c r="I93" s="170">
        <v>-220971.40000000002</v>
      </c>
    </row>
    <row r="94" spans="1:9" s="35" customFormat="1" ht="37.049999999999997" customHeight="1">
      <c r="A94" s="151" t="s">
        <v>658</v>
      </c>
      <c r="B94" s="540" t="s">
        <v>637</v>
      </c>
      <c r="C94" s="540"/>
      <c r="D94" s="540"/>
      <c r="E94" s="36" t="s">
        <v>177</v>
      </c>
      <c r="F94" s="36" t="s">
        <v>73</v>
      </c>
      <c r="G94" s="53"/>
      <c r="H94" s="169"/>
      <c r="I94" s="170">
        <v>-248863.48699999999</v>
      </c>
    </row>
    <row r="95" spans="1:9" s="35" customFormat="1" ht="37.049999999999997" customHeight="1">
      <c r="A95" s="151" t="s">
        <v>661</v>
      </c>
      <c r="B95" s="540" t="s">
        <v>637</v>
      </c>
      <c r="C95" s="540"/>
      <c r="D95" s="540"/>
      <c r="E95" s="36" t="s">
        <v>177</v>
      </c>
      <c r="F95" s="36" t="s">
        <v>73</v>
      </c>
      <c r="G95" s="53"/>
      <c r="H95" s="169"/>
      <c r="I95" s="170">
        <v>-158663.4</v>
      </c>
    </row>
    <row r="96" spans="1:9" s="35" customFormat="1" ht="37.049999999999997" customHeight="1">
      <c r="A96" s="151" t="s">
        <v>662</v>
      </c>
      <c r="B96" s="540" t="s">
        <v>637</v>
      </c>
      <c r="C96" s="540"/>
      <c r="D96" s="540"/>
      <c r="E96" s="36" t="s">
        <v>177</v>
      </c>
      <c r="F96" s="36" t="s">
        <v>73</v>
      </c>
      <c r="G96" s="53"/>
      <c r="H96" s="169"/>
      <c r="I96" s="170">
        <v>-45072.7</v>
      </c>
    </row>
    <row r="97" spans="1:9" s="35" customFormat="1" ht="21" customHeight="1">
      <c r="A97" s="43"/>
      <c r="B97" s="380" t="s">
        <v>52</v>
      </c>
      <c r="C97" s="544"/>
      <c r="D97" s="555"/>
      <c r="E97" s="59" t="s">
        <v>79</v>
      </c>
      <c r="F97" s="59" t="s">
        <v>79</v>
      </c>
      <c r="G97" s="59" t="s">
        <v>79</v>
      </c>
      <c r="H97" s="168"/>
      <c r="I97" s="60">
        <f>+I98</f>
        <v>1600</v>
      </c>
    </row>
    <row r="98" spans="1:9" s="22" customFormat="1" ht="34.950000000000003" customHeight="1">
      <c r="A98" s="47">
        <v>71241200</v>
      </c>
      <c r="B98" s="553" t="s">
        <v>80</v>
      </c>
      <c r="C98" s="553"/>
      <c r="D98" s="553"/>
      <c r="E98" s="153" t="s">
        <v>53</v>
      </c>
      <c r="F98" s="153" t="s">
        <v>73</v>
      </c>
      <c r="G98" s="111">
        <v>1600000</v>
      </c>
      <c r="H98" s="169">
        <v>1</v>
      </c>
      <c r="I98" s="170">
        <f>+ROUNDUP(H98*G98/1000,1)</f>
        <v>1600</v>
      </c>
    </row>
    <row r="99" spans="1:9" s="21" customFormat="1" ht="54.75" customHeight="1">
      <c r="A99" s="167" t="s">
        <v>665</v>
      </c>
      <c r="B99" s="541" t="s">
        <v>666</v>
      </c>
      <c r="C99" s="542"/>
      <c r="D99" s="542"/>
      <c r="E99" s="542"/>
      <c r="F99" s="542"/>
      <c r="G99" s="542"/>
      <c r="H99" s="543"/>
      <c r="I99" s="255">
        <f>+I100</f>
        <v>-4202872.8</v>
      </c>
    </row>
    <row r="100" spans="1:9" s="19" customFormat="1" ht="21" customHeight="1">
      <c r="A100" s="203"/>
      <c r="B100" s="380" t="s">
        <v>78</v>
      </c>
      <c r="C100" s="544"/>
      <c r="D100" s="381"/>
      <c r="E100" s="59"/>
      <c r="F100" s="59"/>
      <c r="G100" s="59"/>
      <c r="H100" s="204"/>
      <c r="I100" s="60">
        <f>SUM(I101:I128)</f>
        <v>-4202872.8</v>
      </c>
    </row>
    <row r="101" spans="1:9" s="35" customFormat="1" ht="37.049999999999997" customHeight="1">
      <c r="A101" s="151" t="s">
        <v>667</v>
      </c>
      <c r="B101" s="540" t="s">
        <v>637</v>
      </c>
      <c r="C101" s="540"/>
      <c r="D101" s="540"/>
      <c r="E101" s="36" t="s">
        <v>177</v>
      </c>
      <c r="F101" s="36" t="s">
        <v>73</v>
      </c>
      <c r="G101" s="53"/>
      <c r="H101" s="169"/>
      <c r="I101" s="170">
        <v>-10938.599999999999</v>
      </c>
    </row>
    <row r="102" spans="1:9" s="35" customFormat="1" ht="37.049999999999997" customHeight="1">
      <c r="A102" s="151" t="s">
        <v>668</v>
      </c>
      <c r="B102" s="540" t="s">
        <v>637</v>
      </c>
      <c r="C102" s="540"/>
      <c r="D102" s="540"/>
      <c r="E102" s="36" t="s">
        <v>177</v>
      </c>
      <c r="F102" s="36" t="s">
        <v>73</v>
      </c>
      <c r="G102" s="53"/>
      <c r="H102" s="169"/>
      <c r="I102" s="170">
        <v>-71714.899999999994</v>
      </c>
    </row>
    <row r="103" spans="1:9" s="35" customFormat="1" ht="37.049999999999997" customHeight="1">
      <c r="A103" s="151" t="s">
        <v>669</v>
      </c>
      <c r="B103" s="540" t="s">
        <v>637</v>
      </c>
      <c r="C103" s="540"/>
      <c r="D103" s="540"/>
      <c r="E103" s="36" t="s">
        <v>177</v>
      </c>
      <c r="F103" s="36" t="s">
        <v>73</v>
      </c>
      <c r="G103" s="53"/>
      <c r="H103" s="169"/>
      <c r="I103" s="170">
        <v>-26946.9</v>
      </c>
    </row>
    <row r="104" spans="1:9" s="35" customFormat="1" ht="37.049999999999997" customHeight="1">
      <c r="A104" s="151" t="s">
        <v>670</v>
      </c>
      <c r="B104" s="540" t="s">
        <v>637</v>
      </c>
      <c r="C104" s="540"/>
      <c r="D104" s="540"/>
      <c r="E104" s="36" t="s">
        <v>177</v>
      </c>
      <c r="F104" s="36" t="s">
        <v>73</v>
      </c>
      <c r="G104" s="53"/>
      <c r="H104" s="169"/>
      <c r="I104" s="170">
        <v>-572341.5</v>
      </c>
    </row>
    <row r="105" spans="1:9" s="35" customFormat="1" ht="37.049999999999997" customHeight="1">
      <c r="A105" s="151" t="s">
        <v>674</v>
      </c>
      <c r="B105" s="537" t="s">
        <v>637</v>
      </c>
      <c r="C105" s="538"/>
      <c r="D105" s="539"/>
      <c r="E105" s="36" t="s">
        <v>177</v>
      </c>
      <c r="F105" s="36" t="s">
        <v>73</v>
      </c>
      <c r="G105" s="53"/>
      <c r="H105" s="169"/>
      <c r="I105" s="170">
        <v>-147986.29999999999</v>
      </c>
    </row>
    <row r="106" spans="1:9" s="35" customFormat="1" ht="37.049999999999997" customHeight="1">
      <c r="A106" s="151" t="s">
        <v>682</v>
      </c>
      <c r="B106" s="540" t="s">
        <v>637</v>
      </c>
      <c r="C106" s="540"/>
      <c r="D106" s="540"/>
      <c r="E106" s="36" t="s">
        <v>177</v>
      </c>
      <c r="F106" s="36" t="s">
        <v>73</v>
      </c>
      <c r="G106" s="53"/>
      <c r="H106" s="169"/>
      <c r="I106" s="170">
        <v>-209469.7</v>
      </c>
    </row>
    <row r="107" spans="1:9" s="35" customFormat="1" ht="37.049999999999997" customHeight="1">
      <c r="A107" s="151" t="s">
        <v>683</v>
      </c>
      <c r="B107" s="540" t="s">
        <v>637</v>
      </c>
      <c r="C107" s="540"/>
      <c r="D107" s="540"/>
      <c r="E107" s="36" t="s">
        <v>177</v>
      </c>
      <c r="F107" s="36" t="s">
        <v>73</v>
      </c>
      <c r="G107" s="53"/>
      <c r="H107" s="169"/>
      <c r="I107" s="170">
        <v>-74413.399999999994</v>
      </c>
    </row>
    <row r="108" spans="1:9" s="35" customFormat="1" ht="37.049999999999997" customHeight="1">
      <c r="A108" s="151" t="s">
        <v>684</v>
      </c>
      <c r="B108" s="540" t="s">
        <v>637</v>
      </c>
      <c r="C108" s="540"/>
      <c r="D108" s="540"/>
      <c r="E108" s="36" t="s">
        <v>177</v>
      </c>
      <c r="F108" s="36" t="s">
        <v>73</v>
      </c>
      <c r="G108" s="53"/>
      <c r="H108" s="169"/>
      <c r="I108" s="170">
        <v>-76668.7</v>
      </c>
    </row>
    <row r="109" spans="1:9" s="35" customFormat="1" ht="37.049999999999997" customHeight="1">
      <c r="A109" s="151" t="s">
        <v>685</v>
      </c>
      <c r="B109" s="540" t="s">
        <v>637</v>
      </c>
      <c r="C109" s="540"/>
      <c r="D109" s="540"/>
      <c r="E109" s="36" t="s">
        <v>177</v>
      </c>
      <c r="F109" s="36" t="s">
        <v>73</v>
      </c>
      <c r="G109" s="53"/>
      <c r="H109" s="169"/>
      <c r="I109" s="170">
        <v>-92252.5</v>
      </c>
    </row>
    <row r="110" spans="1:9" s="35" customFormat="1" ht="37.049999999999997" customHeight="1">
      <c r="A110" s="151" t="s">
        <v>686</v>
      </c>
      <c r="B110" s="540" t="s">
        <v>637</v>
      </c>
      <c r="C110" s="540"/>
      <c r="D110" s="540"/>
      <c r="E110" s="36" t="s">
        <v>177</v>
      </c>
      <c r="F110" s="36" t="s">
        <v>73</v>
      </c>
      <c r="G110" s="53"/>
      <c r="H110" s="169"/>
      <c r="I110" s="170">
        <v>-95254.399999999994</v>
      </c>
    </row>
    <row r="111" spans="1:9" s="35" customFormat="1" ht="37.049999999999997" customHeight="1">
      <c r="A111" s="151" t="s">
        <v>687</v>
      </c>
      <c r="B111" s="540" t="s">
        <v>637</v>
      </c>
      <c r="C111" s="540"/>
      <c r="D111" s="540"/>
      <c r="E111" s="36" t="s">
        <v>177</v>
      </c>
      <c r="F111" s="36" t="s">
        <v>73</v>
      </c>
      <c r="G111" s="53"/>
      <c r="H111" s="169"/>
      <c r="I111" s="170">
        <v>-1664.1</v>
      </c>
    </row>
    <row r="112" spans="1:9" s="35" customFormat="1" ht="37.049999999999997" customHeight="1">
      <c r="A112" s="151" t="s">
        <v>690</v>
      </c>
      <c r="B112" s="540" t="s">
        <v>637</v>
      </c>
      <c r="C112" s="540"/>
      <c r="D112" s="540"/>
      <c r="E112" s="36" t="s">
        <v>177</v>
      </c>
      <c r="F112" s="36" t="s">
        <v>73</v>
      </c>
      <c r="G112" s="53"/>
      <c r="H112" s="169"/>
      <c r="I112" s="170">
        <v>-191976.1</v>
      </c>
    </row>
    <row r="113" spans="1:9" s="35" customFormat="1" ht="37.049999999999997" customHeight="1">
      <c r="A113" s="151" t="s">
        <v>691</v>
      </c>
      <c r="B113" s="540" t="s">
        <v>637</v>
      </c>
      <c r="C113" s="540"/>
      <c r="D113" s="540"/>
      <c r="E113" s="36" t="s">
        <v>177</v>
      </c>
      <c r="F113" s="36" t="s">
        <v>73</v>
      </c>
      <c r="G113" s="53"/>
      <c r="H113" s="169"/>
      <c r="I113" s="170">
        <v>-122445</v>
      </c>
    </row>
    <row r="114" spans="1:9" s="35" customFormat="1" ht="37.049999999999997" customHeight="1">
      <c r="A114" s="151" t="s">
        <v>693</v>
      </c>
      <c r="B114" s="540" t="s">
        <v>637</v>
      </c>
      <c r="C114" s="540"/>
      <c r="D114" s="540"/>
      <c r="E114" s="36" t="s">
        <v>177</v>
      </c>
      <c r="F114" s="36" t="s">
        <v>73</v>
      </c>
      <c r="G114" s="53"/>
      <c r="H114" s="169"/>
      <c r="I114" s="170">
        <v>-371105.6</v>
      </c>
    </row>
    <row r="115" spans="1:9" s="35" customFormat="1" ht="37.049999999999997" customHeight="1">
      <c r="A115" s="151" t="s">
        <v>697</v>
      </c>
      <c r="B115" s="540" t="s">
        <v>637</v>
      </c>
      <c r="C115" s="540"/>
      <c r="D115" s="540"/>
      <c r="E115" s="36" t="s">
        <v>177</v>
      </c>
      <c r="F115" s="36" t="s">
        <v>73</v>
      </c>
      <c r="G115" s="53"/>
      <c r="H115" s="169"/>
      <c r="I115" s="170">
        <v>-48248.2</v>
      </c>
    </row>
    <row r="116" spans="1:9" s="35" customFormat="1" ht="37.049999999999997" customHeight="1">
      <c r="A116" s="151" t="s">
        <v>698</v>
      </c>
      <c r="B116" s="540" t="s">
        <v>637</v>
      </c>
      <c r="C116" s="540"/>
      <c r="D116" s="540"/>
      <c r="E116" s="36" t="s">
        <v>177</v>
      </c>
      <c r="F116" s="36" t="s">
        <v>73</v>
      </c>
      <c r="G116" s="53"/>
      <c r="H116" s="169"/>
      <c r="I116" s="170">
        <v>-30886.300000000003</v>
      </c>
    </row>
    <row r="117" spans="1:9" s="35" customFormat="1" ht="37.049999999999997" customHeight="1">
      <c r="A117" s="151" t="s">
        <v>699</v>
      </c>
      <c r="B117" s="540" t="s">
        <v>637</v>
      </c>
      <c r="C117" s="540"/>
      <c r="D117" s="540"/>
      <c r="E117" s="36" t="s">
        <v>177</v>
      </c>
      <c r="F117" s="36" t="s">
        <v>73</v>
      </c>
      <c r="G117" s="53"/>
      <c r="H117" s="169"/>
      <c r="I117" s="170">
        <v>-45888</v>
      </c>
    </row>
    <row r="118" spans="1:9" s="35" customFormat="1" ht="37.049999999999997" customHeight="1">
      <c r="A118" s="151" t="s">
        <v>712</v>
      </c>
      <c r="B118" s="540" t="s">
        <v>637</v>
      </c>
      <c r="C118" s="540"/>
      <c r="D118" s="540"/>
      <c r="E118" s="36" t="s">
        <v>177</v>
      </c>
      <c r="F118" s="36" t="s">
        <v>73</v>
      </c>
      <c r="G118" s="53"/>
      <c r="H118" s="169"/>
      <c r="I118" s="170">
        <v>-223351.3</v>
      </c>
    </row>
    <row r="119" spans="1:9" s="35" customFormat="1" ht="37.049999999999997" customHeight="1">
      <c r="A119" s="151" t="s">
        <v>713</v>
      </c>
      <c r="B119" s="540" t="s">
        <v>637</v>
      </c>
      <c r="C119" s="540"/>
      <c r="D119" s="540"/>
      <c r="E119" s="36" t="s">
        <v>177</v>
      </c>
      <c r="F119" s="36" t="s">
        <v>73</v>
      </c>
      <c r="G119" s="53"/>
      <c r="H119" s="169"/>
      <c r="I119" s="170">
        <v>-106381.3</v>
      </c>
    </row>
    <row r="120" spans="1:9" s="35" customFormat="1" ht="37.049999999999997" customHeight="1">
      <c r="A120" s="151" t="s">
        <v>714</v>
      </c>
      <c r="B120" s="540" t="s">
        <v>637</v>
      </c>
      <c r="C120" s="540"/>
      <c r="D120" s="540"/>
      <c r="E120" s="36" t="s">
        <v>177</v>
      </c>
      <c r="F120" s="36" t="s">
        <v>73</v>
      </c>
      <c r="G120" s="53"/>
      <c r="H120" s="169"/>
      <c r="I120" s="170">
        <v>-133170.20000000001</v>
      </c>
    </row>
    <row r="121" spans="1:9" s="35" customFormat="1" ht="37.049999999999997" customHeight="1">
      <c r="A121" s="151" t="s">
        <v>715</v>
      </c>
      <c r="B121" s="540" t="s">
        <v>637</v>
      </c>
      <c r="C121" s="540"/>
      <c r="D121" s="540"/>
      <c r="E121" s="36" t="s">
        <v>177</v>
      </c>
      <c r="F121" s="36" t="s">
        <v>73</v>
      </c>
      <c r="G121" s="53"/>
      <c r="H121" s="169"/>
      <c r="I121" s="170">
        <v>-400000</v>
      </c>
    </row>
    <row r="122" spans="1:9" s="35" customFormat="1" ht="37.049999999999997" customHeight="1">
      <c r="A122" s="151" t="s">
        <v>716</v>
      </c>
      <c r="B122" s="540" t="s">
        <v>637</v>
      </c>
      <c r="C122" s="540"/>
      <c r="D122" s="540"/>
      <c r="E122" s="36" t="s">
        <v>177</v>
      </c>
      <c r="F122" s="36" t="s">
        <v>73</v>
      </c>
      <c r="G122" s="53"/>
      <c r="H122" s="169"/>
      <c r="I122" s="170">
        <v>-258674</v>
      </c>
    </row>
    <row r="123" spans="1:9" s="35" customFormat="1" ht="37.049999999999997" customHeight="1">
      <c r="A123" s="151" t="s">
        <v>717</v>
      </c>
      <c r="B123" s="540" t="s">
        <v>637</v>
      </c>
      <c r="C123" s="540"/>
      <c r="D123" s="540"/>
      <c r="E123" s="36" t="s">
        <v>177</v>
      </c>
      <c r="F123" s="36" t="s">
        <v>73</v>
      </c>
      <c r="G123" s="53"/>
      <c r="H123" s="169"/>
      <c r="I123" s="170">
        <v>-554478</v>
      </c>
    </row>
    <row r="124" spans="1:9" s="35" customFormat="1" ht="37.049999999999997" customHeight="1">
      <c r="A124" s="151" t="s">
        <v>703</v>
      </c>
      <c r="B124" s="540" t="s">
        <v>637</v>
      </c>
      <c r="C124" s="540"/>
      <c r="D124" s="540"/>
      <c r="E124" s="36" t="s">
        <v>177</v>
      </c>
      <c r="F124" s="36" t="s">
        <v>73</v>
      </c>
      <c r="G124" s="53"/>
      <c r="H124" s="169"/>
      <c r="I124" s="170">
        <v>-8640.2000000000007</v>
      </c>
    </row>
    <row r="125" spans="1:9" s="35" customFormat="1" ht="37.049999999999997" customHeight="1">
      <c r="A125" s="151" t="s">
        <v>704</v>
      </c>
      <c r="B125" s="540" t="s">
        <v>637</v>
      </c>
      <c r="C125" s="540"/>
      <c r="D125" s="540"/>
      <c r="E125" s="36" t="s">
        <v>177</v>
      </c>
      <c r="F125" s="36" t="s">
        <v>73</v>
      </c>
      <c r="G125" s="53"/>
      <c r="H125" s="169"/>
      <c r="I125" s="170">
        <v>-46698</v>
      </c>
    </row>
    <row r="126" spans="1:9" s="35" customFormat="1" ht="37.049999999999997" customHeight="1">
      <c r="A126" s="151" t="s">
        <v>705</v>
      </c>
      <c r="B126" s="540" t="s">
        <v>637</v>
      </c>
      <c r="C126" s="540"/>
      <c r="D126" s="540"/>
      <c r="E126" s="36" t="s">
        <v>177</v>
      </c>
      <c r="F126" s="36" t="s">
        <v>73</v>
      </c>
      <c r="G126" s="53"/>
      <c r="H126" s="169"/>
      <c r="I126" s="170">
        <v>-86309.1</v>
      </c>
    </row>
    <row r="127" spans="1:9" s="35" customFormat="1" ht="37.049999999999997" customHeight="1">
      <c r="A127" s="151" t="s">
        <v>720</v>
      </c>
      <c r="B127" s="540" t="s">
        <v>637</v>
      </c>
      <c r="C127" s="540"/>
      <c r="D127" s="540"/>
      <c r="E127" s="36" t="s">
        <v>177</v>
      </c>
      <c r="F127" s="36" t="s">
        <v>73</v>
      </c>
      <c r="G127" s="53"/>
      <c r="H127" s="169"/>
      <c r="I127" s="170">
        <v>-120642.9</v>
      </c>
    </row>
    <row r="128" spans="1:9" s="35" customFormat="1" ht="37.049999999999997" customHeight="1">
      <c r="A128" s="151" t="s">
        <v>721</v>
      </c>
      <c r="B128" s="540" t="s">
        <v>637</v>
      </c>
      <c r="C128" s="540"/>
      <c r="D128" s="540"/>
      <c r="E128" s="36" t="s">
        <v>177</v>
      </c>
      <c r="F128" s="36" t="s">
        <v>73</v>
      </c>
      <c r="G128" s="53"/>
      <c r="H128" s="169"/>
      <c r="I128" s="170">
        <v>-74327.600000000006</v>
      </c>
    </row>
    <row r="129" spans="1:9" s="21" customFormat="1" ht="54.75" customHeight="1">
      <c r="A129" s="167" t="s">
        <v>482</v>
      </c>
      <c r="B129" s="541" t="s">
        <v>483</v>
      </c>
      <c r="C129" s="542"/>
      <c r="D129" s="542"/>
      <c r="E129" s="542"/>
      <c r="F129" s="542"/>
      <c r="G129" s="542"/>
      <c r="H129" s="543"/>
      <c r="I129" s="255">
        <f>+I130</f>
        <v>-690.5</v>
      </c>
    </row>
    <row r="130" spans="1:9" s="35" customFormat="1" ht="21" customHeight="1">
      <c r="A130" s="43"/>
      <c r="B130" s="380" t="s">
        <v>235</v>
      </c>
      <c r="C130" s="544"/>
      <c r="D130" s="555"/>
      <c r="E130" s="59" t="s">
        <v>79</v>
      </c>
      <c r="F130" s="59" t="s">
        <v>79</v>
      </c>
      <c r="G130" s="59" t="s">
        <v>79</v>
      </c>
      <c r="H130" s="168"/>
      <c r="I130" s="60">
        <f>+I131</f>
        <v>-690.5</v>
      </c>
    </row>
    <row r="131" spans="1:9" s="22" customFormat="1">
      <c r="A131" s="47" t="s">
        <v>484</v>
      </c>
      <c r="B131" s="553" t="s">
        <v>485</v>
      </c>
      <c r="C131" s="553"/>
      <c r="D131" s="553"/>
      <c r="E131" s="153" t="s">
        <v>486</v>
      </c>
      <c r="F131" s="153" t="s">
        <v>239</v>
      </c>
      <c r="G131" s="111"/>
      <c r="H131" s="169"/>
      <c r="I131" s="170">
        <v>-690.5</v>
      </c>
    </row>
    <row r="132" spans="1:9" s="3" customFormat="1">
      <c r="A132" s="166" t="s">
        <v>74</v>
      </c>
      <c r="B132" s="166" t="s">
        <v>280</v>
      </c>
      <c r="C132" s="166" t="s">
        <v>76</v>
      </c>
      <c r="D132" s="556" t="s">
        <v>281</v>
      </c>
      <c r="E132" s="557"/>
      <c r="F132" s="557"/>
      <c r="G132" s="557"/>
      <c r="H132" s="547"/>
      <c r="I132" s="254">
        <f>+I133</f>
        <v>12274.5</v>
      </c>
    </row>
    <row r="133" spans="1:9" s="21" customFormat="1" ht="54.75" customHeight="1">
      <c r="A133" s="167" t="s">
        <v>282</v>
      </c>
      <c r="B133" s="541" t="s">
        <v>283</v>
      </c>
      <c r="C133" s="542"/>
      <c r="D133" s="542"/>
      <c r="E133" s="542"/>
      <c r="F133" s="542"/>
      <c r="G133" s="542"/>
      <c r="H133" s="543"/>
      <c r="I133" s="255">
        <f>+I134</f>
        <v>12274.5</v>
      </c>
    </row>
    <row r="134" spans="1:9" s="35" customFormat="1" ht="21" customHeight="1">
      <c r="A134" s="43"/>
      <c r="B134" s="380" t="s">
        <v>52</v>
      </c>
      <c r="C134" s="544"/>
      <c r="D134" s="555"/>
      <c r="E134" s="59" t="s">
        <v>79</v>
      </c>
      <c r="F134" s="59" t="s">
        <v>79</v>
      </c>
      <c r="G134" s="59" t="s">
        <v>79</v>
      </c>
      <c r="H134" s="168"/>
      <c r="I134" s="60">
        <f>SUM(I135:I136)</f>
        <v>12274.5</v>
      </c>
    </row>
    <row r="135" spans="1:9" s="22" customFormat="1" ht="34.950000000000003" customHeight="1">
      <c r="A135" s="47" t="s">
        <v>194</v>
      </c>
      <c r="B135" s="553" t="s">
        <v>80</v>
      </c>
      <c r="C135" s="553"/>
      <c r="D135" s="553"/>
      <c r="E135" s="153" t="s">
        <v>53</v>
      </c>
      <c r="F135" s="153" t="s">
        <v>73</v>
      </c>
      <c r="G135" s="111">
        <v>11180820</v>
      </c>
      <c r="H135" s="169">
        <v>1</v>
      </c>
      <c r="I135" s="170">
        <f>+ROUNDUP(H135*G135/1000,1)</f>
        <v>11180.9</v>
      </c>
    </row>
    <row r="136" spans="1:9" s="22" customFormat="1" ht="17.7" customHeight="1">
      <c r="A136" s="37">
        <v>50531140</v>
      </c>
      <c r="B136" s="554" t="s">
        <v>64</v>
      </c>
      <c r="C136" s="554"/>
      <c r="D136" s="554"/>
      <c r="E136" s="153" t="s">
        <v>53</v>
      </c>
      <c r="F136" s="36" t="s">
        <v>73</v>
      </c>
      <c r="G136" s="53">
        <v>1093550</v>
      </c>
      <c r="H136" s="171">
        <v>1</v>
      </c>
      <c r="I136" s="170">
        <f>+ROUNDUP(H136*G136/1000,1)</f>
        <v>1093.5999999999999</v>
      </c>
    </row>
    <row r="137" spans="1:9" s="3" customFormat="1">
      <c r="A137" s="166" t="s">
        <v>74</v>
      </c>
      <c r="B137" s="166" t="s">
        <v>75</v>
      </c>
      <c r="C137" s="166" t="s">
        <v>76</v>
      </c>
      <c r="D137" s="556" t="s">
        <v>77</v>
      </c>
      <c r="E137" s="557"/>
      <c r="F137" s="557"/>
      <c r="G137" s="557"/>
      <c r="H137" s="547"/>
      <c r="I137" s="254">
        <f>+I138+I147+I151+I155</f>
        <v>-66693.100000000006</v>
      </c>
    </row>
    <row r="138" spans="1:9" s="237" customFormat="1" ht="54.9" customHeight="1">
      <c r="A138" s="235" t="s">
        <v>382</v>
      </c>
      <c r="B138" s="558" t="s">
        <v>379</v>
      </c>
      <c r="C138" s="559"/>
      <c r="D138" s="559"/>
      <c r="E138" s="559"/>
      <c r="F138" s="559"/>
      <c r="G138" s="559"/>
      <c r="H138" s="560"/>
      <c r="I138" s="236">
        <f>+I139+I142</f>
        <v>-107565</v>
      </c>
    </row>
    <row r="139" spans="1:9" s="19" customFormat="1" ht="21" customHeight="1">
      <c r="A139" s="203"/>
      <c r="B139" s="380" t="s">
        <v>78</v>
      </c>
      <c r="C139" s="544"/>
      <c r="D139" s="381"/>
      <c r="E139" s="59"/>
      <c r="F139" s="59"/>
      <c r="G139" s="59"/>
      <c r="H139" s="204"/>
      <c r="I139" s="60">
        <f>SUM(I140:I141)</f>
        <v>-101322.3</v>
      </c>
    </row>
    <row r="140" spans="1:9" s="35" customFormat="1">
      <c r="A140" s="43" t="s">
        <v>386</v>
      </c>
      <c r="B140" s="540" t="s">
        <v>328</v>
      </c>
      <c r="C140" s="540"/>
      <c r="D140" s="540"/>
      <c r="E140" s="36" t="s">
        <v>200</v>
      </c>
      <c r="F140" s="36" t="s">
        <v>73</v>
      </c>
      <c r="G140" s="53"/>
      <c r="H140" s="171"/>
      <c r="I140" s="170">
        <v>-50484</v>
      </c>
    </row>
    <row r="141" spans="1:9" s="35" customFormat="1">
      <c r="A141" s="43" t="s">
        <v>387</v>
      </c>
      <c r="B141" s="540" t="s">
        <v>328</v>
      </c>
      <c r="C141" s="540"/>
      <c r="D141" s="540"/>
      <c r="E141" s="36" t="s">
        <v>200</v>
      </c>
      <c r="F141" s="36" t="s">
        <v>73</v>
      </c>
      <c r="G141" s="53"/>
      <c r="H141" s="171"/>
      <c r="I141" s="170">
        <v>-50838.3</v>
      </c>
    </row>
    <row r="142" spans="1:9" s="35" customFormat="1" ht="21" customHeight="1">
      <c r="A142" s="43"/>
      <c r="B142" s="380" t="s">
        <v>52</v>
      </c>
      <c r="C142" s="544"/>
      <c r="D142" s="555"/>
      <c r="E142" s="59" t="s">
        <v>79</v>
      </c>
      <c r="F142" s="59" t="s">
        <v>79</v>
      </c>
      <c r="G142" s="59" t="s">
        <v>79</v>
      </c>
      <c r="H142" s="168"/>
      <c r="I142" s="60">
        <f>SUM(I143:I146)</f>
        <v>-6242.6999999999989</v>
      </c>
    </row>
    <row r="143" spans="1:9" s="35" customFormat="1">
      <c r="A143" s="43" t="s">
        <v>174</v>
      </c>
      <c r="B143" s="540" t="s">
        <v>60</v>
      </c>
      <c r="C143" s="540"/>
      <c r="D143" s="540"/>
      <c r="E143" s="36" t="s">
        <v>53</v>
      </c>
      <c r="F143" s="36" t="s">
        <v>51</v>
      </c>
      <c r="G143" s="53">
        <v>2009680</v>
      </c>
      <c r="H143" s="171">
        <v>-1</v>
      </c>
      <c r="I143" s="170">
        <f t="shared" ref="I143:I144" si="15">+ROUNDDOWN(H143*G143/1000,1)</f>
        <v>-2009.6</v>
      </c>
    </row>
    <row r="144" spans="1:9" s="35" customFormat="1">
      <c r="A144" s="43" t="s">
        <v>376</v>
      </c>
      <c r="B144" s="540" t="s">
        <v>60</v>
      </c>
      <c r="C144" s="540"/>
      <c r="D144" s="540"/>
      <c r="E144" s="36" t="s">
        <v>53</v>
      </c>
      <c r="F144" s="36" t="s">
        <v>51</v>
      </c>
      <c r="G144" s="53">
        <v>3025200</v>
      </c>
      <c r="H144" s="171">
        <v>-1</v>
      </c>
      <c r="I144" s="170">
        <f t="shared" si="15"/>
        <v>-3025.2</v>
      </c>
    </row>
    <row r="145" spans="1:9" s="35" customFormat="1">
      <c r="A145" s="43" t="s">
        <v>175</v>
      </c>
      <c r="B145" s="540" t="s">
        <v>61</v>
      </c>
      <c r="C145" s="540"/>
      <c r="D145" s="540"/>
      <c r="E145" s="36" t="s">
        <v>54</v>
      </c>
      <c r="F145" s="36" t="s">
        <v>51</v>
      </c>
      <c r="G145" s="53">
        <v>602900</v>
      </c>
      <c r="H145" s="171">
        <v>-1</v>
      </c>
      <c r="I145" s="170">
        <f>+ROUNDDOWN(H145*G145/1000,1)</f>
        <v>-602.9</v>
      </c>
    </row>
    <row r="146" spans="1:9" s="35" customFormat="1">
      <c r="A146" s="43" t="s">
        <v>378</v>
      </c>
      <c r="B146" s="540" t="s">
        <v>61</v>
      </c>
      <c r="C146" s="540"/>
      <c r="D146" s="540"/>
      <c r="E146" s="36" t="s">
        <v>54</v>
      </c>
      <c r="F146" s="36" t="s">
        <v>51</v>
      </c>
      <c r="G146" s="53">
        <v>605030</v>
      </c>
      <c r="H146" s="171">
        <v>-1</v>
      </c>
      <c r="I146" s="170">
        <f t="shared" ref="I146" si="16">+ROUNDDOWN(H146*G146/1000,1)</f>
        <v>-605</v>
      </c>
    </row>
    <row r="147" spans="1:9" s="21" customFormat="1" ht="54.75" customHeight="1">
      <c r="A147" s="167" t="s">
        <v>287</v>
      </c>
      <c r="B147" s="541" t="s">
        <v>288</v>
      </c>
      <c r="C147" s="542"/>
      <c r="D147" s="542"/>
      <c r="E147" s="542"/>
      <c r="F147" s="542"/>
      <c r="G147" s="542"/>
      <c r="H147" s="543"/>
      <c r="I147" s="255">
        <f>+I148</f>
        <v>16138</v>
      </c>
    </row>
    <row r="148" spans="1:9" s="35" customFormat="1" ht="21" customHeight="1">
      <c r="A148" s="43"/>
      <c r="B148" s="380" t="s">
        <v>52</v>
      </c>
      <c r="C148" s="544"/>
      <c r="D148" s="555"/>
      <c r="E148" s="59" t="s">
        <v>79</v>
      </c>
      <c r="F148" s="59" t="s">
        <v>79</v>
      </c>
      <c r="G148" s="59" t="s">
        <v>79</v>
      </c>
      <c r="H148" s="168"/>
      <c r="I148" s="60">
        <f>SUM(I149:I150)</f>
        <v>16138</v>
      </c>
    </row>
    <row r="149" spans="1:9" s="22" customFormat="1" ht="34.950000000000003" customHeight="1">
      <c r="A149" s="47" t="s">
        <v>277</v>
      </c>
      <c r="B149" s="553" t="s">
        <v>80</v>
      </c>
      <c r="C149" s="553"/>
      <c r="D149" s="553"/>
      <c r="E149" s="153" t="s">
        <v>53</v>
      </c>
      <c r="F149" s="153" t="s">
        <v>73</v>
      </c>
      <c r="G149" s="111">
        <v>14800000</v>
      </c>
      <c r="H149" s="169">
        <v>1</v>
      </c>
      <c r="I149" s="170">
        <f>+ROUNDUP(H149*G149/1000,1)</f>
        <v>14800</v>
      </c>
    </row>
    <row r="150" spans="1:9" s="22" customFormat="1" ht="17.7" customHeight="1">
      <c r="A150" s="37">
        <v>50531140</v>
      </c>
      <c r="B150" s="554" t="s">
        <v>64</v>
      </c>
      <c r="C150" s="554"/>
      <c r="D150" s="554"/>
      <c r="E150" s="153" t="s">
        <v>53</v>
      </c>
      <c r="F150" s="36" t="s">
        <v>73</v>
      </c>
      <c r="G150" s="53">
        <v>1338000</v>
      </c>
      <c r="H150" s="171">
        <v>1</v>
      </c>
      <c r="I150" s="170">
        <f>+ROUNDUP(H150*G150/1000,1)</f>
        <v>1338</v>
      </c>
    </row>
    <row r="151" spans="1:9" s="21" customFormat="1" ht="54.75" customHeight="1">
      <c r="A151" s="167" t="s">
        <v>285</v>
      </c>
      <c r="B151" s="541" t="s">
        <v>286</v>
      </c>
      <c r="C151" s="542"/>
      <c r="D151" s="542"/>
      <c r="E151" s="542"/>
      <c r="F151" s="542"/>
      <c r="G151" s="542"/>
      <c r="H151" s="543"/>
      <c r="I151" s="255">
        <f>+I152</f>
        <v>11531</v>
      </c>
    </row>
    <row r="152" spans="1:9" s="35" customFormat="1" ht="21" customHeight="1">
      <c r="A152" s="43"/>
      <c r="B152" s="380" t="s">
        <v>52</v>
      </c>
      <c r="C152" s="544"/>
      <c r="D152" s="555"/>
      <c r="E152" s="59" t="s">
        <v>79</v>
      </c>
      <c r="F152" s="59" t="s">
        <v>79</v>
      </c>
      <c r="G152" s="59" t="s">
        <v>79</v>
      </c>
      <c r="H152" s="168"/>
      <c r="I152" s="60">
        <f>SUM(I153:I154)</f>
        <v>11531</v>
      </c>
    </row>
    <row r="153" spans="1:9" s="22" customFormat="1" ht="34.950000000000003" customHeight="1">
      <c r="A153" s="47" t="s">
        <v>195</v>
      </c>
      <c r="B153" s="553" t="s">
        <v>80</v>
      </c>
      <c r="C153" s="553"/>
      <c r="D153" s="553"/>
      <c r="E153" s="153" t="s">
        <v>53</v>
      </c>
      <c r="F153" s="153" t="s">
        <v>73</v>
      </c>
      <c r="G153" s="111">
        <v>10500000</v>
      </c>
      <c r="H153" s="169">
        <v>1</v>
      </c>
      <c r="I153" s="170">
        <f>+ROUNDUP(H153*G153/1000,1)</f>
        <v>10500</v>
      </c>
    </row>
    <row r="154" spans="1:9" s="22" customFormat="1" ht="17.7" customHeight="1">
      <c r="A154" s="37">
        <v>50531140</v>
      </c>
      <c r="B154" s="554" t="s">
        <v>64</v>
      </c>
      <c r="C154" s="554"/>
      <c r="D154" s="554"/>
      <c r="E154" s="153" t="s">
        <v>53</v>
      </c>
      <c r="F154" s="36" t="s">
        <v>73</v>
      </c>
      <c r="G154" s="53">
        <v>1031000</v>
      </c>
      <c r="H154" s="171">
        <v>1</v>
      </c>
      <c r="I154" s="170">
        <f>+ROUNDUP(H154*G154/1000,1)</f>
        <v>1031</v>
      </c>
    </row>
    <row r="155" spans="1:9" s="21" customFormat="1" ht="54.75" customHeight="1">
      <c r="A155" s="167" t="s">
        <v>322</v>
      </c>
      <c r="B155" s="541" t="s">
        <v>323</v>
      </c>
      <c r="C155" s="542"/>
      <c r="D155" s="542"/>
      <c r="E155" s="542"/>
      <c r="F155" s="542"/>
      <c r="G155" s="542"/>
      <c r="H155" s="543"/>
      <c r="I155" s="255">
        <f>+I156</f>
        <v>13202.9</v>
      </c>
    </row>
    <row r="156" spans="1:9" s="35" customFormat="1" ht="21" customHeight="1">
      <c r="A156" s="43"/>
      <c r="B156" s="380" t="s">
        <v>52</v>
      </c>
      <c r="C156" s="544"/>
      <c r="D156" s="555"/>
      <c r="E156" s="59" t="s">
        <v>79</v>
      </c>
      <c r="F156" s="59" t="s">
        <v>79</v>
      </c>
      <c r="G156" s="59" t="s">
        <v>79</v>
      </c>
      <c r="H156" s="168"/>
      <c r="I156" s="60">
        <f>SUM(I157:I158)</f>
        <v>13202.9</v>
      </c>
    </row>
    <row r="157" spans="1:9" s="22" customFormat="1" ht="34.950000000000003" customHeight="1">
      <c r="A157" s="47" t="s">
        <v>324</v>
      </c>
      <c r="B157" s="553" t="s">
        <v>80</v>
      </c>
      <c r="C157" s="553"/>
      <c r="D157" s="553"/>
      <c r="E157" s="153" t="s">
        <v>53</v>
      </c>
      <c r="F157" s="153" t="s">
        <v>73</v>
      </c>
      <c r="G157" s="111">
        <v>11850000</v>
      </c>
      <c r="H157" s="169">
        <v>1</v>
      </c>
      <c r="I157" s="170">
        <f>+ROUNDUP(H157*G157/1000,1)</f>
        <v>11850</v>
      </c>
    </row>
    <row r="158" spans="1:9" s="22" customFormat="1" ht="17.7" customHeight="1">
      <c r="A158" s="37">
        <v>50531140</v>
      </c>
      <c r="B158" s="554" t="s">
        <v>64</v>
      </c>
      <c r="C158" s="554"/>
      <c r="D158" s="554"/>
      <c r="E158" s="153" t="s">
        <v>53</v>
      </c>
      <c r="F158" s="36" t="s">
        <v>73</v>
      </c>
      <c r="G158" s="53">
        <v>1352810</v>
      </c>
      <c r="H158" s="171">
        <v>1</v>
      </c>
      <c r="I158" s="170">
        <f>+ROUNDUP(H158*G158/1000,1)</f>
        <v>1352.8999999999999</v>
      </c>
    </row>
    <row r="159" spans="1:9" s="3" customFormat="1">
      <c r="A159" s="166" t="s">
        <v>74</v>
      </c>
      <c r="B159" s="166" t="s">
        <v>350</v>
      </c>
      <c r="C159" s="166" t="s">
        <v>76</v>
      </c>
      <c r="D159" s="556" t="s">
        <v>353</v>
      </c>
      <c r="E159" s="557"/>
      <c r="F159" s="557"/>
      <c r="G159" s="557"/>
      <c r="H159" s="547"/>
      <c r="I159" s="254">
        <f>+I160</f>
        <v>5040</v>
      </c>
    </row>
    <row r="160" spans="1:9" s="21" customFormat="1" ht="54.75" customHeight="1">
      <c r="A160" s="167" t="s">
        <v>352</v>
      </c>
      <c r="B160" s="541" t="s">
        <v>351</v>
      </c>
      <c r="C160" s="542"/>
      <c r="D160" s="542"/>
      <c r="E160" s="542"/>
      <c r="F160" s="542"/>
      <c r="G160" s="542"/>
      <c r="H160" s="543"/>
      <c r="I160" s="255">
        <f>+I161</f>
        <v>5040</v>
      </c>
    </row>
    <row r="161" spans="1:9" s="35" customFormat="1" ht="21" customHeight="1">
      <c r="A161" s="43"/>
      <c r="B161" s="380" t="s">
        <v>235</v>
      </c>
      <c r="C161" s="544"/>
      <c r="D161" s="555"/>
      <c r="E161" s="59" t="s">
        <v>79</v>
      </c>
      <c r="F161" s="59" t="s">
        <v>79</v>
      </c>
      <c r="G161" s="59" t="s">
        <v>79</v>
      </c>
      <c r="H161" s="168"/>
      <c r="I161" s="60">
        <f>+I162</f>
        <v>5040</v>
      </c>
    </row>
    <row r="162" spans="1:9" s="22" customFormat="1" ht="34.950000000000003" customHeight="1">
      <c r="A162" s="47" t="s">
        <v>354</v>
      </c>
      <c r="B162" s="553" t="s">
        <v>355</v>
      </c>
      <c r="C162" s="553"/>
      <c r="D162" s="553"/>
      <c r="E162" s="153" t="s">
        <v>238</v>
      </c>
      <c r="F162" s="153" t="s">
        <v>239</v>
      </c>
      <c r="G162" s="111">
        <v>5040000</v>
      </c>
      <c r="H162" s="169">
        <v>1</v>
      </c>
      <c r="I162" s="170">
        <f>+ROUNDUP(H162*G162/1000,1)</f>
        <v>5040</v>
      </c>
    </row>
    <row r="164" spans="1:9" s="21" customFormat="1" ht="44.85" customHeight="1">
      <c r="A164" s="561" t="s">
        <v>168</v>
      </c>
      <c r="B164" s="561"/>
      <c r="C164" s="561"/>
      <c r="D164" s="561"/>
      <c r="E164" s="561"/>
      <c r="F164" s="561"/>
      <c r="G164" s="561"/>
      <c r="H164" s="561"/>
      <c r="I164" s="252">
        <f>+I165+I170+I189+I206</f>
        <v>-2483254.4</v>
      </c>
    </row>
    <row r="165" spans="1:9" s="34" customFormat="1">
      <c r="A165" s="242" t="s">
        <v>35</v>
      </c>
      <c r="B165" s="242" t="s">
        <v>147</v>
      </c>
      <c r="C165" s="242" t="s">
        <v>76</v>
      </c>
      <c r="D165" s="556" t="s">
        <v>395</v>
      </c>
      <c r="E165" s="557"/>
      <c r="F165" s="557"/>
      <c r="G165" s="557"/>
      <c r="H165" s="547"/>
      <c r="I165" s="95">
        <f>+I166</f>
        <v>-200000</v>
      </c>
    </row>
    <row r="166" spans="1:9" s="21" customFormat="1" ht="54.75" customHeight="1">
      <c r="A166" s="167" t="s">
        <v>396</v>
      </c>
      <c r="B166" s="541" t="s">
        <v>397</v>
      </c>
      <c r="C166" s="542"/>
      <c r="D166" s="542"/>
      <c r="E166" s="542"/>
      <c r="F166" s="542"/>
      <c r="G166" s="542"/>
      <c r="H166" s="543"/>
      <c r="I166" s="255">
        <f>+I167</f>
        <v>-200000</v>
      </c>
    </row>
    <row r="167" spans="1:9" s="35" customFormat="1" ht="21" customHeight="1">
      <c r="A167" s="43"/>
      <c r="B167" s="380" t="s">
        <v>52</v>
      </c>
      <c r="C167" s="544"/>
      <c r="D167" s="555"/>
      <c r="E167" s="59" t="s">
        <v>79</v>
      </c>
      <c r="F167" s="59" t="s">
        <v>79</v>
      </c>
      <c r="G167" s="59" t="s">
        <v>79</v>
      </c>
      <c r="H167" s="168"/>
      <c r="I167" s="60">
        <f>SUM(I168:I169)</f>
        <v>-200000</v>
      </c>
    </row>
    <row r="168" spans="1:9" s="22" customFormat="1">
      <c r="A168" s="47" t="s">
        <v>203</v>
      </c>
      <c r="B168" s="553" t="s">
        <v>80</v>
      </c>
      <c r="C168" s="553"/>
      <c r="D168" s="553"/>
      <c r="E168" s="153" t="s">
        <v>98</v>
      </c>
      <c r="F168" s="153" t="s">
        <v>73</v>
      </c>
      <c r="G168" s="111">
        <v>195122000</v>
      </c>
      <c r="H168" s="169">
        <v>-1</v>
      </c>
      <c r="I168" s="170">
        <f>+ROUNDDOWN(H168*G168/1000,1)</f>
        <v>-195122</v>
      </c>
    </row>
    <row r="169" spans="1:9" s="22" customFormat="1" ht="17.7" customHeight="1">
      <c r="A169" s="37" t="s">
        <v>202</v>
      </c>
      <c r="B169" s="554" t="s">
        <v>64</v>
      </c>
      <c r="C169" s="554"/>
      <c r="D169" s="554"/>
      <c r="E169" s="36" t="s">
        <v>53</v>
      </c>
      <c r="F169" s="36" t="s">
        <v>73</v>
      </c>
      <c r="G169" s="53">
        <v>4878000</v>
      </c>
      <c r="H169" s="171">
        <v>-1</v>
      </c>
      <c r="I169" s="170">
        <f>+ROUNDDOWN(H169*G169/1000,1)</f>
        <v>-4878</v>
      </c>
    </row>
    <row r="170" spans="1:9" s="34" customFormat="1">
      <c r="A170" s="242" t="s">
        <v>74</v>
      </c>
      <c r="B170" s="242" t="s">
        <v>147</v>
      </c>
      <c r="C170" s="242" t="s">
        <v>76</v>
      </c>
      <c r="D170" s="556" t="s">
        <v>182</v>
      </c>
      <c r="E170" s="557"/>
      <c r="F170" s="557"/>
      <c r="G170" s="557"/>
      <c r="H170" s="547"/>
      <c r="I170" s="95">
        <f>+I171</f>
        <v>-197306.4</v>
      </c>
    </row>
    <row r="171" spans="1:9" s="21" customFormat="1" ht="54.75" customHeight="1">
      <c r="A171" s="167" t="s">
        <v>170</v>
      </c>
      <c r="B171" s="541" t="s">
        <v>171</v>
      </c>
      <c r="C171" s="542"/>
      <c r="D171" s="542"/>
      <c r="E171" s="542"/>
      <c r="F171" s="542"/>
      <c r="G171" s="542"/>
      <c r="H171" s="543"/>
      <c r="I171" s="255">
        <f>+I172+I178</f>
        <v>-197306.4</v>
      </c>
    </row>
    <row r="172" spans="1:9" s="35" customFormat="1" ht="21" customHeight="1">
      <c r="A172" s="43"/>
      <c r="B172" s="380" t="s">
        <v>50</v>
      </c>
      <c r="C172" s="544"/>
      <c r="D172" s="555"/>
      <c r="E172" s="59"/>
      <c r="F172" s="59"/>
      <c r="G172" s="59"/>
      <c r="H172" s="168"/>
      <c r="I172" s="60">
        <f>SUM(I173:I177)</f>
        <v>-184672</v>
      </c>
    </row>
    <row r="173" spans="1:9" s="22" customFormat="1">
      <c r="A173" s="47" t="s">
        <v>413</v>
      </c>
      <c r="B173" s="553" t="s">
        <v>173</v>
      </c>
      <c r="C173" s="553"/>
      <c r="D173" s="553"/>
      <c r="E173" s="36" t="s">
        <v>177</v>
      </c>
      <c r="F173" s="36" t="s">
        <v>73</v>
      </c>
      <c r="G173" s="244"/>
      <c r="H173" s="245"/>
      <c r="I173" s="170">
        <v>-70000</v>
      </c>
    </row>
    <row r="174" spans="1:9" s="22" customFormat="1">
      <c r="A174" s="47" t="s">
        <v>729</v>
      </c>
      <c r="B174" s="553" t="s">
        <v>173</v>
      </c>
      <c r="C174" s="553"/>
      <c r="D174" s="553"/>
      <c r="E174" s="36" t="s">
        <v>98</v>
      </c>
      <c r="F174" s="36" t="s">
        <v>73</v>
      </c>
      <c r="G174" s="244"/>
      <c r="H174" s="245"/>
      <c r="I174" s="170">
        <v>392894</v>
      </c>
    </row>
    <row r="175" spans="1:9" s="22" customFormat="1">
      <c r="A175" s="47" t="s">
        <v>416</v>
      </c>
      <c r="B175" s="553" t="s">
        <v>173</v>
      </c>
      <c r="C175" s="553"/>
      <c r="D175" s="553"/>
      <c r="E175" s="36" t="s">
        <v>98</v>
      </c>
      <c r="F175" s="36" t="s">
        <v>73</v>
      </c>
      <c r="G175" s="244"/>
      <c r="H175" s="245"/>
      <c r="I175" s="170">
        <v>-141134.9</v>
      </c>
    </row>
    <row r="176" spans="1:9" s="22" customFormat="1">
      <c r="A176" s="47" t="s">
        <v>419</v>
      </c>
      <c r="B176" s="553" t="s">
        <v>173</v>
      </c>
      <c r="C176" s="553"/>
      <c r="D176" s="553"/>
      <c r="E176" s="36" t="s">
        <v>98</v>
      </c>
      <c r="F176" s="36" t="s">
        <v>73</v>
      </c>
      <c r="G176" s="244"/>
      <c r="H176" s="245"/>
      <c r="I176" s="170">
        <v>-181813.4</v>
      </c>
    </row>
    <row r="177" spans="1:9" s="22" customFormat="1">
      <c r="A177" s="47" t="s">
        <v>420</v>
      </c>
      <c r="B177" s="553" t="s">
        <v>173</v>
      </c>
      <c r="C177" s="553"/>
      <c r="D177" s="553"/>
      <c r="E177" s="36" t="s">
        <v>98</v>
      </c>
      <c r="F177" s="36" t="s">
        <v>73</v>
      </c>
      <c r="G177" s="244"/>
      <c r="H177" s="245"/>
      <c r="I177" s="170">
        <v>-184617.7</v>
      </c>
    </row>
    <row r="178" spans="1:9" s="35" customFormat="1" ht="21" customHeight="1">
      <c r="A178" s="43"/>
      <c r="B178" s="380" t="s">
        <v>52</v>
      </c>
      <c r="C178" s="544"/>
      <c r="D178" s="555"/>
      <c r="E178" s="59" t="s">
        <v>79</v>
      </c>
      <c r="F178" s="59" t="s">
        <v>79</v>
      </c>
      <c r="G178" s="59"/>
      <c r="H178" s="168"/>
      <c r="I178" s="60">
        <f>SUM(I179:I188)</f>
        <v>-12634.4</v>
      </c>
    </row>
    <row r="179" spans="1:9" s="35" customFormat="1">
      <c r="A179" s="43" t="s">
        <v>414</v>
      </c>
      <c r="B179" s="540" t="s">
        <v>60</v>
      </c>
      <c r="C179" s="540"/>
      <c r="D179" s="540"/>
      <c r="E179" s="36" t="s">
        <v>53</v>
      </c>
      <c r="F179" s="36" t="s">
        <v>51</v>
      </c>
      <c r="G179" s="53"/>
      <c r="H179" s="63"/>
      <c r="I179" s="61">
        <v>-3178.8</v>
      </c>
    </row>
    <row r="180" spans="1:9" s="35" customFormat="1">
      <c r="A180" s="43" t="s">
        <v>424</v>
      </c>
      <c r="B180" s="540" t="s">
        <v>60</v>
      </c>
      <c r="C180" s="540"/>
      <c r="D180" s="540"/>
      <c r="E180" s="36" t="s">
        <v>53</v>
      </c>
      <c r="F180" s="36" t="s">
        <v>51</v>
      </c>
      <c r="G180" s="53"/>
      <c r="H180" s="63"/>
      <c r="I180" s="61">
        <v>11582.1</v>
      </c>
    </row>
    <row r="181" spans="1:9" s="35" customFormat="1">
      <c r="A181" s="43" t="s">
        <v>417</v>
      </c>
      <c r="B181" s="540" t="s">
        <v>60</v>
      </c>
      <c r="C181" s="540"/>
      <c r="D181" s="540"/>
      <c r="E181" s="36" t="s">
        <v>53</v>
      </c>
      <c r="F181" s="36" t="s">
        <v>51</v>
      </c>
      <c r="G181" s="53"/>
      <c r="H181" s="63"/>
      <c r="I181" s="61">
        <v>-5469.9</v>
      </c>
    </row>
    <row r="182" spans="1:9" s="35" customFormat="1">
      <c r="A182" s="151" t="s">
        <v>421</v>
      </c>
      <c r="B182" s="540" t="s">
        <v>60</v>
      </c>
      <c r="C182" s="540"/>
      <c r="D182" s="540"/>
      <c r="E182" s="36" t="s">
        <v>53</v>
      </c>
      <c r="F182" s="36" t="s">
        <v>51</v>
      </c>
      <c r="G182" s="53"/>
      <c r="H182" s="63"/>
      <c r="I182" s="61">
        <v>-7598.9</v>
      </c>
    </row>
    <row r="183" spans="1:9" s="35" customFormat="1">
      <c r="A183" s="151" t="s">
        <v>192</v>
      </c>
      <c r="B183" s="540" t="s">
        <v>60</v>
      </c>
      <c r="C183" s="540"/>
      <c r="D183" s="540"/>
      <c r="E183" s="36" t="s">
        <v>53</v>
      </c>
      <c r="F183" s="36" t="s">
        <v>51</v>
      </c>
      <c r="G183" s="53"/>
      <c r="H183" s="63"/>
      <c r="I183" s="61">
        <v>-7516.8</v>
      </c>
    </row>
    <row r="184" spans="1:9" s="35" customFormat="1">
      <c r="A184" s="43" t="s">
        <v>415</v>
      </c>
      <c r="B184" s="540" t="s">
        <v>61</v>
      </c>
      <c r="C184" s="540"/>
      <c r="D184" s="540"/>
      <c r="E184" s="36" t="s">
        <v>54</v>
      </c>
      <c r="F184" s="36" t="s">
        <v>51</v>
      </c>
      <c r="G184" s="53"/>
      <c r="H184" s="63"/>
      <c r="I184" s="61">
        <v>-413</v>
      </c>
    </row>
    <row r="185" spans="1:9" s="35" customFormat="1">
      <c r="A185" s="43" t="s">
        <v>730</v>
      </c>
      <c r="B185" s="540" t="s">
        <v>61</v>
      </c>
      <c r="C185" s="540"/>
      <c r="D185" s="540"/>
      <c r="E185" s="36" t="s">
        <v>54</v>
      </c>
      <c r="F185" s="36" t="s">
        <v>51</v>
      </c>
      <c r="G185" s="53"/>
      <c r="H185" s="63"/>
      <c r="I185" s="61">
        <v>2700.5</v>
      </c>
    </row>
    <row r="186" spans="1:9" s="35" customFormat="1">
      <c r="A186" s="151" t="s">
        <v>418</v>
      </c>
      <c r="B186" s="540" t="s">
        <v>61</v>
      </c>
      <c r="C186" s="540"/>
      <c r="D186" s="540"/>
      <c r="E186" s="36" t="s">
        <v>54</v>
      </c>
      <c r="F186" s="36" t="s">
        <v>51</v>
      </c>
      <c r="G186" s="53"/>
      <c r="H186" s="63"/>
      <c r="I186" s="61">
        <v>-727.4</v>
      </c>
    </row>
    <row r="187" spans="1:9" s="35" customFormat="1">
      <c r="A187" s="151" t="s">
        <v>422</v>
      </c>
      <c r="B187" s="540" t="s">
        <v>61</v>
      </c>
      <c r="C187" s="540"/>
      <c r="D187" s="540"/>
      <c r="E187" s="36" t="s">
        <v>54</v>
      </c>
      <c r="F187" s="36" t="s">
        <v>51</v>
      </c>
      <c r="G187" s="53"/>
      <c r="H187" s="63"/>
      <c r="I187" s="61">
        <v>-1013</v>
      </c>
    </row>
    <row r="188" spans="1:9" s="35" customFormat="1">
      <c r="A188" s="151" t="s">
        <v>423</v>
      </c>
      <c r="B188" s="540" t="s">
        <v>61</v>
      </c>
      <c r="C188" s="540"/>
      <c r="D188" s="540"/>
      <c r="E188" s="36" t="s">
        <v>54</v>
      </c>
      <c r="F188" s="36" t="s">
        <v>51</v>
      </c>
      <c r="G188" s="53"/>
      <c r="H188" s="63"/>
      <c r="I188" s="170">
        <v>-999.2</v>
      </c>
    </row>
    <row r="189" spans="1:9" s="34" customFormat="1">
      <c r="A189" s="242" t="s">
        <v>74</v>
      </c>
      <c r="B189" s="242" t="s">
        <v>59</v>
      </c>
      <c r="C189" s="242" t="s">
        <v>76</v>
      </c>
      <c r="D189" s="556" t="s">
        <v>94</v>
      </c>
      <c r="E189" s="557"/>
      <c r="F189" s="557"/>
      <c r="G189" s="557"/>
      <c r="H189" s="547"/>
      <c r="I189" s="95">
        <f>+I190+I202</f>
        <v>-536454</v>
      </c>
    </row>
    <row r="190" spans="1:9" s="21" customFormat="1" ht="54.75" customHeight="1">
      <c r="A190" s="167" t="s">
        <v>184</v>
      </c>
      <c r="B190" s="541" t="s">
        <v>185</v>
      </c>
      <c r="C190" s="542"/>
      <c r="D190" s="542"/>
      <c r="E190" s="542"/>
      <c r="F190" s="542"/>
      <c r="G190" s="542"/>
      <c r="H190" s="543"/>
      <c r="I190" s="255">
        <f>+I191+I195</f>
        <v>-482002.69999999995</v>
      </c>
    </row>
    <row r="191" spans="1:9" s="35" customFormat="1" ht="21" customHeight="1">
      <c r="A191" s="43"/>
      <c r="B191" s="380" t="s">
        <v>50</v>
      </c>
      <c r="C191" s="544"/>
      <c r="D191" s="555"/>
      <c r="E191" s="59"/>
      <c r="F191" s="59"/>
      <c r="G191" s="59"/>
      <c r="H191" s="168"/>
      <c r="I191" s="60">
        <f>SUM(I192:I194)</f>
        <v>-474266.1</v>
      </c>
    </row>
    <row r="192" spans="1:9" s="22" customFormat="1">
      <c r="A192" s="47" t="s">
        <v>176</v>
      </c>
      <c r="B192" s="553" t="s">
        <v>173</v>
      </c>
      <c r="C192" s="553"/>
      <c r="D192" s="553"/>
      <c r="E192" s="36" t="s">
        <v>98</v>
      </c>
      <c r="F192" s="36" t="s">
        <v>73</v>
      </c>
      <c r="G192" s="244"/>
      <c r="H192" s="245"/>
      <c r="I192" s="170">
        <v>-112250.7</v>
      </c>
    </row>
    <row r="193" spans="1:25" s="22" customFormat="1">
      <c r="A193" s="47" t="s">
        <v>426</v>
      </c>
      <c r="B193" s="553" t="s">
        <v>190</v>
      </c>
      <c r="C193" s="553"/>
      <c r="D193" s="553"/>
      <c r="E193" s="36" t="s">
        <v>98</v>
      </c>
      <c r="F193" s="36" t="s">
        <v>73</v>
      </c>
      <c r="G193" s="244"/>
      <c r="H193" s="245"/>
      <c r="I193" s="170">
        <f>-187715.4-4300</f>
        <v>-192015.4</v>
      </c>
    </row>
    <row r="194" spans="1:25" s="22" customFormat="1">
      <c r="A194" s="47" t="s">
        <v>428</v>
      </c>
      <c r="B194" s="553" t="s">
        <v>190</v>
      </c>
      <c r="C194" s="553"/>
      <c r="D194" s="553"/>
      <c r="E194" s="36" t="s">
        <v>429</v>
      </c>
      <c r="F194" s="36" t="s">
        <v>73</v>
      </c>
      <c r="G194" s="244"/>
      <c r="H194" s="245"/>
      <c r="I194" s="170">
        <v>-170000</v>
      </c>
    </row>
    <row r="195" spans="1:25" s="35" customFormat="1" ht="21" customHeight="1">
      <c r="A195" s="43"/>
      <c r="B195" s="380" t="s">
        <v>52</v>
      </c>
      <c r="C195" s="544"/>
      <c r="D195" s="555"/>
      <c r="E195" s="59" t="s">
        <v>79</v>
      </c>
      <c r="F195" s="59" t="s">
        <v>79</v>
      </c>
      <c r="G195" s="59" t="s">
        <v>79</v>
      </c>
      <c r="H195" s="168"/>
      <c r="I195" s="60">
        <f>SUM(I196:I201)</f>
        <v>-7736.5999999999985</v>
      </c>
    </row>
    <row r="196" spans="1:25" s="62" customFormat="1">
      <c r="A196" s="151" t="s">
        <v>424</v>
      </c>
      <c r="B196" s="376" t="s">
        <v>60</v>
      </c>
      <c r="C196" s="376"/>
      <c r="D196" s="376"/>
      <c r="E196" s="153" t="s">
        <v>53</v>
      </c>
      <c r="F196" s="153" t="s">
        <v>51</v>
      </c>
      <c r="G196" s="247">
        <v>4867500</v>
      </c>
      <c r="H196" s="169">
        <v>-1</v>
      </c>
      <c r="I196" s="170">
        <f t="shared" ref="I196:I204" si="17">+ROUNDDOWN(H196*G196/1000,1)</f>
        <v>-4867.5</v>
      </c>
      <c r="J196" s="35"/>
      <c r="K196" s="35"/>
      <c r="L196" s="35"/>
      <c r="M196" s="35"/>
      <c r="N196" s="35"/>
      <c r="O196" s="35"/>
      <c r="P196" s="35"/>
      <c r="Q196" s="35"/>
      <c r="R196" s="35"/>
      <c r="S196" s="35"/>
      <c r="T196" s="35"/>
      <c r="U196" s="35"/>
      <c r="V196" s="35"/>
      <c r="W196" s="35"/>
      <c r="X196" s="35"/>
      <c r="Y196" s="35"/>
    </row>
    <row r="197" spans="1:25" s="62" customFormat="1">
      <c r="A197" s="151" t="s">
        <v>430</v>
      </c>
      <c r="B197" s="376" t="s">
        <v>60</v>
      </c>
      <c r="C197" s="376"/>
      <c r="D197" s="376"/>
      <c r="E197" s="153" t="s">
        <v>53</v>
      </c>
      <c r="F197" s="153" t="s">
        <v>51</v>
      </c>
      <c r="G197" s="247"/>
      <c r="H197" s="169"/>
      <c r="I197" s="170">
        <v>-2875.9</v>
      </c>
      <c r="J197" s="35"/>
      <c r="K197" s="35"/>
      <c r="L197" s="35"/>
      <c r="M197" s="35"/>
      <c r="N197" s="35"/>
      <c r="O197" s="35"/>
      <c r="P197" s="35"/>
      <c r="Q197" s="35"/>
      <c r="R197" s="35"/>
      <c r="S197" s="35"/>
      <c r="T197" s="35"/>
      <c r="U197" s="35"/>
      <c r="V197" s="35"/>
      <c r="W197" s="35"/>
      <c r="X197" s="35"/>
      <c r="Y197" s="35"/>
    </row>
    <row r="198" spans="1:25" s="62" customFormat="1">
      <c r="A198" s="151" t="s">
        <v>425</v>
      </c>
      <c r="B198" s="376" t="s">
        <v>60</v>
      </c>
      <c r="C198" s="376"/>
      <c r="D198" s="376"/>
      <c r="E198" s="153" t="s">
        <v>53</v>
      </c>
      <c r="F198" s="153" t="s">
        <v>51</v>
      </c>
      <c r="G198" s="247"/>
      <c r="H198" s="169"/>
      <c r="I198" s="170">
        <v>-8578.6</v>
      </c>
      <c r="J198" s="35"/>
      <c r="K198" s="35"/>
      <c r="L198" s="35"/>
      <c r="M198" s="35"/>
      <c r="N198" s="35"/>
      <c r="O198" s="35"/>
      <c r="P198" s="35"/>
      <c r="Q198" s="35"/>
      <c r="R198" s="35"/>
      <c r="S198" s="35"/>
      <c r="T198" s="35"/>
      <c r="U198" s="35"/>
      <c r="V198" s="35"/>
      <c r="W198" s="35"/>
      <c r="X198" s="35"/>
      <c r="Y198" s="35"/>
    </row>
    <row r="199" spans="1:25" s="62" customFormat="1">
      <c r="A199" s="151" t="s">
        <v>371</v>
      </c>
      <c r="B199" s="376" t="s">
        <v>61</v>
      </c>
      <c r="C199" s="376"/>
      <c r="D199" s="376"/>
      <c r="E199" s="153" t="s">
        <v>54</v>
      </c>
      <c r="F199" s="153" t="s">
        <v>51</v>
      </c>
      <c r="G199" s="247"/>
      <c r="H199" s="169"/>
      <c r="I199" s="170">
        <f>-1383.2-157.9</f>
        <v>-1541.1000000000001</v>
      </c>
      <c r="J199" s="35"/>
      <c r="K199" s="35"/>
      <c r="L199" s="35"/>
      <c r="M199" s="35"/>
      <c r="N199" s="35"/>
      <c r="O199" s="35"/>
      <c r="P199" s="35"/>
      <c r="Q199" s="35"/>
      <c r="R199" s="35"/>
      <c r="S199" s="35"/>
      <c r="T199" s="35"/>
      <c r="U199" s="35"/>
      <c r="V199" s="35"/>
      <c r="W199" s="35"/>
      <c r="X199" s="35"/>
      <c r="Y199" s="35"/>
    </row>
    <row r="200" spans="1:25" s="35" customFormat="1">
      <c r="A200" s="43" t="s">
        <v>378</v>
      </c>
      <c r="B200" s="540" t="s">
        <v>61</v>
      </c>
      <c r="C200" s="540"/>
      <c r="D200" s="540"/>
      <c r="E200" s="36" t="s">
        <v>54</v>
      </c>
      <c r="F200" s="36" t="s">
        <v>51</v>
      </c>
      <c r="G200" s="53">
        <v>973500</v>
      </c>
      <c r="H200" s="63">
        <v>-1</v>
      </c>
      <c r="I200" s="170">
        <f t="shared" si="17"/>
        <v>-973.5</v>
      </c>
    </row>
    <row r="201" spans="1:25" s="249" customFormat="1">
      <c r="A201" s="47">
        <v>71241200</v>
      </c>
      <c r="B201" s="553" t="s">
        <v>80</v>
      </c>
      <c r="C201" s="553"/>
      <c r="D201" s="553"/>
      <c r="E201" s="153" t="s">
        <v>98</v>
      </c>
      <c r="F201" s="153" t="s">
        <v>73</v>
      </c>
      <c r="G201" s="247">
        <v>11100000</v>
      </c>
      <c r="H201" s="171">
        <v>1</v>
      </c>
      <c r="I201" s="170">
        <f>+ROUNDUP(H201*G201/1000,1)</f>
        <v>11100</v>
      </c>
      <c r="J201" s="22"/>
      <c r="K201" s="22"/>
      <c r="L201" s="22"/>
      <c r="M201" s="22"/>
      <c r="N201" s="22"/>
      <c r="O201" s="22"/>
      <c r="P201" s="22"/>
      <c r="Q201" s="22"/>
      <c r="R201" s="22"/>
      <c r="S201" s="22"/>
      <c r="T201" s="22"/>
      <c r="U201" s="22"/>
      <c r="V201" s="22"/>
      <c r="W201" s="22"/>
      <c r="X201" s="22"/>
      <c r="Y201" s="22"/>
    </row>
    <row r="202" spans="1:25" s="21" customFormat="1" ht="54.75" customHeight="1">
      <c r="A202" s="167" t="s">
        <v>434</v>
      </c>
      <c r="B202" s="541" t="s">
        <v>435</v>
      </c>
      <c r="C202" s="542"/>
      <c r="D202" s="542"/>
      <c r="E202" s="542"/>
      <c r="F202" s="542"/>
      <c r="G202" s="542"/>
      <c r="H202" s="543"/>
      <c r="I202" s="255">
        <f>+I203</f>
        <v>-54451.3</v>
      </c>
    </row>
    <row r="203" spans="1:25" s="35" customFormat="1" ht="21" customHeight="1">
      <c r="A203" s="43"/>
      <c r="B203" s="380" t="s">
        <v>52</v>
      </c>
      <c r="C203" s="544"/>
      <c r="D203" s="555"/>
      <c r="E203" s="59" t="s">
        <v>79</v>
      </c>
      <c r="F203" s="59" t="s">
        <v>79</v>
      </c>
      <c r="G203" s="59" t="s">
        <v>79</v>
      </c>
      <c r="H203" s="168"/>
      <c r="I203" s="60">
        <f>SUM(I204:I205)</f>
        <v>-54451.3</v>
      </c>
    </row>
    <row r="204" spans="1:25" s="249" customFormat="1">
      <c r="A204" s="47" t="s">
        <v>432</v>
      </c>
      <c r="B204" s="553" t="s">
        <v>80</v>
      </c>
      <c r="C204" s="553"/>
      <c r="D204" s="553"/>
      <c r="E204" s="153" t="s">
        <v>53</v>
      </c>
      <c r="F204" s="153" t="s">
        <v>73</v>
      </c>
      <c r="G204" s="247">
        <v>52609900</v>
      </c>
      <c r="H204" s="171">
        <v>-1</v>
      </c>
      <c r="I204" s="170">
        <f t="shared" si="17"/>
        <v>-52609.9</v>
      </c>
      <c r="J204" s="22"/>
      <c r="K204" s="22"/>
      <c r="L204" s="22"/>
      <c r="M204" s="22"/>
      <c r="N204" s="22"/>
      <c r="O204" s="22"/>
      <c r="P204" s="22"/>
      <c r="Q204" s="22"/>
      <c r="R204" s="22"/>
      <c r="S204" s="22"/>
      <c r="T204" s="22"/>
      <c r="U204" s="22"/>
      <c r="V204" s="22"/>
      <c r="W204" s="22"/>
      <c r="X204" s="22"/>
      <c r="Y204" s="22"/>
    </row>
    <row r="205" spans="1:25" s="22" customFormat="1" ht="17.7" customHeight="1">
      <c r="A205" s="37" t="s">
        <v>183</v>
      </c>
      <c r="B205" s="554" t="s">
        <v>64</v>
      </c>
      <c r="C205" s="554"/>
      <c r="D205" s="554"/>
      <c r="E205" s="36" t="s">
        <v>53</v>
      </c>
      <c r="F205" s="36" t="s">
        <v>73</v>
      </c>
      <c r="G205" s="53">
        <v>1841400</v>
      </c>
      <c r="H205" s="171">
        <v>-1</v>
      </c>
      <c r="I205" s="170">
        <f t="shared" ref="I205" si="18">+ROUNDDOWN(H205*G205/1000,1)</f>
        <v>-1841.4</v>
      </c>
    </row>
    <row r="206" spans="1:25" s="3" customFormat="1">
      <c r="A206" s="166" t="s">
        <v>74</v>
      </c>
      <c r="B206" s="166" t="s">
        <v>75</v>
      </c>
      <c r="C206" s="166" t="s">
        <v>76</v>
      </c>
      <c r="D206" s="556" t="s">
        <v>77</v>
      </c>
      <c r="E206" s="557"/>
      <c r="F206" s="557"/>
      <c r="G206" s="557"/>
      <c r="H206" s="547"/>
      <c r="I206" s="254">
        <f>+I207+I210+I222+I228</f>
        <v>-1549494</v>
      </c>
    </row>
    <row r="207" spans="1:25" s="237" customFormat="1" ht="54.9" customHeight="1">
      <c r="A207" s="235" t="s">
        <v>382</v>
      </c>
      <c r="B207" s="558" t="s">
        <v>379</v>
      </c>
      <c r="C207" s="559"/>
      <c r="D207" s="559"/>
      <c r="E207" s="559"/>
      <c r="F207" s="559"/>
      <c r="G207" s="559"/>
      <c r="H207" s="560"/>
      <c r="I207" s="236">
        <f>+I208</f>
        <v>-100000</v>
      </c>
    </row>
    <row r="208" spans="1:25" s="19" customFormat="1" ht="21" customHeight="1">
      <c r="A208" s="203"/>
      <c r="B208" s="380" t="s">
        <v>78</v>
      </c>
      <c r="C208" s="544"/>
      <c r="D208" s="381"/>
      <c r="E208" s="59"/>
      <c r="F208" s="59"/>
      <c r="G208" s="59"/>
      <c r="H208" s="204"/>
      <c r="I208" s="60">
        <f>+I209</f>
        <v>-100000</v>
      </c>
    </row>
    <row r="209" spans="1:9" s="35" customFormat="1">
      <c r="A209" s="43" t="s">
        <v>383</v>
      </c>
      <c r="B209" s="540" t="s">
        <v>381</v>
      </c>
      <c r="C209" s="540"/>
      <c r="D209" s="540"/>
      <c r="E209" s="36" t="s">
        <v>200</v>
      </c>
      <c r="F209" s="36" t="s">
        <v>73</v>
      </c>
      <c r="G209" s="53"/>
      <c r="H209" s="171"/>
      <c r="I209" s="170">
        <v>-100000</v>
      </c>
    </row>
    <row r="210" spans="1:9" s="237" customFormat="1" ht="54.9" customHeight="1">
      <c r="A210" s="235" t="s">
        <v>209</v>
      </c>
      <c r="B210" s="558" t="s">
        <v>201</v>
      </c>
      <c r="C210" s="559"/>
      <c r="D210" s="559"/>
      <c r="E210" s="559"/>
      <c r="F210" s="559"/>
      <c r="G210" s="559"/>
      <c r="H210" s="560"/>
      <c r="I210" s="236">
        <f>+I211+I215</f>
        <v>-261132.3</v>
      </c>
    </row>
    <row r="211" spans="1:9" s="19" customFormat="1" ht="21" customHeight="1">
      <c r="A211" s="203"/>
      <c r="B211" s="380" t="s">
        <v>78</v>
      </c>
      <c r="C211" s="544"/>
      <c r="D211" s="381"/>
      <c r="E211" s="59"/>
      <c r="F211" s="59"/>
      <c r="G211" s="59"/>
      <c r="H211" s="204"/>
      <c r="I211" s="60">
        <f>SUM(I212:I214)</f>
        <v>-250000</v>
      </c>
    </row>
    <row r="212" spans="1:9" s="35" customFormat="1">
      <c r="A212" s="43" t="s">
        <v>369</v>
      </c>
      <c r="B212" s="540" t="s">
        <v>368</v>
      </c>
      <c r="C212" s="540"/>
      <c r="D212" s="540"/>
      <c r="E212" s="36" t="s">
        <v>200</v>
      </c>
      <c r="F212" s="36" t="s">
        <v>73</v>
      </c>
      <c r="G212" s="53">
        <v>100000000</v>
      </c>
      <c r="H212" s="171">
        <v>-1</v>
      </c>
      <c r="I212" s="170">
        <f t="shared" ref="I212" si="19">+ROUNDDOWN(H212*G212/1000,1)</f>
        <v>-100000</v>
      </c>
    </row>
    <row r="213" spans="1:9" s="35" customFormat="1">
      <c r="A213" s="43" t="s">
        <v>375</v>
      </c>
      <c r="B213" s="540" t="s">
        <v>368</v>
      </c>
      <c r="C213" s="540"/>
      <c r="D213" s="540"/>
      <c r="E213" s="36" t="s">
        <v>200</v>
      </c>
      <c r="F213" s="36" t="s">
        <v>73</v>
      </c>
      <c r="G213" s="53"/>
      <c r="H213" s="171"/>
      <c r="I213" s="170">
        <v>-100000</v>
      </c>
    </row>
    <row r="214" spans="1:9" s="35" customFormat="1">
      <c r="A214" s="43" t="s">
        <v>176</v>
      </c>
      <c r="B214" s="540" t="s">
        <v>368</v>
      </c>
      <c r="C214" s="540"/>
      <c r="D214" s="540"/>
      <c r="E214" s="36" t="s">
        <v>200</v>
      </c>
      <c r="F214" s="36" t="s">
        <v>73</v>
      </c>
      <c r="G214" s="53"/>
      <c r="H214" s="171"/>
      <c r="I214" s="170">
        <v>-50000</v>
      </c>
    </row>
    <row r="215" spans="1:9" s="35" customFormat="1" ht="21" customHeight="1">
      <c r="A215" s="43"/>
      <c r="B215" s="380" t="s">
        <v>52</v>
      </c>
      <c r="C215" s="544"/>
      <c r="D215" s="555"/>
      <c r="E215" s="59" t="s">
        <v>79</v>
      </c>
      <c r="F215" s="59" t="s">
        <v>79</v>
      </c>
      <c r="G215" s="59" t="s">
        <v>79</v>
      </c>
      <c r="H215" s="168"/>
      <c r="I215" s="60">
        <f>SUM(I216:I221)</f>
        <v>-11132.300000000001</v>
      </c>
    </row>
    <row r="216" spans="1:9" s="35" customFormat="1">
      <c r="A216" s="43" t="s">
        <v>370</v>
      </c>
      <c r="B216" s="540" t="s">
        <v>390</v>
      </c>
      <c r="C216" s="540"/>
      <c r="D216" s="540"/>
      <c r="E216" s="36" t="s">
        <v>53</v>
      </c>
      <c r="F216" s="36" t="s">
        <v>51</v>
      </c>
      <c r="G216" s="53">
        <v>3000000</v>
      </c>
      <c r="H216" s="171">
        <v>-1</v>
      </c>
      <c r="I216" s="170">
        <f t="shared" ref="I216" si="20">+ROUNDDOWN(H216*G216/1000,1)</f>
        <v>-3000</v>
      </c>
    </row>
    <row r="217" spans="1:9" s="35" customFormat="1">
      <c r="A217" s="43" t="s">
        <v>376</v>
      </c>
      <c r="B217" s="540" t="s">
        <v>390</v>
      </c>
      <c r="C217" s="540"/>
      <c r="D217" s="540"/>
      <c r="E217" s="36" t="s">
        <v>53</v>
      </c>
      <c r="F217" s="36" t="s">
        <v>51</v>
      </c>
      <c r="G217" s="53"/>
      <c r="H217" s="171"/>
      <c r="I217" s="170">
        <v>-3292.1</v>
      </c>
    </row>
    <row r="218" spans="1:9" s="35" customFormat="1">
      <c r="A218" s="43" t="s">
        <v>148</v>
      </c>
      <c r="B218" s="540" t="s">
        <v>390</v>
      </c>
      <c r="C218" s="540"/>
      <c r="D218" s="540"/>
      <c r="E218" s="36" t="s">
        <v>53</v>
      </c>
      <c r="F218" s="36" t="s">
        <v>51</v>
      </c>
      <c r="G218" s="53">
        <v>3000000</v>
      </c>
      <c r="H218" s="171">
        <v>-1</v>
      </c>
      <c r="I218" s="170">
        <f t="shared" ref="I218" si="21">+ROUNDDOWN(H218*G218/1000,1)</f>
        <v>-3000</v>
      </c>
    </row>
    <row r="219" spans="1:9" s="35" customFormat="1">
      <c r="A219" s="43" t="s">
        <v>371</v>
      </c>
      <c r="B219" s="540" t="s">
        <v>392</v>
      </c>
      <c r="C219" s="540"/>
      <c r="D219" s="540"/>
      <c r="E219" s="36" t="s">
        <v>391</v>
      </c>
      <c r="F219" s="36" t="s">
        <v>51</v>
      </c>
      <c r="G219" s="53">
        <v>600000</v>
      </c>
      <c r="H219" s="171">
        <v>-1</v>
      </c>
      <c r="I219" s="170">
        <f t="shared" ref="I219" si="22">+ROUNDDOWN(H219*G219/1000,1)</f>
        <v>-600</v>
      </c>
    </row>
    <row r="220" spans="1:9" s="35" customFormat="1">
      <c r="A220" s="43" t="s">
        <v>378</v>
      </c>
      <c r="B220" s="540" t="s">
        <v>392</v>
      </c>
      <c r="C220" s="540"/>
      <c r="D220" s="540"/>
      <c r="E220" s="36" t="s">
        <v>391</v>
      </c>
      <c r="F220" s="36" t="s">
        <v>51</v>
      </c>
      <c r="G220" s="53"/>
      <c r="H220" s="171"/>
      <c r="I220" s="170">
        <v>-640.20000000000005</v>
      </c>
    </row>
    <row r="221" spans="1:9" s="35" customFormat="1">
      <c r="A221" s="43" t="s">
        <v>377</v>
      </c>
      <c r="B221" s="540" t="s">
        <v>392</v>
      </c>
      <c r="C221" s="540"/>
      <c r="D221" s="540"/>
      <c r="E221" s="36" t="s">
        <v>391</v>
      </c>
      <c r="F221" s="36" t="s">
        <v>51</v>
      </c>
      <c r="G221" s="53">
        <v>600000</v>
      </c>
      <c r="H221" s="171">
        <v>-1</v>
      </c>
      <c r="I221" s="170">
        <f t="shared" ref="I221" si="23">+ROUNDDOWN(H221*G221/1000,1)</f>
        <v>-600</v>
      </c>
    </row>
    <row r="222" spans="1:9" s="21" customFormat="1" ht="54.75" customHeight="1">
      <c r="A222" s="167" t="s">
        <v>287</v>
      </c>
      <c r="B222" s="541" t="s">
        <v>288</v>
      </c>
      <c r="C222" s="542"/>
      <c r="D222" s="542"/>
      <c r="E222" s="542"/>
      <c r="F222" s="542"/>
      <c r="G222" s="542"/>
      <c r="H222" s="543"/>
      <c r="I222" s="255">
        <f>+I223+I225</f>
        <v>-567074.9</v>
      </c>
    </row>
    <row r="223" spans="1:9" s="19" customFormat="1" ht="21" customHeight="1">
      <c r="A223" s="203"/>
      <c r="B223" s="380" t="s">
        <v>78</v>
      </c>
      <c r="C223" s="544"/>
      <c r="D223" s="381"/>
      <c r="E223" s="59"/>
      <c r="F223" s="59"/>
      <c r="G223" s="59"/>
      <c r="H223" s="204"/>
      <c r="I223" s="60">
        <f>+I224</f>
        <v>-562906.80000000005</v>
      </c>
    </row>
    <row r="224" spans="1:9" s="35" customFormat="1">
      <c r="A224" s="43" t="s">
        <v>360</v>
      </c>
      <c r="B224" s="540" t="s">
        <v>358</v>
      </c>
      <c r="C224" s="540"/>
      <c r="D224" s="540"/>
      <c r="E224" s="36" t="s">
        <v>359</v>
      </c>
      <c r="F224" s="36" t="s">
        <v>73</v>
      </c>
      <c r="G224" s="53"/>
      <c r="H224" s="171"/>
      <c r="I224" s="170">
        <v>-562906.80000000005</v>
      </c>
    </row>
    <row r="225" spans="1:9" s="35" customFormat="1" ht="21" customHeight="1">
      <c r="A225" s="43"/>
      <c r="B225" s="380" t="s">
        <v>52</v>
      </c>
      <c r="C225" s="544"/>
      <c r="D225" s="555"/>
      <c r="E225" s="59" t="s">
        <v>79</v>
      </c>
      <c r="F225" s="59" t="s">
        <v>79</v>
      </c>
      <c r="G225" s="59" t="s">
        <v>79</v>
      </c>
      <c r="H225" s="168"/>
      <c r="I225" s="60">
        <f>SUM(I226:I227)</f>
        <v>-4168.1000000000004</v>
      </c>
    </row>
    <row r="226" spans="1:9" s="35" customFormat="1">
      <c r="A226" s="43" t="s">
        <v>99</v>
      </c>
      <c r="B226" s="540" t="s">
        <v>60</v>
      </c>
      <c r="C226" s="540"/>
      <c r="D226" s="540"/>
      <c r="E226" s="36" t="s">
        <v>53</v>
      </c>
      <c r="F226" s="36" t="s">
        <v>51</v>
      </c>
      <c r="G226" s="53"/>
      <c r="H226" s="171"/>
      <c r="I226" s="170">
        <v>-2767.3</v>
      </c>
    </row>
    <row r="227" spans="1:9" s="35" customFormat="1">
      <c r="A227" s="43" t="s">
        <v>100</v>
      </c>
      <c r="B227" s="540" t="s">
        <v>61</v>
      </c>
      <c r="C227" s="540"/>
      <c r="D227" s="540"/>
      <c r="E227" s="36" t="s">
        <v>54</v>
      </c>
      <c r="F227" s="36" t="s">
        <v>51</v>
      </c>
      <c r="G227" s="53"/>
      <c r="H227" s="171"/>
      <c r="I227" s="170">
        <v>-1400.8</v>
      </c>
    </row>
    <row r="228" spans="1:9" s="21" customFormat="1" ht="54.75" customHeight="1">
      <c r="A228" s="167" t="s">
        <v>366</v>
      </c>
      <c r="B228" s="541" t="s">
        <v>367</v>
      </c>
      <c r="C228" s="542"/>
      <c r="D228" s="542"/>
      <c r="E228" s="542"/>
      <c r="F228" s="542"/>
      <c r="G228" s="542"/>
      <c r="H228" s="543"/>
      <c r="I228" s="255">
        <f>+I229+I235</f>
        <v>-621286.80000000005</v>
      </c>
    </row>
    <row r="229" spans="1:9" s="19" customFormat="1" ht="21" customHeight="1">
      <c r="A229" s="203"/>
      <c r="B229" s="380" t="s">
        <v>78</v>
      </c>
      <c r="C229" s="544"/>
      <c r="D229" s="381"/>
      <c r="E229" s="59"/>
      <c r="F229" s="59"/>
      <c r="G229" s="59"/>
      <c r="H229" s="204"/>
      <c r="I229" s="60">
        <f>SUM(I230:I234)</f>
        <v>-622151.80000000005</v>
      </c>
    </row>
    <row r="230" spans="1:9" s="35" customFormat="1">
      <c r="A230" s="43" t="s">
        <v>186</v>
      </c>
      <c r="B230" s="540" t="s">
        <v>368</v>
      </c>
      <c r="C230" s="540"/>
      <c r="D230" s="540"/>
      <c r="E230" s="36" t="s">
        <v>200</v>
      </c>
      <c r="F230" s="36" t="s">
        <v>73</v>
      </c>
      <c r="G230" s="53"/>
      <c r="H230" s="171"/>
      <c r="I230" s="170">
        <v>-100000</v>
      </c>
    </row>
    <row r="231" spans="1:9" s="35" customFormat="1">
      <c r="A231" s="43" t="s">
        <v>369</v>
      </c>
      <c r="B231" s="540" t="s">
        <v>368</v>
      </c>
      <c r="C231" s="540"/>
      <c r="D231" s="540"/>
      <c r="E231" s="36" t="s">
        <v>200</v>
      </c>
      <c r="F231" s="36" t="s">
        <v>73</v>
      </c>
      <c r="G231" s="53"/>
      <c r="H231" s="171"/>
      <c r="I231" s="170">
        <v>-61075.9</v>
      </c>
    </row>
    <row r="232" spans="1:9" s="35" customFormat="1">
      <c r="A232" s="43" t="s">
        <v>172</v>
      </c>
      <c r="B232" s="540" t="s">
        <v>368</v>
      </c>
      <c r="C232" s="540"/>
      <c r="D232" s="540"/>
      <c r="E232" s="36" t="s">
        <v>200</v>
      </c>
      <c r="F232" s="36" t="s">
        <v>73</v>
      </c>
      <c r="G232" s="53"/>
      <c r="H232" s="171"/>
      <c r="I232" s="170">
        <v>-61075.9</v>
      </c>
    </row>
    <row r="233" spans="1:9" s="35" customFormat="1">
      <c r="A233" s="43" t="s">
        <v>176</v>
      </c>
      <c r="B233" s="540" t="s">
        <v>368</v>
      </c>
      <c r="C233" s="540"/>
      <c r="D233" s="540"/>
      <c r="E233" s="36" t="s">
        <v>200</v>
      </c>
      <c r="F233" s="36" t="s">
        <v>73</v>
      </c>
      <c r="G233" s="53">
        <v>200000000</v>
      </c>
      <c r="H233" s="171">
        <v>-1</v>
      </c>
      <c r="I233" s="170">
        <f>+ROUNDDOWN(H233*G233/1000,1)</f>
        <v>-200000</v>
      </c>
    </row>
    <row r="234" spans="1:9" s="35" customFormat="1">
      <c r="A234" s="43" t="s">
        <v>375</v>
      </c>
      <c r="B234" s="540" t="s">
        <v>368</v>
      </c>
      <c r="C234" s="540"/>
      <c r="D234" s="540"/>
      <c r="E234" s="36" t="s">
        <v>200</v>
      </c>
      <c r="F234" s="36" t="s">
        <v>73</v>
      </c>
      <c r="G234" s="53">
        <v>200000000</v>
      </c>
      <c r="H234" s="171">
        <v>-1</v>
      </c>
      <c r="I234" s="170">
        <f>+ROUNDDOWN(H234*G234/1000,1)</f>
        <v>-200000</v>
      </c>
    </row>
    <row r="235" spans="1:9" s="35" customFormat="1" ht="21" customHeight="1">
      <c r="A235" s="43"/>
      <c r="B235" s="380" t="s">
        <v>52</v>
      </c>
      <c r="C235" s="544"/>
      <c r="D235" s="555"/>
      <c r="E235" s="59" t="s">
        <v>79</v>
      </c>
      <c r="F235" s="59" t="s">
        <v>79</v>
      </c>
      <c r="G235" s="59" t="s">
        <v>79</v>
      </c>
      <c r="H235" s="168"/>
      <c r="I235" s="60">
        <f>SUM(I236:I253)</f>
        <v>865.00000000000023</v>
      </c>
    </row>
    <row r="236" spans="1:9" s="35" customFormat="1">
      <c r="A236" s="43" t="s">
        <v>99</v>
      </c>
      <c r="B236" s="540" t="s">
        <v>60</v>
      </c>
      <c r="C236" s="540"/>
      <c r="D236" s="540"/>
      <c r="E236" s="36" t="s">
        <v>53</v>
      </c>
      <c r="F236" s="36" t="s">
        <v>51</v>
      </c>
      <c r="G236" s="53"/>
      <c r="H236" s="171"/>
      <c r="I236" s="170">
        <v>-3000</v>
      </c>
    </row>
    <row r="237" spans="1:9" s="35" customFormat="1">
      <c r="A237" s="43" t="s">
        <v>370</v>
      </c>
      <c r="B237" s="540" t="s">
        <v>60</v>
      </c>
      <c r="C237" s="540"/>
      <c r="D237" s="540"/>
      <c r="E237" s="36" t="s">
        <v>53</v>
      </c>
      <c r="F237" s="36" t="s">
        <v>51</v>
      </c>
      <c r="G237" s="53"/>
      <c r="H237" s="171"/>
      <c r="I237" s="170">
        <v>-3332.3</v>
      </c>
    </row>
    <row r="238" spans="1:9" s="35" customFormat="1">
      <c r="A238" s="43" t="s">
        <v>174</v>
      </c>
      <c r="B238" s="540" t="s">
        <v>60</v>
      </c>
      <c r="C238" s="540"/>
      <c r="D238" s="540"/>
      <c r="E238" s="36" t="s">
        <v>53</v>
      </c>
      <c r="F238" s="36" t="s">
        <v>51</v>
      </c>
      <c r="G238" s="53"/>
      <c r="H238" s="171"/>
      <c r="I238" s="170">
        <v>-3332.3</v>
      </c>
    </row>
    <row r="239" spans="1:9" s="35" customFormat="1">
      <c r="A239" s="43" t="s">
        <v>148</v>
      </c>
      <c r="B239" s="540" t="s">
        <v>60</v>
      </c>
      <c r="C239" s="540"/>
      <c r="D239" s="540"/>
      <c r="E239" s="36" t="s">
        <v>53</v>
      </c>
      <c r="F239" s="36" t="s">
        <v>51</v>
      </c>
      <c r="G239" s="53">
        <v>6000000</v>
      </c>
      <c r="H239" s="171">
        <v>-1</v>
      </c>
      <c r="I239" s="170">
        <f t="shared" ref="I239:I240" si="24">+ROUNDDOWN(H239*G239/1000,1)</f>
        <v>-6000</v>
      </c>
    </row>
    <row r="240" spans="1:9" s="35" customFormat="1">
      <c r="A240" s="43" t="s">
        <v>376</v>
      </c>
      <c r="B240" s="540" t="s">
        <v>60</v>
      </c>
      <c r="C240" s="540"/>
      <c r="D240" s="540"/>
      <c r="E240" s="36" t="s">
        <v>53</v>
      </c>
      <c r="F240" s="36" t="s">
        <v>51</v>
      </c>
      <c r="G240" s="53">
        <v>6000000</v>
      </c>
      <c r="H240" s="171">
        <v>-1</v>
      </c>
      <c r="I240" s="170">
        <f t="shared" si="24"/>
        <v>-6000</v>
      </c>
    </row>
    <row r="241" spans="1:9" s="35" customFormat="1">
      <c r="A241" s="43" t="s">
        <v>100</v>
      </c>
      <c r="B241" s="540" t="s">
        <v>61</v>
      </c>
      <c r="C241" s="540"/>
      <c r="D241" s="540"/>
      <c r="E241" s="36" t="s">
        <v>54</v>
      </c>
      <c r="F241" s="36" t="s">
        <v>51</v>
      </c>
      <c r="G241" s="53"/>
      <c r="H241" s="171"/>
      <c r="I241" s="170">
        <v>-600</v>
      </c>
    </row>
    <row r="242" spans="1:9" s="35" customFormat="1">
      <c r="A242" s="43" t="s">
        <v>371</v>
      </c>
      <c r="B242" s="540" t="s">
        <v>61</v>
      </c>
      <c r="C242" s="540"/>
      <c r="D242" s="540"/>
      <c r="E242" s="36" t="s">
        <v>54</v>
      </c>
      <c r="F242" s="36" t="s">
        <v>51</v>
      </c>
      <c r="G242" s="53"/>
      <c r="H242" s="171"/>
      <c r="I242" s="170">
        <v>-666.4</v>
      </c>
    </row>
    <row r="243" spans="1:9" s="35" customFormat="1">
      <c r="A243" s="43" t="s">
        <v>175</v>
      </c>
      <c r="B243" s="540" t="s">
        <v>61</v>
      </c>
      <c r="C243" s="540"/>
      <c r="D243" s="540"/>
      <c r="E243" s="36" t="s">
        <v>54</v>
      </c>
      <c r="F243" s="36" t="s">
        <v>51</v>
      </c>
      <c r="G243" s="53"/>
      <c r="H243" s="171"/>
      <c r="I243" s="170">
        <v>-666.4</v>
      </c>
    </row>
    <row r="244" spans="1:9" s="35" customFormat="1">
      <c r="A244" s="43" t="s">
        <v>377</v>
      </c>
      <c r="B244" s="540" t="s">
        <v>61</v>
      </c>
      <c r="C244" s="540"/>
      <c r="D244" s="540"/>
      <c r="E244" s="36" t="s">
        <v>54</v>
      </c>
      <c r="F244" s="36" t="s">
        <v>51</v>
      </c>
      <c r="G244" s="53">
        <v>1200000</v>
      </c>
      <c r="H244" s="171">
        <v>-1</v>
      </c>
      <c r="I244" s="170">
        <f t="shared" ref="I244:I245" si="25">+ROUNDDOWN(H244*G244/1000,1)</f>
        <v>-1200</v>
      </c>
    </row>
    <row r="245" spans="1:9" s="35" customFormat="1">
      <c r="A245" s="43" t="s">
        <v>378</v>
      </c>
      <c r="B245" s="540" t="s">
        <v>61</v>
      </c>
      <c r="C245" s="540"/>
      <c r="D245" s="540"/>
      <c r="E245" s="36" t="s">
        <v>54</v>
      </c>
      <c r="F245" s="36" t="s">
        <v>51</v>
      </c>
      <c r="G245" s="53">
        <v>1200000</v>
      </c>
      <c r="H245" s="171">
        <v>-1</v>
      </c>
      <c r="I245" s="170">
        <f t="shared" si="25"/>
        <v>-1200</v>
      </c>
    </row>
    <row r="246" spans="1:9" s="22" customFormat="1">
      <c r="A246" s="47">
        <v>71241200</v>
      </c>
      <c r="B246" s="553" t="s">
        <v>80</v>
      </c>
      <c r="C246" s="553"/>
      <c r="D246" s="553"/>
      <c r="E246" s="153" t="s">
        <v>53</v>
      </c>
      <c r="F246" s="153" t="s">
        <v>73</v>
      </c>
      <c r="G246" s="111">
        <v>8427150</v>
      </c>
      <c r="H246" s="171">
        <v>1</v>
      </c>
      <c r="I246" s="170">
        <f>+ROUNDUP(H246*G246/1000,1)</f>
        <v>8427.2000000000007</v>
      </c>
    </row>
    <row r="247" spans="1:9" s="22" customFormat="1">
      <c r="A247" s="47">
        <v>71241200</v>
      </c>
      <c r="B247" s="553" t="s">
        <v>80</v>
      </c>
      <c r="C247" s="553"/>
      <c r="D247" s="553"/>
      <c r="E247" s="153" t="s">
        <v>53</v>
      </c>
      <c r="F247" s="153" t="s">
        <v>73</v>
      </c>
      <c r="G247" s="111">
        <v>8427150</v>
      </c>
      <c r="H247" s="171">
        <v>1</v>
      </c>
      <c r="I247" s="170">
        <f t="shared" ref="I247" si="26">+ROUNDUP(H247*G247/1000,1)</f>
        <v>8427.2000000000007</v>
      </c>
    </row>
    <row r="248" spans="1:9" s="22" customFormat="1">
      <c r="A248" s="47" t="s">
        <v>206</v>
      </c>
      <c r="B248" s="553" t="s">
        <v>80</v>
      </c>
      <c r="C248" s="553"/>
      <c r="D248" s="553"/>
      <c r="E248" s="153" t="s">
        <v>53</v>
      </c>
      <c r="F248" s="153" t="s">
        <v>73</v>
      </c>
      <c r="G248" s="111"/>
      <c r="H248" s="169"/>
      <c r="I248" s="170">
        <v>3727.1</v>
      </c>
    </row>
    <row r="249" spans="1:9" s="22" customFormat="1">
      <c r="A249" s="47" t="s">
        <v>204</v>
      </c>
      <c r="B249" s="553" t="s">
        <v>80</v>
      </c>
      <c r="C249" s="553"/>
      <c r="D249" s="553"/>
      <c r="E249" s="153" t="s">
        <v>53</v>
      </c>
      <c r="F249" s="153" t="s">
        <v>73</v>
      </c>
      <c r="G249" s="111"/>
      <c r="H249" s="169"/>
      <c r="I249" s="170">
        <v>3727.1</v>
      </c>
    </row>
    <row r="250" spans="1:9" s="22" customFormat="1" ht="17.7" customHeight="1">
      <c r="A250" s="37">
        <v>50531140</v>
      </c>
      <c r="B250" s="554" t="s">
        <v>64</v>
      </c>
      <c r="C250" s="554"/>
      <c r="D250" s="554"/>
      <c r="E250" s="36" t="s">
        <v>53</v>
      </c>
      <c r="F250" s="36" t="s">
        <v>73</v>
      </c>
      <c r="G250" s="53">
        <v>758440</v>
      </c>
      <c r="H250" s="171">
        <v>1</v>
      </c>
      <c r="I250" s="170">
        <f>+ROUNDUP(H250*G250/1000,1)</f>
        <v>758.5</v>
      </c>
    </row>
    <row r="251" spans="1:9" s="22" customFormat="1" ht="17.7" customHeight="1">
      <c r="A251" s="37">
        <v>50531140</v>
      </c>
      <c r="B251" s="554" t="s">
        <v>64</v>
      </c>
      <c r="C251" s="554"/>
      <c r="D251" s="554"/>
      <c r="E251" s="36" t="s">
        <v>53</v>
      </c>
      <c r="F251" s="36" t="s">
        <v>73</v>
      </c>
      <c r="G251" s="53">
        <v>758440</v>
      </c>
      <c r="H251" s="171">
        <v>1</v>
      </c>
      <c r="I251" s="170">
        <f t="shared" ref="I251" si="27">+ROUNDUP(H251*G251/1000,1)</f>
        <v>758.5</v>
      </c>
    </row>
    <row r="252" spans="1:9" s="22" customFormat="1" ht="17.7" customHeight="1">
      <c r="A252" s="37" t="s">
        <v>374</v>
      </c>
      <c r="B252" s="554" t="s">
        <v>64</v>
      </c>
      <c r="C252" s="554"/>
      <c r="D252" s="554"/>
      <c r="E252" s="36" t="s">
        <v>53</v>
      </c>
      <c r="F252" s="36" t="s">
        <v>73</v>
      </c>
      <c r="G252" s="53"/>
      <c r="H252" s="171"/>
      <c r="I252" s="170">
        <v>518.4</v>
      </c>
    </row>
    <row r="253" spans="1:9" s="22" customFormat="1" ht="17.7" customHeight="1">
      <c r="A253" s="37" t="s">
        <v>205</v>
      </c>
      <c r="B253" s="554" t="s">
        <v>64</v>
      </c>
      <c r="C253" s="554"/>
      <c r="D253" s="554"/>
      <c r="E253" s="36" t="s">
        <v>53</v>
      </c>
      <c r="F253" s="36" t="s">
        <v>73</v>
      </c>
      <c r="G253" s="53"/>
      <c r="H253" s="171"/>
      <c r="I253" s="170">
        <v>518.4</v>
      </c>
    </row>
    <row r="255" spans="1:9" s="21" customFormat="1" ht="44.85" customHeight="1">
      <c r="A255" s="561" t="s">
        <v>336</v>
      </c>
      <c r="B255" s="561"/>
      <c r="C255" s="561"/>
      <c r="D255" s="561"/>
      <c r="E255" s="561"/>
      <c r="F255" s="561"/>
      <c r="G255" s="561"/>
      <c r="H255" s="561"/>
      <c r="I255" s="252">
        <f>+I256</f>
        <v>100325.90000000001</v>
      </c>
    </row>
    <row r="256" spans="1:9" s="3" customFormat="1">
      <c r="A256" s="166" t="s">
        <v>74</v>
      </c>
      <c r="B256" s="166" t="s">
        <v>75</v>
      </c>
      <c r="C256" s="166" t="s">
        <v>76</v>
      </c>
      <c r="D256" s="556" t="s">
        <v>77</v>
      </c>
      <c r="E256" s="557"/>
      <c r="F256" s="557"/>
      <c r="G256" s="557"/>
      <c r="H256" s="547"/>
      <c r="I256" s="254">
        <f>+I257</f>
        <v>100325.90000000001</v>
      </c>
    </row>
    <row r="257" spans="1:9" s="21" customFormat="1" ht="54.75" customHeight="1">
      <c r="A257" s="167" t="s">
        <v>285</v>
      </c>
      <c r="B257" s="541" t="s">
        <v>286</v>
      </c>
      <c r="C257" s="542"/>
      <c r="D257" s="542"/>
      <c r="E257" s="542"/>
      <c r="F257" s="542"/>
      <c r="G257" s="542"/>
      <c r="H257" s="543"/>
      <c r="I257" s="255">
        <f>+I258</f>
        <v>100325.90000000001</v>
      </c>
    </row>
    <row r="258" spans="1:9" s="19" customFormat="1" ht="21" customHeight="1">
      <c r="A258" s="203"/>
      <c r="B258" s="380" t="s">
        <v>78</v>
      </c>
      <c r="C258" s="544"/>
      <c r="D258" s="381"/>
      <c r="E258" s="59"/>
      <c r="F258" s="59"/>
      <c r="G258" s="59"/>
      <c r="H258" s="204"/>
      <c r="I258" s="60">
        <f>+I259</f>
        <v>100325.90000000001</v>
      </c>
    </row>
    <row r="259" spans="1:9" s="35" customFormat="1">
      <c r="A259" s="43">
        <v>45261124</v>
      </c>
      <c r="B259" s="540" t="s">
        <v>337</v>
      </c>
      <c r="C259" s="540"/>
      <c r="D259" s="540"/>
      <c r="E259" s="36" t="s">
        <v>177</v>
      </c>
      <c r="F259" s="36" t="s">
        <v>73</v>
      </c>
      <c r="G259" s="53">
        <v>100325842</v>
      </c>
      <c r="H259" s="63">
        <v>1</v>
      </c>
      <c r="I259" s="60">
        <f>+ROUNDUP(H259*G259/1000,1)</f>
        <v>100325.90000000001</v>
      </c>
    </row>
  </sheetData>
  <mergeCells count="256">
    <mergeCell ref="B127:D127"/>
    <mergeCell ref="B128:D128"/>
    <mergeCell ref="B85:D85"/>
    <mergeCell ref="B123:D123"/>
    <mergeCell ref="B115:D115"/>
    <mergeCell ref="B116:D116"/>
    <mergeCell ref="B117:D117"/>
    <mergeCell ref="B124:D124"/>
    <mergeCell ref="B125:D125"/>
    <mergeCell ref="B126:D126"/>
    <mergeCell ref="B118:D118"/>
    <mergeCell ref="B119:D119"/>
    <mergeCell ref="B120:D120"/>
    <mergeCell ref="B121:D121"/>
    <mergeCell ref="B122:D122"/>
    <mergeCell ref="B106:D106"/>
    <mergeCell ref="B107:D107"/>
    <mergeCell ref="B108:D108"/>
    <mergeCell ref="B109:D109"/>
    <mergeCell ref="B110:D110"/>
    <mergeCell ref="B111:D111"/>
    <mergeCell ref="B112:D112"/>
    <mergeCell ref="B113:D113"/>
    <mergeCell ref="B114:D114"/>
    <mergeCell ref="B234:D234"/>
    <mergeCell ref="B239:D239"/>
    <mergeCell ref="B229:D229"/>
    <mergeCell ref="B230:D230"/>
    <mergeCell ref="B235:D235"/>
    <mergeCell ref="B236:D236"/>
    <mergeCell ref="B227:D227"/>
    <mergeCell ref="B223:D223"/>
    <mergeCell ref="B224:D224"/>
    <mergeCell ref="B225:D225"/>
    <mergeCell ref="B226:D226"/>
    <mergeCell ref="B228:H228"/>
    <mergeCell ref="B153:D153"/>
    <mergeCell ref="B177:D177"/>
    <mergeCell ref="B167:D167"/>
    <mergeCell ref="B175:D175"/>
    <mergeCell ref="B171:H171"/>
    <mergeCell ref="B184:D184"/>
    <mergeCell ref="B249:D249"/>
    <mergeCell ref="B253:D253"/>
    <mergeCell ref="B248:D248"/>
    <mergeCell ref="B252:D252"/>
    <mergeCell ref="B246:D246"/>
    <mergeCell ref="B250:D250"/>
    <mergeCell ref="B247:D247"/>
    <mergeCell ref="B251:D251"/>
    <mergeCell ref="B244:D244"/>
    <mergeCell ref="B245:D245"/>
    <mergeCell ref="B241:D241"/>
    <mergeCell ref="B231:D231"/>
    <mergeCell ref="B237:D237"/>
    <mergeCell ref="B242:D242"/>
    <mergeCell ref="B232:D232"/>
    <mergeCell ref="B238:D238"/>
    <mergeCell ref="B233:D233"/>
    <mergeCell ref="B199:D199"/>
    <mergeCell ref="B187:D187"/>
    <mergeCell ref="B188:D188"/>
    <mergeCell ref="B182:D182"/>
    <mergeCell ref="B186:D186"/>
    <mergeCell ref="B161:D161"/>
    <mergeCell ref="B183:D183"/>
    <mergeCell ref="B176:D176"/>
    <mergeCell ref="B181:D181"/>
    <mergeCell ref="B179:D179"/>
    <mergeCell ref="B174:D174"/>
    <mergeCell ref="B180:D180"/>
    <mergeCell ref="B185:D185"/>
    <mergeCell ref="B60:D60"/>
    <mergeCell ref="B61:D61"/>
    <mergeCell ref="B62:D62"/>
    <mergeCell ref="B46:D46"/>
    <mergeCell ref="B68:D68"/>
    <mergeCell ref="B70:D70"/>
    <mergeCell ref="B173:D173"/>
    <mergeCell ref="B172:D172"/>
    <mergeCell ref="B178:D178"/>
    <mergeCell ref="B154:D154"/>
    <mergeCell ref="B157:D157"/>
    <mergeCell ref="B158:D158"/>
    <mergeCell ref="B151:H151"/>
    <mergeCell ref="B147:H147"/>
    <mergeCell ref="B148:D148"/>
    <mergeCell ref="B149:D149"/>
    <mergeCell ref="B152:D152"/>
    <mergeCell ref="B144:D144"/>
    <mergeCell ref="B146:D146"/>
    <mergeCell ref="B47:D47"/>
    <mergeCell ref="B49:D49"/>
    <mergeCell ref="B50:D50"/>
    <mergeCell ref="D76:H76"/>
    <mergeCell ref="B77:H77"/>
    <mergeCell ref="B37:D37"/>
    <mergeCell ref="B38:D38"/>
    <mergeCell ref="B40:D40"/>
    <mergeCell ref="B36:D36"/>
    <mergeCell ref="B39:D39"/>
    <mergeCell ref="B41:D41"/>
    <mergeCell ref="B43:H43"/>
    <mergeCell ref="B44:D44"/>
    <mergeCell ref="B45:D45"/>
    <mergeCell ref="H1:I1"/>
    <mergeCell ref="H2:I2"/>
    <mergeCell ref="H3:I3"/>
    <mergeCell ref="A6:I7"/>
    <mergeCell ref="A10:A11"/>
    <mergeCell ref="B10:D11"/>
    <mergeCell ref="E10:E11"/>
    <mergeCell ref="F10:F11"/>
    <mergeCell ref="G10:G11"/>
    <mergeCell ref="H10:I10"/>
    <mergeCell ref="B12:D12"/>
    <mergeCell ref="A13:H13"/>
    <mergeCell ref="D58:H58"/>
    <mergeCell ref="B59:H59"/>
    <mergeCell ref="B64:D64"/>
    <mergeCell ref="B71:D71"/>
    <mergeCell ref="B73:D73"/>
    <mergeCell ref="B72:D72"/>
    <mergeCell ref="B74:D74"/>
    <mergeCell ref="B48:D48"/>
    <mergeCell ref="B51:D51"/>
    <mergeCell ref="B52:D52"/>
    <mergeCell ref="B53:D53"/>
    <mergeCell ref="B54:D54"/>
    <mergeCell ref="B55:D55"/>
    <mergeCell ref="B56:D56"/>
    <mergeCell ref="B67:D67"/>
    <mergeCell ref="B69:D69"/>
    <mergeCell ref="B42:D42"/>
    <mergeCell ref="B57:D57"/>
    <mergeCell ref="B63:D63"/>
    <mergeCell ref="B65:D65"/>
    <mergeCell ref="B66:D66"/>
    <mergeCell ref="B35:D35"/>
    <mergeCell ref="B78:D78"/>
    <mergeCell ref="B79:D79"/>
    <mergeCell ref="B75:D75"/>
    <mergeCell ref="B162:D162"/>
    <mergeCell ref="B150:D150"/>
    <mergeCell ref="A164:H164"/>
    <mergeCell ref="D170:H170"/>
    <mergeCell ref="B129:H129"/>
    <mergeCell ref="B130:D130"/>
    <mergeCell ref="B131:D131"/>
    <mergeCell ref="B82:D82"/>
    <mergeCell ref="B83:D83"/>
    <mergeCell ref="B86:D86"/>
    <mergeCell ref="B87:D87"/>
    <mergeCell ref="B84:D84"/>
    <mergeCell ref="B88:D88"/>
    <mergeCell ref="B89:D89"/>
    <mergeCell ref="B90:D90"/>
    <mergeCell ref="B91:D91"/>
    <mergeCell ref="B92:D92"/>
    <mergeCell ref="B93:D93"/>
    <mergeCell ref="B166:H166"/>
    <mergeCell ref="B168:D168"/>
    <mergeCell ref="B169:D169"/>
    <mergeCell ref="B240:D240"/>
    <mergeCell ref="B222:H222"/>
    <mergeCell ref="B243:D243"/>
    <mergeCell ref="A255:H255"/>
    <mergeCell ref="D256:H256"/>
    <mergeCell ref="B257:H257"/>
    <mergeCell ref="B258:D258"/>
    <mergeCell ref="B259:D259"/>
    <mergeCell ref="D80:H80"/>
    <mergeCell ref="B81:H81"/>
    <mergeCell ref="B97:D97"/>
    <mergeCell ref="B98:D98"/>
    <mergeCell ref="D137:H137"/>
    <mergeCell ref="D132:H132"/>
    <mergeCell ref="B133:H133"/>
    <mergeCell ref="B134:D134"/>
    <mergeCell ref="B135:D135"/>
    <mergeCell ref="B136:D136"/>
    <mergeCell ref="B138:H138"/>
    <mergeCell ref="B139:D139"/>
    <mergeCell ref="B140:D140"/>
    <mergeCell ref="B141:D141"/>
    <mergeCell ref="B142:D142"/>
    <mergeCell ref="B143:D143"/>
    <mergeCell ref="B145:D145"/>
    <mergeCell ref="D159:H159"/>
    <mergeCell ref="B160:H160"/>
    <mergeCell ref="B155:H155"/>
    <mergeCell ref="B156:D156"/>
    <mergeCell ref="B219:D219"/>
    <mergeCell ref="D165:H165"/>
    <mergeCell ref="B207:H207"/>
    <mergeCell ref="B208:D208"/>
    <mergeCell ref="B209:D209"/>
    <mergeCell ref="B205:D205"/>
    <mergeCell ref="D189:H189"/>
    <mergeCell ref="B190:H190"/>
    <mergeCell ref="B203:D203"/>
    <mergeCell ref="B213:D213"/>
    <mergeCell ref="B215:D215"/>
    <mergeCell ref="B210:H210"/>
    <mergeCell ref="B211:D211"/>
    <mergeCell ref="B196:D196"/>
    <mergeCell ref="B200:D200"/>
    <mergeCell ref="D206:H206"/>
    <mergeCell ref="B197:D197"/>
    <mergeCell ref="B214:D214"/>
    <mergeCell ref="B194:D194"/>
    <mergeCell ref="B198:D198"/>
    <mergeCell ref="B191:D191"/>
    <mergeCell ref="B192:D192"/>
    <mergeCell ref="B193:D193"/>
    <mergeCell ref="B195:D195"/>
    <mergeCell ref="B204:D204"/>
    <mergeCell ref="B201:D201"/>
    <mergeCell ref="B218:D218"/>
    <mergeCell ref="B221:D221"/>
    <mergeCell ref="B202:H202"/>
    <mergeCell ref="B217:D217"/>
    <mergeCell ref="B212:D212"/>
    <mergeCell ref="B216:D216"/>
    <mergeCell ref="B220:D220"/>
    <mergeCell ref="D14:H14"/>
    <mergeCell ref="B15:H15"/>
    <mergeCell ref="B16:D16"/>
    <mergeCell ref="B17:D17"/>
    <mergeCell ref="B18:D18"/>
    <mergeCell ref="B19:D19"/>
    <mergeCell ref="B20:D20"/>
    <mergeCell ref="B33:H33"/>
    <mergeCell ref="B34:D34"/>
    <mergeCell ref="D25:H25"/>
    <mergeCell ref="B26:H26"/>
    <mergeCell ref="B27:D27"/>
    <mergeCell ref="B28:D28"/>
    <mergeCell ref="B31:D31"/>
    <mergeCell ref="D21:H21"/>
    <mergeCell ref="B22:H22"/>
    <mergeCell ref="B24:D24"/>
    <mergeCell ref="B23:D23"/>
    <mergeCell ref="B29:D29"/>
    <mergeCell ref="B30:D30"/>
    <mergeCell ref="D32:H32"/>
    <mergeCell ref="B105:D105"/>
    <mergeCell ref="B94:D94"/>
    <mergeCell ref="B95:D95"/>
    <mergeCell ref="B96:D96"/>
    <mergeCell ref="B99:H99"/>
    <mergeCell ref="B100:D100"/>
    <mergeCell ref="B101:D101"/>
    <mergeCell ref="B102:D102"/>
    <mergeCell ref="B103:D103"/>
    <mergeCell ref="B104:D104"/>
  </mergeCells>
  <phoneticPr fontId="91" type="noConversion"/>
  <pageMargins left="0.7" right="0.7" top="0.75" bottom="0.75" header="0.3" footer="0.3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2AA5F-1784-4B17-A88C-5291B294071A}">
  <sheetPr>
    <tabColor rgb="FF92D050"/>
  </sheetPr>
  <dimension ref="A1:H73"/>
  <sheetViews>
    <sheetView topLeftCell="A2" zoomScale="70" zoomScaleNormal="70" zoomScaleSheetLayoutView="100" workbookViewId="0">
      <selection activeCell="G34" sqref="G34:H34"/>
    </sheetView>
  </sheetViews>
  <sheetFormatPr defaultColWidth="9.109375" defaultRowHeight="17.399999999999999"/>
  <cols>
    <col min="1" max="3" width="8.88671875" style="3" customWidth="1"/>
    <col min="4" max="4" width="10.33203125" style="3" customWidth="1"/>
    <col min="5" max="5" width="14.5546875" style="3" customWidth="1"/>
    <col min="6" max="6" width="62.109375" style="3" customWidth="1"/>
    <col min="7" max="8" width="23.77734375" style="3" customWidth="1"/>
    <col min="9" max="9" width="49.88671875" style="3" customWidth="1"/>
    <col min="10" max="10" width="14.33203125" style="3" customWidth="1"/>
    <col min="11" max="16384" width="9.109375" style="3"/>
  </cols>
  <sheetData>
    <row r="1" spans="1:8" ht="38.1" customHeight="1">
      <c r="F1" s="377" t="s">
        <v>634</v>
      </c>
      <c r="G1" s="377"/>
      <c r="H1" s="377"/>
    </row>
    <row r="2" spans="1:8" ht="17.55" customHeight="1">
      <c r="G2" s="20"/>
      <c r="H2" s="20" t="s">
        <v>97</v>
      </c>
    </row>
    <row r="3" spans="1:8" ht="17.55" customHeight="1">
      <c r="G3" s="20"/>
      <c r="H3" s="20" t="s">
        <v>0</v>
      </c>
    </row>
    <row r="6" spans="1:8" ht="52.5" customHeight="1">
      <c r="A6" s="426" t="s">
        <v>618</v>
      </c>
      <c r="B6" s="426"/>
      <c r="C6" s="426"/>
      <c r="D6" s="426"/>
      <c r="E6" s="426"/>
      <c r="F6" s="426"/>
      <c r="G6" s="426"/>
      <c r="H6" s="426"/>
    </row>
    <row r="8" spans="1:8">
      <c r="G8" s="344"/>
      <c r="H8" s="344"/>
    </row>
    <row r="9" spans="1:8" s="10" customFormat="1" ht="56.1" customHeight="1">
      <c r="A9" s="501" t="s">
        <v>10</v>
      </c>
      <c r="B9" s="501"/>
      <c r="C9" s="501"/>
      <c r="D9" s="501" t="s">
        <v>1</v>
      </c>
      <c r="E9" s="501"/>
      <c r="F9" s="501" t="s">
        <v>5</v>
      </c>
      <c r="G9" s="380" t="s">
        <v>619</v>
      </c>
      <c r="H9" s="381"/>
    </row>
    <row r="10" spans="1:8" s="10" customFormat="1" ht="45" customHeight="1">
      <c r="A10" s="36" t="s">
        <v>620</v>
      </c>
      <c r="B10" s="36" t="s">
        <v>621</v>
      </c>
      <c r="C10" s="36" t="s">
        <v>11</v>
      </c>
      <c r="D10" s="36" t="s">
        <v>4</v>
      </c>
      <c r="E10" s="36" t="s">
        <v>622</v>
      </c>
      <c r="F10" s="501"/>
      <c r="G10" s="36" t="s">
        <v>2</v>
      </c>
      <c r="H10" s="36" t="s">
        <v>3</v>
      </c>
    </row>
    <row r="11" spans="1:8" s="10" customFormat="1" ht="22.65" customHeight="1">
      <c r="A11" s="37"/>
      <c r="B11" s="37"/>
      <c r="C11" s="37"/>
      <c r="D11" s="36"/>
      <c r="E11" s="36"/>
      <c r="F11" s="39" t="s">
        <v>8</v>
      </c>
      <c r="G11" s="38">
        <f>+G13+G33</f>
        <v>0</v>
      </c>
      <c r="H11" s="38">
        <f>+H13+H33</f>
        <v>0</v>
      </c>
    </row>
    <row r="12" spans="1:8" s="10" customFormat="1" ht="22.65" customHeight="1">
      <c r="A12" s="37"/>
      <c r="B12" s="37"/>
      <c r="C12" s="37"/>
      <c r="D12" s="36"/>
      <c r="E12" s="36"/>
      <c r="F12" s="37" t="s">
        <v>623</v>
      </c>
      <c r="G12" s="38"/>
      <c r="H12" s="38"/>
    </row>
    <row r="13" spans="1:8" s="35" customFormat="1" ht="27" customHeight="1">
      <c r="A13" s="43"/>
      <c r="B13" s="43"/>
      <c r="C13" s="43"/>
      <c r="D13" s="36"/>
      <c r="E13" s="36"/>
      <c r="F13" s="39" t="s">
        <v>123</v>
      </c>
      <c r="G13" s="38">
        <f t="shared" ref="G13:H13" si="0">+G14</f>
        <v>-10883.9</v>
      </c>
      <c r="H13" s="38">
        <f t="shared" si="0"/>
        <v>-23158.400000000001</v>
      </c>
    </row>
    <row r="14" spans="1:8" ht="36">
      <c r="A14" s="570" t="s">
        <v>624</v>
      </c>
      <c r="B14" s="570"/>
      <c r="C14" s="570"/>
      <c r="D14" s="570"/>
      <c r="E14" s="570"/>
      <c r="F14" s="40" t="s">
        <v>550</v>
      </c>
      <c r="G14" s="38">
        <f t="shared" ref="G14:H14" si="1">+G16</f>
        <v>-10883.9</v>
      </c>
      <c r="H14" s="38">
        <f t="shared" si="1"/>
        <v>-23158.400000000001</v>
      </c>
    </row>
    <row r="15" spans="1:8" ht="18">
      <c r="A15" s="570"/>
      <c r="B15" s="570"/>
      <c r="C15" s="570"/>
      <c r="D15" s="570"/>
      <c r="E15" s="570"/>
      <c r="F15" s="37" t="s">
        <v>6</v>
      </c>
      <c r="G15" s="346"/>
      <c r="H15" s="346"/>
    </row>
    <row r="16" spans="1:8" ht="36">
      <c r="A16" s="570"/>
      <c r="B16" s="570" t="s">
        <v>625</v>
      </c>
      <c r="C16" s="570"/>
      <c r="D16" s="570"/>
      <c r="E16" s="570"/>
      <c r="F16" s="40" t="s">
        <v>551</v>
      </c>
      <c r="G16" s="38">
        <f t="shared" ref="G16:H16" si="2">+G18</f>
        <v>-10883.9</v>
      </c>
      <c r="H16" s="38">
        <f t="shared" si="2"/>
        <v>-23158.400000000001</v>
      </c>
    </row>
    <row r="17" spans="1:8" ht="18">
      <c r="A17" s="570"/>
      <c r="B17" s="570"/>
      <c r="C17" s="570"/>
      <c r="D17" s="570"/>
      <c r="E17" s="570"/>
      <c r="F17" s="37" t="s">
        <v>6</v>
      </c>
      <c r="G17" s="346"/>
      <c r="H17" s="346"/>
    </row>
    <row r="18" spans="1:8" ht="18">
      <c r="A18" s="570"/>
      <c r="B18" s="570"/>
      <c r="C18" s="570" t="s">
        <v>625</v>
      </c>
      <c r="D18" s="570"/>
      <c r="E18" s="570"/>
      <c r="F18" s="39" t="s">
        <v>552</v>
      </c>
      <c r="G18" s="347">
        <f t="shared" ref="G18:H18" si="3">+G20</f>
        <v>-10883.9</v>
      </c>
      <c r="H18" s="347">
        <f t="shared" si="3"/>
        <v>-23158.400000000001</v>
      </c>
    </row>
    <row r="19" spans="1:8" ht="18" customHeight="1">
      <c r="A19" s="570"/>
      <c r="B19" s="570"/>
      <c r="C19" s="570"/>
      <c r="D19" s="570"/>
      <c r="E19" s="570"/>
      <c r="F19" s="37" t="s">
        <v>6</v>
      </c>
      <c r="G19" s="348"/>
      <c r="H19" s="348"/>
    </row>
    <row r="20" spans="1:8" ht="18">
      <c r="A20" s="570"/>
      <c r="B20" s="570"/>
      <c r="C20" s="570"/>
      <c r="D20" s="570"/>
      <c r="E20" s="570"/>
      <c r="F20" s="37" t="s">
        <v>626</v>
      </c>
      <c r="G20" s="347">
        <f t="shared" ref="G20:H20" si="4">+G22</f>
        <v>-10883.9</v>
      </c>
      <c r="H20" s="347">
        <f t="shared" si="4"/>
        <v>-23158.400000000001</v>
      </c>
    </row>
    <row r="21" spans="1:8" ht="18">
      <c r="A21" s="570"/>
      <c r="B21" s="570"/>
      <c r="C21" s="570"/>
      <c r="D21" s="570"/>
      <c r="E21" s="570"/>
      <c r="F21" s="37" t="s">
        <v>6</v>
      </c>
      <c r="G21" s="349"/>
      <c r="H21" s="349"/>
    </row>
    <row r="22" spans="1:8" s="19" customFormat="1" ht="22.65" customHeight="1">
      <c r="A22" s="570"/>
      <c r="B22" s="570"/>
      <c r="C22" s="570"/>
      <c r="D22" s="345" t="s">
        <v>627</v>
      </c>
      <c r="E22" s="503" t="s">
        <v>555</v>
      </c>
      <c r="F22" s="503" t="s">
        <v>552</v>
      </c>
      <c r="G22" s="347">
        <f t="shared" ref="G22:H22" si="5">+G24</f>
        <v>-10883.9</v>
      </c>
      <c r="H22" s="347">
        <f t="shared" si="5"/>
        <v>-23158.400000000001</v>
      </c>
    </row>
    <row r="23" spans="1:8" ht="17.7" customHeight="1">
      <c r="A23" s="570"/>
      <c r="B23" s="570"/>
      <c r="C23" s="570"/>
      <c r="D23" s="571"/>
      <c r="E23" s="350"/>
      <c r="F23" s="37" t="s">
        <v>6</v>
      </c>
      <c r="G23" s="53"/>
      <c r="H23" s="53"/>
    </row>
    <row r="24" spans="1:8" ht="20.100000000000001" customHeight="1">
      <c r="A24" s="570"/>
      <c r="B24" s="570"/>
      <c r="C24" s="570"/>
      <c r="D24" s="572"/>
      <c r="E24" s="313" t="s">
        <v>628</v>
      </c>
      <c r="F24" s="39" t="s">
        <v>552</v>
      </c>
      <c r="G24" s="351">
        <f t="shared" ref="G24:H24" si="6">+G26</f>
        <v>-10883.9</v>
      </c>
      <c r="H24" s="351">
        <f t="shared" si="6"/>
        <v>-23158.400000000001</v>
      </c>
    </row>
    <row r="25" spans="1:8" ht="17.7" customHeight="1">
      <c r="A25" s="570"/>
      <c r="B25" s="570"/>
      <c r="C25" s="570"/>
      <c r="D25" s="572"/>
      <c r="E25" s="574"/>
      <c r="F25" s="37" t="s">
        <v>16</v>
      </c>
      <c r="G25" s="352"/>
      <c r="H25" s="352"/>
    </row>
    <row r="26" spans="1:8">
      <c r="A26" s="570"/>
      <c r="B26" s="570"/>
      <c r="C26" s="570"/>
      <c r="D26" s="572"/>
      <c r="E26" s="574"/>
      <c r="F26" s="353" t="s">
        <v>626</v>
      </c>
      <c r="G26" s="354">
        <f t="shared" ref="G26:H26" si="7">+G28</f>
        <v>-10883.9</v>
      </c>
      <c r="H26" s="354">
        <f t="shared" si="7"/>
        <v>-23158.400000000001</v>
      </c>
    </row>
    <row r="27" spans="1:8" ht="52.2">
      <c r="A27" s="570"/>
      <c r="B27" s="570"/>
      <c r="C27" s="570"/>
      <c r="D27" s="572"/>
      <c r="E27" s="574"/>
      <c r="F27" s="37" t="s">
        <v>13</v>
      </c>
      <c r="G27" s="352"/>
      <c r="H27" s="352"/>
    </row>
    <row r="28" spans="1:8" ht="17.7" customHeight="1">
      <c r="A28" s="570"/>
      <c r="B28" s="570"/>
      <c r="C28" s="570"/>
      <c r="D28" s="572"/>
      <c r="E28" s="574"/>
      <c r="F28" s="36" t="s">
        <v>7</v>
      </c>
      <c r="G28" s="53">
        <f t="shared" ref="G28:H30" si="8">+G29</f>
        <v>-10883.9</v>
      </c>
      <c r="H28" s="53">
        <f t="shared" si="8"/>
        <v>-23158.400000000001</v>
      </c>
    </row>
    <row r="29" spans="1:8" ht="17.7" customHeight="1">
      <c r="A29" s="570"/>
      <c r="B29" s="570"/>
      <c r="C29" s="570"/>
      <c r="D29" s="572"/>
      <c r="E29" s="574"/>
      <c r="F29" s="118" t="s">
        <v>69</v>
      </c>
      <c r="G29" s="352">
        <f t="shared" si="8"/>
        <v>-10883.9</v>
      </c>
      <c r="H29" s="352">
        <f t="shared" si="8"/>
        <v>-23158.400000000001</v>
      </c>
    </row>
    <row r="30" spans="1:8" ht="17.7" customHeight="1">
      <c r="A30" s="570"/>
      <c r="B30" s="570"/>
      <c r="C30" s="570"/>
      <c r="D30" s="572"/>
      <c r="E30" s="574"/>
      <c r="F30" s="118" t="s">
        <v>553</v>
      </c>
      <c r="G30" s="352">
        <f t="shared" si="8"/>
        <v>-10883.9</v>
      </c>
      <c r="H30" s="352">
        <f t="shared" si="8"/>
        <v>-23158.400000000001</v>
      </c>
    </row>
    <row r="31" spans="1:8" ht="17.7" customHeight="1">
      <c r="A31" s="570"/>
      <c r="B31" s="570"/>
      <c r="C31" s="570"/>
      <c r="D31" s="573"/>
      <c r="E31" s="574"/>
      <c r="F31" s="118" t="s">
        <v>554</v>
      </c>
      <c r="G31" s="352">
        <f>+'Հավելված N 2'!G459</f>
        <v>-10883.9</v>
      </c>
      <c r="H31" s="352">
        <f>+'Հավելված N 2'!H459</f>
        <v>-23158.400000000001</v>
      </c>
    </row>
    <row r="32" spans="1:8" ht="9.4499999999999993" customHeight="1">
      <c r="A32" s="355"/>
      <c r="B32" s="356"/>
      <c r="C32" s="183"/>
      <c r="D32" s="37"/>
      <c r="E32" s="37"/>
    </row>
    <row r="33" spans="1:8" s="35" customFormat="1" ht="36">
      <c r="A33" s="357"/>
      <c r="B33" s="43"/>
      <c r="C33" s="43"/>
      <c r="D33" s="43"/>
      <c r="E33" s="43"/>
      <c r="F33" s="39" t="s">
        <v>17</v>
      </c>
      <c r="G33" s="38">
        <f>+G34</f>
        <v>10883.9</v>
      </c>
      <c r="H33" s="38">
        <f>+H34</f>
        <v>23158.400000000001</v>
      </c>
    </row>
    <row r="34" spans="1:8" s="10" customFormat="1" ht="17.55" customHeight="1">
      <c r="A34" s="382" t="s">
        <v>81</v>
      </c>
      <c r="B34" s="582"/>
      <c r="C34" s="420"/>
      <c r="D34" s="390"/>
      <c r="E34" s="25"/>
      <c r="F34" s="39" t="s">
        <v>85</v>
      </c>
      <c r="G34" s="38">
        <f>+G36+G57</f>
        <v>10883.9</v>
      </c>
      <c r="H34" s="38">
        <f>+H36+H57</f>
        <v>23158.400000000001</v>
      </c>
    </row>
    <row r="35" spans="1:8" s="10" customFormat="1" ht="16.350000000000001" customHeight="1">
      <c r="A35" s="382"/>
      <c r="B35" s="583"/>
      <c r="C35" s="421"/>
      <c r="D35" s="391"/>
      <c r="E35" s="26"/>
      <c r="F35" s="37" t="s">
        <v>6</v>
      </c>
      <c r="G35" s="306"/>
      <c r="H35" s="306"/>
    </row>
    <row r="36" spans="1:8" s="10" customFormat="1" ht="19.2" customHeight="1">
      <c r="A36" s="382"/>
      <c r="B36" s="382" t="s">
        <v>156</v>
      </c>
      <c r="C36" s="358"/>
      <c r="D36" s="3"/>
      <c r="E36" s="26"/>
      <c r="F36" s="39" t="s">
        <v>473</v>
      </c>
      <c r="G36" s="44">
        <f t="shared" ref="G36:H36" si="9">+G38</f>
        <v>8486.9</v>
      </c>
      <c r="H36" s="44">
        <f t="shared" si="9"/>
        <v>20761.400000000001</v>
      </c>
    </row>
    <row r="37" spans="1:8" s="10" customFormat="1" ht="16.8" customHeight="1">
      <c r="A37" s="382"/>
      <c r="B37" s="382"/>
      <c r="C37" s="358"/>
      <c r="D37" s="3"/>
      <c r="E37" s="26"/>
      <c r="F37" s="37" t="s">
        <v>6</v>
      </c>
      <c r="G37" s="306"/>
      <c r="H37" s="306"/>
    </row>
    <row r="38" spans="1:8" s="10" customFormat="1" ht="19.2" customHeight="1">
      <c r="A38" s="382"/>
      <c r="B38" s="382"/>
      <c r="C38" s="404" t="s">
        <v>83</v>
      </c>
      <c r="D38" s="3"/>
      <c r="E38" s="26"/>
      <c r="F38" s="39" t="s">
        <v>281</v>
      </c>
      <c r="G38" s="44">
        <f t="shared" ref="G38:H38" si="10">+G40</f>
        <v>8486.9</v>
      </c>
      <c r="H38" s="44">
        <f t="shared" si="10"/>
        <v>20761.400000000001</v>
      </c>
    </row>
    <row r="39" spans="1:8" s="10" customFormat="1" ht="16.8" customHeight="1">
      <c r="A39" s="382"/>
      <c r="B39" s="382"/>
      <c r="C39" s="405"/>
      <c r="D39" s="3"/>
      <c r="E39" s="26"/>
      <c r="F39" s="37" t="s">
        <v>6</v>
      </c>
      <c r="G39" s="310"/>
      <c r="H39" s="310"/>
    </row>
    <row r="40" spans="1:8" s="10" customFormat="1" ht="34.799999999999997">
      <c r="A40" s="382"/>
      <c r="B40" s="382"/>
      <c r="C40" s="405"/>
      <c r="D40" s="3"/>
      <c r="E40" s="26"/>
      <c r="F40" s="43" t="s">
        <v>12</v>
      </c>
      <c r="G40" s="310">
        <f t="shared" ref="G40:H40" si="11">+G42</f>
        <v>8486.9</v>
      </c>
      <c r="H40" s="310">
        <f t="shared" si="11"/>
        <v>20761.400000000001</v>
      </c>
    </row>
    <row r="41" spans="1:8" s="10" customFormat="1" ht="16.8" customHeight="1">
      <c r="A41" s="382"/>
      <c r="B41" s="382"/>
      <c r="C41" s="405"/>
      <c r="D41" s="3"/>
      <c r="E41" s="26"/>
      <c r="F41" s="359" t="s">
        <v>6</v>
      </c>
      <c r="G41" s="310"/>
      <c r="H41" s="310"/>
    </row>
    <row r="42" spans="1:8" s="10" customFormat="1" ht="18" customHeight="1">
      <c r="A42" s="382"/>
      <c r="B42" s="382"/>
      <c r="C42" s="405"/>
      <c r="D42" s="311">
        <v>1148</v>
      </c>
      <c r="E42" s="578" t="s">
        <v>583</v>
      </c>
      <c r="F42" s="579"/>
      <c r="G42" s="38">
        <f t="shared" ref="G42:H42" si="12">+G44</f>
        <v>8486.9</v>
      </c>
      <c r="H42" s="38">
        <f t="shared" si="12"/>
        <v>20761.400000000001</v>
      </c>
    </row>
    <row r="43" spans="1:8" s="10" customFormat="1" ht="16.8" customHeight="1">
      <c r="A43" s="382"/>
      <c r="B43" s="382"/>
      <c r="C43" s="405"/>
      <c r="D43" s="434"/>
      <c r="E43" s="360"/>
      <c r="F43" s="37" t="s">
        <v>6</v>
      </c>
      <c r="G43" s="310"/>
      <c r="H43" s="310"/>
    </row>
    <row r="44" spans="1:8" s="10" customFormat="1" ht="54">
      <c r="A44" s="382"/>
      <c r="B44" s="382"/>
      <c r="C44" s="405"/>
      <c r="D44" s="435"/>
      <c r="E44" s="246">
        <v>32005</v>
      </c>
      <c r="F44" s="68" t="s">
        <v>475</v>
      </c>
      <c r="G44" s="307">
        <f>+G46</f>
        <v>8486.9</v>
      </c>
      <c r="H44" s="307">
        <f>+H46</f>
        <v>20761.400000000001</v>
      </c>
    </row>
    <row r="45" spans="1:8" s="10" customFormat="1" ht="16.8" customHeight="1">
      <c r="A45" s="382"/>
      <c r="B45" s="382"/>
      <c r="C45" s="405"/>
      <c r="D45" s="435"/>
      <c r="E45" s="397"/>
      <c r="F45" s="118" t="s">
        <v>16</v>
      </c>
      <c r="G45" s="44"/>
      <c r="H45" s="306"/>
    </row>
    <row r="46" spans="1:8" s="13" customFormat="1" ht="37.200000000000003" customHeight="1">
      <c r="A46" s="382"/>
      <c r="B46" s="382"/>
      <c r="C46" s="405"/>
      <c r="D46" s="435"/>
      <c r="E46" s="398"/>
      <c r="F46" s="121" t="s">
        <v>12</v>
      </c>
      <c r="G46" s="309">
        <f>+G48</f>
        <v>8486.9</v>
      </c>
      <c r="H46" s="309">
        <f>+H48</f>
        <v>20761.400000000001</v>
      </c>
    </row>
    <row r="47" spans="1:8" s="10" customFormat="1" ht="52.2">
      <c r="A47" s="382"/>
      <c r="B47" s="382"/>
      <c r="C47" s="405"/>
      <c r="D47" s="435"/>
      <c r="E47" s="398"/>
      <c r="F47" s="118" t="s">
        <v>13</v>
      </c>
      <c r="G47" s="293"/>
      <c r="H47" s="306"/>
    </row>
    <row r="48" spans="1:8" s="10" customFormat="1" ht="16.8" customHeight="1">
      <c r="A48" s="382"/>
      <c r="B48" s="382"/>
      <c r="C48" s="405"/>
      <c r="D48" s="435"/>
      <c r="E48" s="398"/>
      <c r="F48" s="122" t="s">
        <v>7</v>
      </c>
      <c r="G48" s="44">
        <f>+G49+G53</f>
        <v>8486.9</v>
      </c>
      <c r="H48" s="44">
        <f>+H49+H53</f>
        <v>20761.400000000001</v>
      </c>
    </row>
    <row r="49" spans="1:8" s="10" customFormat="1" ht="16.8" customHeight="1">
      <c r="A49" s="382"/>
      <c r="B49" s="382"/>
      <c r="C49" s="405"/>
      <c r="D49" s="435"/>
      <c r="E49" s="398"/>
      <c r="F49" s="118" t="s">
        <v>69</v>
      </c>
      <c r="G49" s="292">
        <f t="shared" ref="G49:H51" si="13">+G50</f>
        <v>8486.9</v>
      </c>
      <c r="H49" s="292">
        <f t="shared" si="13"/>
        <v>8486.9</v>
      </c>
    </row>
    <row r="50" spans="1:8" s="10" customFormat="1" ht="16.8" customHeight="1">
      <c r="A50" s="382"/>
      <c r="B50" s="382"/>
      <c r="C50" s="405"/>
      <c r="D50" s="435"/>
      <c r="E50" s="398"/>
      <c r="F50" s="118" t="s">
        <v>461</v>
      </c>
      <c r="G50" s="292">
        <f t="shared" si="13"/>
        <v>8486.9</v>
      </c>
      <c r="H50" s="292">
        <f t="shared" si="13"/>
        <v>8486.9</v>
      </c>
    </row>
    <row r="51" spans="1:8" s="10" customFormat="1" ht="16.8" customHeight="1">
      <c r="A51" s="382"/>
      <c r="B51" s="382"/>
      <c r="C51" s="405"/>
      <c r="D51" s="435"/>
      <c r="E51" s="398"/>
      <c r="F51" s="118" t="s">
        <v>467</v>
      </c>
      <c r="G51" s="292">
        <f t="shared" si="13"/>
        <v>8486.9</v>
      </c>
      <c r="H51" s="292">
        <f t="shared" si="13"/>
        <v>8486.9</v>
      </c>
    </row>
    <row r="52" spans="1:8" s="10" customFormat="1" ht="34.799999999999997">
      <c r="A52" s="382"/>
      <c r="B52" s="382"/>
      <c r="C52" s="405"/>
      <c r="D52" s="435"/>
      <c r="E52" s="398"/>
      <c r="F52" s="123" t="s">
        <v>463</v>
      </c>
      <c r="G52" s="292">
        <f>+'Հավելված N 2'!G257</f>
        <v>8486.9</v>
      </c>
      <c r="H52" s="292">
        <f>+'Հավելված N 2'!H257</f>
        <v>8486.9</v>
      </c>
    </row>
    <row r="53" spans="1:8" ht="17.399999999999999" customHeight="1">
      <c r="A53" s="382"/>
      <c r="B53" s="382"/>
      <c r="C53" s="405"/>
      <c r="D53" s="580"/>
      <c r="E53" s="398"/>
      <c r="F53" s="118" t="s">
        <v>107</v>
      </c>
      <c r="G53" s="293">
        <f t="shared" ref="G53:H53" si="14">+G54</f>
        <v>0</v>
      </c>
      <c r="H53" s="292">
        <f t="shared" si="14"/>
        <v>12274.5</v>
      </c>
    </row>
    <row r="54" spans="1:8" ht="17.399999999999999" customHeight="1">
      <c r="A54" s="382"/>
      <c r="B54" s="382"/>
      <c r="C54" s="405"/>
      <c r="D54" s="580"/>
      <c r="E54" s="398"/>
      <c r="F54" s="118" t="s">
        <v>108</v>
      </c>
      <c r="G54" s="292">
        <f>+G55</f>
        <v>0</v>
      </c>
      <c r="H54" s="292">
        <f>+H55</f>
        <v>12274.5</v>
      </c>
    </row>
    <row r="55" spans="1:8" ht="17.399999999999999" customHeight="1">
      <c r="A55" s="382"/>
      <c r="B55" s="382"/>
      <c r="C55" s="405"/>
      <c r="D55" s="580"/>
      <c r="E55" s="398"/>
      <c r="F55" s="118" t="s">
        <v>67</v>
      </c>
      <c r="G55" s="292">
        <f>+G56</f>
        <v>0</v>
      </c>
      <c r="H55" s="292">
        <f>+H56</f>
        <v>12274.5</v>
      </c>
    </row>
    <row r="56" spans="1:8" ht="17.399999999999999" customHeight="1">
      <c r="A56" s="382"/>
      <c r="B56" s="382"/>
      <c r="C56" s="406"/>
      <c r="D56" s="581"/>
      <c r="E56" s="430"/>
      <c r="F56" s="123" t="s">
        <v>68</v>
      </c>
      <c r="G56" s="292">
        <f>+'Հավելված N 2'!G261</f>
        <v>0</v>
      </c>
      <c r="H56" s="292">
        <f>+'Հավելված N 2'!H261</f>
        <v>12274.5</v>
      </c>
    </row>
    <row r="57" spans="1:8" s="10" customFormat="1" ht="19.2" customHeight="1">
      <c r="A57" s="382"/>
      <c r="B57" s="384" t="s">
        <v>82</v>
      </c>
      <c r="C57" s="385"/>
      <c r="D57" s="3"/>
      <c r="E57" s="26"/>
      <c r="F57" s="39" t="s">
        <v>84</v>
      </c>
      <c r="G57" s="44">
        <f t="shared" ref="G57:H57" si="15">+G59</f>
        <v>2397</v>
      </c>
      <c r="H57" s="44">
        <f t="shared" si="15"/>
        <v>2397</v>
      </c>
    </row>
    <row r="58" spans="1:8" s="10" customFormat="1" ht="16.8" customHeight="1">
      <c r="A58" s="382"/>
      <c r="B58" s="384"/>
      <c r="C58" s="387"/>
      <c r="D58" s="3"/>
      <c r="E58" s="26"/>
      <c r="F58" s="37" t="s">
        <v>6</v>
      </c>
      <c r="G58" s="306"/>
      <c r="H58" s="306"/>
    </row>
    <row r="59" spans="1:8" s="10" customFormat="1" ht="19.2" customHeight="1">
      <c r="A59" s="382"/>
      <c r="B59" s="384"/>
      <c r="C59" s="384" t="s">
        <v>83</v>
      </c>
      <c r="D59" s="3"/>
      <c r="E59" s="26"/>
      <c r="F59" s="39" t="s">
        <v>84</v>
      </c>
      <c r="G59" s="44">
        <f t="shared" ref="G59:H59" si="16">+G61</f>
        <v>2397</v>
      </c>
      <c r="H59" s="44">
        <f t="shared" si="16"/>
        <v>2397</v>
      </c>
    </row>
    <row r="60" spans="1:8" s="10" customFormat="1" ht="16.8" customHeight="1">
      <c r="A60" s="382"/>
      <c r="B60" s="384"/>
      <c r="C60" s="384"/>
      <c r="D60" s="3"/>
      <c r="E60" s="26"/>
      <c r="F60" s="37" t="s">
        <v>6</v>
      </c>
      <c r="G60" s="310"/>
      <c r="H60" s="310"/>
    </row>
    <row r="61" spans="1:8" s="10" customFormat="1" ht="34.799999999999997">
      <c r="A61" s="382"/>
      <c r="B61" s="384"/>
      <c r="C61" s="384"/>
      <c r="D61" s="3"/>
      <c r="E61" s="26"/>
      <c r="F61" s="43" t="s">
        <v>12</v>
      </c>
      <c r="G61" s="310">
        <f t="shared" ref="G61:H61" si="17">+G63</f>
        <v>2397</v>
      </c>
      <c r="H61" s="310">
        <f t="shared" si="17"/>
        <v>2397</v>
      </c>
    </row>
    <row r="62" spans="1:8" s="10" customFormat="1" ht="16.8" customHeight="1">
      <c r="A62" s="382"/>
      <c r="B62" s="384"/>
      <c r="C62" s="384"/>
      <c r="D62" s="3"/>
      <c r="E62" s="26"/>
      <c r="F62" s="359" t="s">
        <v>6</v>
      </c>
      <c r="G62" s="310"/>
      <c r="H62" s="310"/>
    </row>
    <row r="63" spans="1:8" s="10" customFormat="1" ht="18" customHeight="1">
      <c r="A63" s="382"/>
      <c r="B63" s="384"/>
      <c r="C63" s="384"/>
      <c r="D63" s="311">
        <v>1111</v>
      </c>
      <c r="E63" s="395" t="s">
        <v>476</v>
      </c>
      <c r="F63" s="395"/>
      <c r="G63" s="38">
        <f t="shared" ref="G63:H63" si="18">+G65</f>
        <v>2397</v>
      </c>
      <c r="H63" s="38">
        <f t="shared" si="18"/>
        <v>2397</v>
      </c>
    </row>
    <row r="64" spans="1:8" s="10" customFormat="1" ht="16.8" customHeight="1">
      <c r="A64" s="382"/>
      <c r="B64" s="384"/>
      <c r="C64" s="384"/>
      <c r="D64" s="575"/>
      <c r="E64" s="360"/>
      <c r="F64" s="37" t="s">
        <v>6</v>
      </c>
      <c r="G64" s="310"/>
      <c r="H64" s="310"/>
    </row>
    <row r="65" spans="1:8" s="10" customFormat="1" ht="72">
      <c r="A65" s="382"/>
      <c r="B65" s="384"/>
      <c r="C65" s="384"/>
      <c r="D65" s="576"/>
      <c r="E65" s="100">
        <v>32003</v>
      </c>
      <c r="F65" s="68" t="s">
        <v>478</v>
      </c>
      <c r="G65" s="307">
        <f>+G67</f>
        <v>2397</v>
      </c>
      <c r="H65" s="307">
        <f>+H67</f>
        <v>2397</v>
      </c>
    </row>
    <row r="66" spans="1:8" s="10" customFormat="1" ht="16.8" customHeight="1">
      <c r="A66" s="382"/>
      <c r="B66" s="384"/>
      <c r="C66" s="384"/>
      <c r="D66" s="576"/>
      <c r="E66" s="401"/>
      <c r="F66" s="118" t="s">
        <v>16</v>
      </c>
      <c r="G66" s="44"/>
      <c r="H66" s="306"/>
    </row>
    <row r="67" spans="1:8" s="13" customFormat="1" ht="37.200000000000003" customHeight="1">
      <c r="A67" s="382"/>
      <c r="B67" s="384"/>
      <c r="C67" s="384"/>
      <c r="D67" s="576"/>
      <c r="E67" s="402"/>
      <c r="F67" s="121" t="s">
        <v>12</v>
      </c>
      <c r="G67" s="309">
        <f>+G69</f>
        <v>2397</v>
      </c>
      <c r="H67" s="309">
        <f>+H69</f>
        <v>2397</v>
      </c>
    </row>
    <row r="68" spans="1:8" s="10" customFormat="1" ht="52.2">
      <c r="A68" s="382"/>
      <c r="B68" s="384"/>
      <c r="C68" s="384"/>
      <c r="D68" s="576"/>
      <c r="E68" s="402"/>
      <c r="F68" s="118" t="s">
        <v>13</v>
      </c>
      <c r="G68" s="293"/>
      <c r="H68" s="306"/>
    </row>
    <row r="69" spans="1:8" s="10" customFormat="1" ht="16.8" customHeight="1">
      <c r="A69" s="382"/>
      <c r="B69" s="384"/>
      <c r="C69" s="384"/>
      <c r="D69" s="576"/>
      <c r="E69" s="402"/>
      <c r="F69" s="122" t="s">
        <v>7</v>
      </c>
      <c r="G69" s="44">
        <f>+G70+G74</f>
        <v>2397</v>
      </c>
      <c r="H69" s="44">
        <f>+H70+H74</f>
        <v>2397</v>
      </c>
    </row>
    <row r="70" spans="1:8" s="10" customFormat="1" ht="16.8" customHeight="1">
      <c r="A70" s="382"/>
      <c r="B70" s="384"/>
      <c r="C70" s="384"/>
      <c r="D70" s="576"/>
      <c r="E70" s="402"/>
      <c r="F70" s="118" t="s">
        <v>69</v>
      </c>
      <c r="G70" s="292">
        <f t="shared" ref="G70:H72" si="19">+G71</f>
        <v>2397</v>
      </c>
      <c r="H70" s="292">
        <f t="shared" si="19"/>
        <v>2397</v>
      </c>
    </row>
    <row r="71" spans="1:8" s="10" customFormat="1" ht="16.8" customHeight="1">
      <c r="A71" s="382"/>
      <c r="B71" s="384"/>
      <c r="C71" s="384"/>
      <c r="D71" s="576"/>
      <c r="E71" s="402"/>
      <c r="F71" s="118" t="s">
        <v>461</v>
      </c>
      <c r="G71" s="292">
        <f t="shared" si="19"/>
        <v>2397</v>
      </c>
      <c r="H71" s="292">
        <f t="shared" si="19"/>
        <v>2397</v>
      </c>
    </row>
    <row r="72" spans="1:8" s="10" customFormat="1" ht="16.8" customHeight="1">
      <c r="A72" s="382"/>
      <c r="B72" s="384"/>
      <c r="C72" s="384"/>
      <c r="D72" s="576"/>
      <c r="E72" s="402"/>
      <c r="F72" s="118" t="s">
        <v>467</v>
      </c>
      <c r="G72" s="292">
        <f t="shared" si="19"/>
        <v>2397</v>
      </c>
      <c r="H72" s="292">
        <f t="shared" si="19"/>
        <v>2397</v>
      </c>
    </row>
    <row r="73" spans="1:8" s="10" customFormat="1" ht="34.799999999999997">
      <c r="A73" s="382"/>
      <c r="B73" s="384"/>
      <c r="C73" s="384"/>
      <c r="D73" s="577"/>
      <c r="E73" s="403"/>
      <c r="F73" s="123" t="s">
        <v>463</v>
      </c>
      <c r="G73" s="292">
        <f>+'Հավելված N 2'!G318</f>
        <v>2397</v>
      </c>
      <c r="H73" s="292">
        <f>+'Հավելված N 2'!H318</f>
        <v>2397</v>
      </c>
    </row>
  </sheetData>
  <mergeCells count="31">
    <mergeCell ref="E66:E73"/>
    <mergeCell ref="D64:D73"/>
    <mergeCell ref="C59:C73"/>
    <mergeCell ref="B57:B73"/>
    <mergeCell ref="A34:A73"/>
    <mergeCell ref="C57:C58"/>
    <mergeCell ref="C38:C56"/>
    <mergeCell ref="B36:B56"/>
    <mergeCell ref="E42:F42"/>
    <mergeCell ref="D43:D56"/>
    <mergeCell ref="E45:E56"/>
    <mergeCell ref="E63:F63"/>
    <mergeCell ref="B34:B35"/>
    <mergeCell ref="C34:C35"/>
    <mergeCell ref="D34:D35"/>
    <mergeCell ref="A14:A31"/>
    <mergeCell ref="B14:B15"/>
    <mergeCell ref="C14:C17"/>
    <mergeCell ref="D14:D21"/>
    <mergeCell ref="E14:E21"/>
    <mergeCell ref="B16:B31"/>
    <mergeCell ref="C18:C31"/>
    <mergeCell ref="E22:F22"/>
    <mergeCell ref="D23:D31"/>
    <mergeCell ref="E25:E31"/>
    <mergeCell ref="F1:H1"/>
    <mergeCell ref="A6:H6"/>
    <mergeCell ref="A9:C9"/>
    <mergeCell ref="D9:E9"/>
    <mergeCell ref="F9:F10"/>
    <mergeCell ref="G9:H9"/>
  </mergeCells>
  <pageMargins left="0.7" right="0.7" top="0.75" bottom="0.75" header="0.3" footer="0.3"/>
  <pageSetup paperSize="9" scale="7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Հավելված N 1</vt:lpstr>
      <vt:lpstr>Հավելված N 2</vt:lpstr>
      <vt:lpstr>Հավելված N 3</vt:lpstr>
      <vt:lpstr>Հավելված N 4</vt:lpstr>
      <vt:lpstr>Հավելված N 5</vt:lpstr>
      <vt:lpstr>Հավելված N 6</vt:lpstr>
      <vt:lpstr>Հավելված N 7</vt:lpstr>
      <vt:lpstr>Հավելված N 8</vt:lpstr>
      <vt:lpstr>Հավելված N 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Sofia</dc:creator>
  <cp:keywords>https://mul2.gov.am/tasks/1205672/oneclick?token=ce63c374c141c6dd4c11d4cc68f49cbd</cp:keywords>
  <cp:lastModifiedBy>user</cp:lastModifiedBy>
  <cp:lastPrinted>2025-05-23T06:45:41Z</cp:lastPrinted>
  <dcterms:created xsi:type="dcterms:W3CDTF">2022-01-04T07:12:58Z</dcterms:created>
  <dcterms:modified xsi:type="dcterms:W3CDTF">2025-09-01T17:50:09Z</dcterms:modified>
</cp:coreProperties>
</file>