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qaxshin lracucich\Pul 1\"/>
    </mc:Choice>
  </mc:AlternateContent>
  <bookViews>
    <workbookView xWindow="-107" yWindow="-107" windowWidth="23255" windowHeight="12573" tabRatio="878" firstSheet="1" activeTab="7"/>
  </bookViews>
  <sheets>
    <sheet name="Հավելված N 1 " sheetId="72" r:id="rId1"/>
    <sheet name="Հավելված N 2" sheetId="67" r:id="rId2"/>
    <sheet name="Հավելված N 3" sheetId="32" r:id="rId3"/>
    <sheet name="Հավելված N 4" sheetId="55" r:id="rId4"/>
    <sheet name="Հավելված N 5" sheetId="56" r:id="rId5"/>
    <sheet name="Հավելված N 6" sheetId="69" r:id="rId6"/>
    <sheet name="Հավելված N 7" sheetId="73" r:id="rId7"/>
    <sheet name="Հավելված N 8" sheetId="54" r:id="rId8"/>
  </sheets>
  <externalReferences>
    <externalReference r:id="rId9"/>
  </externalReferences>
  <definedNames>
    <definedName name="a" localSheetId="0">#REF!</definedName>
    <definedName name="a" localSheetId="1">#REF!</definedName>
    <definedName name="a" localSheetId="5">#REF!</definedName>
    <definedName name="a" localSheetId="6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5">#REF!</definedName>
    <definedName name="AgencyName" localSheetId="6">#REF!</definedName>
    <definedName name="AgencyName">#REF!</definedName>
    <definedName name="åû">#REF!</definedName>
    <definedName name="davit" localSheetId="0">#REF!</definedName>
    <definedName name="davit" localSheetId="1">#REF!</definedName>
    <definedName name="davit" localSheetId="5">#REF!</definedName>
    <definedName name="davit" localSheetId="6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1">#REF!</definedName>
    <definedName name="ggg" localSheetId="5">#REF!</definedName>
    <definedName name="ggg" localSheetId="6">#REF!</definedName>
    <definedName name="ggg">#REF!</definedName>
    <definedName name="hav">#REF!</definedName>
    <definedName name="mas">#REF!</definedName>
    <definedName name="mass">#REF!</definedName>
    <definedName name="PANature" localSheetId="0">#REF!</definedName>
    <definedName name="PANature" localSheetId="1">#REF!</definedName>
    <definedName name="PANature" localSheetId="2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 localSheetId="6">#REF!</definedName>
    <definedName name="PerformanceType">#REF!</definedName>
    <definedName name="x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 localSheetId="0">#REF!</definedName>
    <definedName name="Հավելված10">#REF!</definedName>
    <definedName name="Հավելված11" localSheetId="0">#REF!</definedName>
    <definedName name="Հավելված11">#REF!</definedName>
    <definedName name="Հավելված20" localSheetId="0">#REF!</definedName>
    <definedName name="Հավելված20">#REF!</definedName>
    <definedName name="Հավելված9" localSheetId="0">#REF!</definedName>
    <definedName name="Հավելված9">#REF!</definedName>
    <definedName name="Մաս" localSheetId="0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5">#REF!</definedName>
    <definedName name="շախմատիստ" localSheetId="6">#REF!</definedName>
    <definedName name="շախմատիստ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I122" i="54" l="1"/>
  <c r="I142" i="54"/>
  <c r="I133" i="54"/>
  <c r="I148" i="54"/>
  <c r="I154" i="54"/>
  <c r="I152" i="54"/>
  <c r="E44" i="56" l="1"/>
  <c r="F46" i="56"/>
  <c r="E46" i="56" s="1"/>
  <c r="D46" i="56"/>
  <c r="F30" i="55"/>
  <c r="G30" i="55"/>
  <c r="H30" i="55"/>
  <c r="G32" i="55"/>
  <c r="D32" i="55" s="1"/>
  <c r="I128" i="54"/>
  <c r="I143" i="54"/>
  <c r="I14" i="54" l="1"/>
  <c r="I90" i="54"/>
  <c r="I16" i="54"/>
  <c r="G55" i="55"/>
  <c r="I151" i="54"/>
  <c r="I175" i="54"/>
  <c r="G34" i="32"/>
  <c r="E112" i="56" l="1"/>
  <c r="I185" i="54" l="1"/>
  <c r="G66" i="32" l="1"/>
  <c r="F67" i="56"/>
  <c r="F65" i="56" s="1"/>
  <c r="G112" i="32"/>
  <c r="H66" i="32" l="1"/>
  <c r="E87" i="55"/>
  <c r="I120" i="54"/>
  <c r="I119" i="54" l="1"/>
  <c r="I149" i="54" l="1"/>
  <c r="F99" i="56" l="1"/>
  <c r="E99" i="56"/>
  <c r="E70" i="56" l="1"/>
  <c r="F23" i="56" l="1"/>
  <c r="E44" i="55" l="1"/>
  <c r="H132" i="32" l="1"/>
  <c r="G132" i="32"/>
  <c r="G111" i="32"/>
  <c r="G83" i="32" l="1"/>
  <c r="G82" i="32" s="1"/>
  <c r="G81" i="32" s="1"/>
  <c r="G65" i="32"/>
  <c r="G64" i="32" s="1"/>
  <c r="G63" i="32" s="1"/>
  <c r="G62" i="32" s="1"/>
  <c r="G80" i="32" l="1"/>
  <c r="G79" i="32" l="1"/>
  <c r="G77" i="32" s="1"/>
  <c r="J15" i="73" s="1"/>
  <c r="H65" i="32"/>
  <c r="H64" i="32" s="1"/>
  <c r="H63" i="32" s="1"/>
  <c r="H62" i="32" s="1"/>
  <c r="I213" i="54"/>
  <c r="H155" i="32" s="1"/>
  <c r="I183" i="54"/>
  <c r="H90" i="32" s="1"/>
  <c r="I144" i="54"/>
  <c r="H53" i="32" s="1"/>
  <c r="G53" i="32" l="1"/>
  <c r="G52" i="32" s="1"/>
  <c r="G51" i="32" s="1"/>
  <c r="G50" i="32" s="1"/>
  <c r="G155" i="32"/>
  <c r="G154" i="32" s="1"/>
  <c r="G153" i="32" s="1"/>
  <c r="G152" i="32" s="1"/>
  <c r="H154" i="32"/>
  <c r="H153" i="32" s="1"/>
  <c r="H152" i="32" s="1"/>
  <c r="I206" i="54"/>
  <c r="H52" i="32"/>
  <c r="H51" i="32" s="1"/>
  <c r="H50" i="32" s="1"/>
  <c r="H89" i="32"/>
  <c r="H88" i="32" s="1"/>
  <c r="H87" i="32" s="1"/>
  <c r="G90" i="32"/>
  <c r="G89" i="32" s="1"/>
  <c r="G88" i="32" s="1"/>
  <c r="G87" i="32" s="1"/>
  <c r="I205" i="54"/>
  <c r="I204" i="54"/>
  <c r="I203" i="54"/>
  <c r="I155" i="54"/>
  <c r="E18" i="56" l="1"/>
  <c r="I200" i="54"/>
  <c r="I199" i="54"/>
  <c r="I197" i="54"/>
  <c r="I196" i="54" s="1"/>
  <c r="E119" i="56"/>
  <c r="G105" i="32" s="1"/>
  <c r="G104" i="32" s="1"/>
  <c r="G103" i="32" s="1"/>
  <c r="G102" i="32" s="1"/>
  <c r="G101" i="32" s="1"/>
  <c r="G99" i="32" s="1"/>
  <c r="J20" i="73" s="1"/>
  <c r="J14" i="73" s="1"/>
  <c r="J13" i="73" s="1"/>
  <c r="I106" i="54"/>
  <c r="I105" i="54"/>
  <c r="I104" i="54"/>
  <c r="I103" i="54"/>
  <c r="I102" i="54"/>
  <c r="I101" i="54"/>
  <c r="I100" i="54"/>
  <c r="I99" i="54"/>
  <c r="I98" i="54"/>
  <c r="I97" i="54"/>
  <c r="I96" i="54"/>
  <c r="I95" i="54"/>
  <c r="I94" i="54"/>
  <c r="I93" i="54"/>
  <c r="I92" i="54"/>
  <c r="I91" i="54"/>
  <c r="I71" i="54"/>
  <c r="I70" i="54"/>
  <c r="I69" i="54"/>
  <c r="I68" i="54"/>
  <c r="I67" i="54"/>
  <c r="I66" i="54"/>
  <c r="I65" i="54"/>
  <c r="I64" i="54"/>
  <c r="I63" i="54"/>
  <c r="I62" i="54"/>
  <c r="I61" i="54"/>
  <c r="I60" i="54"/>
  <c r="I59" i="54"/>
  <c r="I58" i="54"/>
  <c r="I57" i="54"/>
  <c r="I56" i="54"/>
  <c r="I55" i="54"/>
  <c r="I54" i="54"/>
  <c r="I80" i="54"/>
  <c r="I79" i="54"/>
  <c r="I78" i="54"/>
  <c r="I77" i="54"/>
  <c r="I76" i="54"/>
  <c r="I75" i="54"/>
  <c r="I74" i="54"/>
  <c r="I73" i="54"/>
  <c r="I72" i="54"/>
  <c r="I88" i="54"/>
  <c r="I87" i="54"/>
  <c r="I86" i="54"/>
  <c r="I85" i="54"/>
  <c r="I84" i="54"/>
  <c r="I83" i="54"/>
  <c r="I82" i="54"/>
  <c r="I81" i="54"/>
  <c r="I36" i="54"/>
  <c r="I35" i="54"/>
  <c r="I34" i="54"/>
  <c r="I33" i="54"/>
  <c r="I32" i="54"/>
  <c r="I31" i="54"/>
  <c r="I30" i="54"/>
  <c r="I29" i="54"/>
  <c r="I28" i="54"/>
  <c r="I27" i="54"/>
  <c r="I26" i="54"/>
  <c r="I25" i="54"/>
  <c r="I24" i="54"/>
  <c r="I23" i="54"/>
  <c r="I22" i="54"/>
  <c r="I21" i="54"/>
  <c r="I43" i="54"/>
  <c r="I42" i="54"/>
  <c r="I41" i="54"/>
  <c r="I40" i="54"/>
  <c r="I39" i="54"/>
  <c r="I38" i="54"/>
  <c r="I37" i="54"/>
  <c r="I20" i="54"/>
  <c r="I19" i="54"/>
  <c r="I52" i="54"/>
  <c r="I51" i="54"/>
  <c r="I50" i="54"/>
  <c r="I49" i="54"/>
  <c r="I48" i="54"/>
  <c r="I47" i="54"/>
  <c r="I46" i="54"/>
  <c r="I45" i="54"/>
  <c r="I44" i="54"/>
  <c r="I18" i="54"/>
  <c r="I53" i="54"/>
  <c r="I17" i="54"/>
  <c r="I198" i="54" l="1"/>
  <c r="I195" i="54" s="1"/>
  <c r="E18" i="55"/>
  <c r="I15" i="54"/>
  <c r="G85" i="55"/>
  <c r="I178" i="54"/>
  <c r="I158" i="54"/>
  <c r="I157" i="54"/>
  <c r="I156" i="54"/>
  <c r="I176" i="54"/>
  <c r="I177" i="54"/>
  <c r="I179" i="54"/>
  <c r="F72" i="56" l="1"/>
  <c r="F70" i="56" s="1"/>
  <c r="F121" i="56"/>
  <c r="F119" i="56" s="1"/>
  <c r="H105" i="32" s="1"/>
  <c r="H104" i="32" s="1"/>
  <c r="H103" i="32" s="1"/>
  <c r="H102" i="32" s="1"/>
  <c r="H101" i="32" s="1"/>
  <c r="H99" i="32" s="1"/>
  <c r="K20" i="73" s="1"/>
  <c r="I159" i="54"/>
  <c r="F75" i="56" s="1"/>
  <c r="G174" i="54"/>
  <c r="I174" i="54" s="1"/>
  <c r="G173" i="54"/>
  <c r="I173" i="54" s="1"/>
  <c r="G172" i="54"/>
  <c r="I172" i="54" s="1"/>
  <c r="G171" i="54"/>
  <c r="I171" i="54" s="1"/>
  <c r="G170" i="54"/>
  <c r="I170" i="54" s="1"/>
  <c r="G169" i="54"/>
  <c r="I169" i="54" s="1"/>
  <c r="G168" i="54"/>
  <c r="I168" i="54" s="1"/>
  <c r="G167" i="54"/>
  <c r="I167" i="54" s="1"/>
  <c r="G166" i="54"/>
  <c r="I166" i="54" s="1"/>
  <c r="G165" i="54"/>
  <c r="I165" i="54" s="1"/>
  <c r="G164" i="54"/>
  <c r="I164" i="54" s="1"/>
  <c r="G163" i="54"/>
  <c r="I163" i="54" s="1"/>
  <c r="G162" i="54"/>
  <c r="I162" i="54" s="1"/>
  <c r="G161" i="54"/>
  <c r="I161" i="54" s="1"/>
  <c r="G160" i="54"/>
  <c r="I160" i="54" s="1"/>
  <c r="H83" i="32" l="1"/>
  <c r="H82" i="32" s="1"/>
  <c r="G53" i="55"/>
  <c r="E17" i="56"/>
  <c r="E15" i="56" s="1"/>
  <c r="H81" i="32" l="1"/>
  <c r="H80" i="32" s="1"/>
  <c r="H79" i="32" s="1"/>
  <c r="H77" i="32" s="1"/>
  <c r="K15" i="73" s="1"/>
  <c r="K14" i="73" s="1"/>
  <c r="K13" i="73" s="1"/>
  <c r="E13" i="56" l="1"/>
  <c r="G131" i="32"/>
  <c r="G130" i="32" s="1"/>
  <c r="G129" i="32" s="1"/>
  <c r="G128" i="32" s="1"/>
  <c r="G127" i="32" s="1"/>
  <c r="G125" i="32" s="1"/>
  <c r="G25" i="55"/>
  <c r="H25" i="55"/>
  <c r="E25" i="55"/>
  <c r="G27" i="55"/>
  <c r="H27" i="55"/>
  <c r="E27" i="55"/>
  <c r="H23" i="55" l="1"/>
  <c r="G123" i="32"/>
  <c r="J28" i="73"/>
  <c r="J27" i="73" s="1"/>
  <c r="G23" i="55"/>
  <c r="E23" i="55"/>
  <c r="D41" i="56"/>
  <c r="F29" i="55"/>
  <c r="D29" i="55" s="1"/>
  <c r="F41" i="56" s="1"/>
  <c r="E41" i="56" s="1"/>
  <c r="D40" i="56"/>
  <c r="F28" i="55"/>
  <c r="D38" i="56"/>
  <c r="G17" i="67" l="1"/>
  <c r="G121" i="32"/>
  <c r="D28" i="55"/>
  <c r="F40" i="56" s="1"/>
  <c r="F39" i="56" s="1"/>
  <c r="F27" i="55"/>
  <c r="D27" i="55" s="1"/>
  <c r="J15" i="69" l="1"/>
  <c r="J14" i="69" s="1"/>
  <c r="G16" i="67"/>
  <c r="E40" i="56"/>
  <c r="E39" i="56" s="1"/>
  <c r="I202" i="54" l="1"/>
  <c r="I201" i="54" s="1"/>
  <c r="I194" i="54" s="1"/>
  <c r="F26" i="55"/>
  <c r="D26" i="55" l="1"/>
  <c r="F38" i="56" s="1"/>
  <c r="F25" i="55"/>
  <c r="F25" i="56"/>
  <c r="F21" i="56" s="1"/>
  <c r="H144" i="32" s="1"/>
  <c r="H143" i="32" s="1"/>
  <c r="H142" i="32" s="1"/>
  <c r="H141" i="32" s="1"/>
  <c r="H140" i="32" s="1"/>
  <c r="H138" i="32" s="1"/>
  <c r="E26" i="56"/>
  <c r="E25" i="56" s="1"/>
  <c r="H136" i="32" l="1"/>
  <c r="K35" i="73"/>
  <c r="K34" i="73" s="1"/>
  <c r="F23" i="55"/>
  <c r="D25" i="55"/>
  <c r="E38" i="56"/>
  <c r="E37" i="56" s="1"/>
  <c r="E35" i="56" s="1"/>
  <c r="F37" i="56"/>
  <c r="F35" i="56" s="1"/>
  <c r="F19" i="56"/>
  <c r="H134" i="32" l="1"/>
  <c r="H19" i="67"/>
  <c r="F33" i="56"/>
  <c r="H159" i="32"/>
  <c r="H158" i="32" s="1"/>
  <c r="H157" i="32" s="1"/>
  <c r="H156" i="32" s="1"/>
  <c r="H151" i="32" s="1"/>
  <c r="H149" i="32" s="1"/>
  <c r="E33" i="56"/>
  <c r="G159" i="32"/>
  <c r="G158" i="32" s="1"/>
  <c r="G157" i="32" s="1"/>
  <c r="G156" i="32" s="1"/>
  <c r="G151" i="32" s="1"/>
  <c r="G149" i="32" s="1"/>
  <c r="D23" i="55"/>
  <c r="E24" i="56"/>
  <c r="E23" i="56" s="1"/>
  <c r="K22" i="69" l="1"/>
  <c r="K21" i="69" s="1"/>
  <c r="H18" i="67"/>
  <c r="G147" i="32"/>
  <c r="J47" i="73"/>
  <c r="J46" i="73" s="1"/>
  <c r="H147" i="32"/>
  <c r="K47" i="73"/>
  <c r="K46" i="73" s="1"/>
  <c r="H92" i="55"/>
  <c r="F92" i="55"/>
  <c r="E92" i="55"/>
  <c r="H90" i="55"/>
  <c r="F90" i="55"/>
  <c r="E90" i="55"/>
  <c r="H88" i="55"/>
  <c r="F88" i="55"/>
  <c r="E88" i="55"/>
  <c r="F86" i="55"/>
  <c r="H86" i="55"/>
  <c r="D118" i="56"/>
  <c r="D116" i="56"/>
  <c r="D114" i="56"/>
  <c r="E86" i="55"/>
  <c r="I193" i="54"/>
  <c r="G93" i="55" s="1"/>
  <c r="I192" i="54"/>
  <c r="G91" i="55" s="1"/>
  <c r="I191" i="54"/>
  <c r="G89" i="55" s="1"/>
  <c r="E83" i="55" l="1"/>
  <c r="H23" i="67"/>
  <c r="H145" i="32"/>
  <c r="G23" i="67"/>
  <c r="G145" i="32"/>
  <c r="E21" i="56"/>
  <c r="H83" i="55"/>
  <c r="F83" i="55"/>
  <c r="G90" i="55"/>
  <c r="D90" i="55" s="1"/>
  <c r="D91" i="55"/>
  <c r="F116" i="56" s="1"/>
  <c r="E116" i="56" s="1"/>
  <c r="E115" i="56" s="1"/>
  <c r="D93" i="55"/>
  <c r="F118" i="56" s="1"/>
  <c r="E118" i="56" s="1"/>
  <c r="E117" i="56" s="1"/>
  <c r="G92" i="55"/>
  <c r="D92" i="55" s="1"/>
  <c r="D89" i="55"/>
  <c r="F114" i="56" s="1"/>
  <c r="G88" i="55"/>
  <c r="D88" i="55" s="1"/>
  <c r="D112" i="56"/>
  <c r="J34" i="69" l="1"/>
  <c r="J33" i="69" s="1"/>
  <c r="G22" i="67"/>
  <c r="K34" i="69"/>
  <c r="K33" i="69" s="1"/>
  <c r="H22" i="67"/>
  <c r="H114" i="32"/>
  <c r="H113" i="32" s="1"/>
  <c r="E19" i="56"/>
  <c r="G144" i="32"/>
  <c r="G143" i="32" s="1"/>
  <c r="G142" i="32" s="1"/>
  <c r="G141" i="32" s="1"/>
  <c r="G140" i="32" s="1"/>
  <c r="G138" i="32" s="1"/>
  <c r="J35" i="73" s="1"/>
  <c r="J34" i="73" s="1"/>
  <c r="E114" i="56"/>
  <c r="G114" i="32" s="1"/>
  <c r="F113" i="56"/>
  <c r="F115" i="56"/>
  <c r="F117" i="56"/>
  <c r="I190" i="54"/>
  <c r="I187" i="54" s="1"/>
  <c r="I184" i="54" s="1"/>
  <c r="E97" i="56"/>
  <c r="E94" i="56"/>
  <c r="H81" i="55"/>
  <c r="F81" i="55"/>
  <c r="E81" i="55"/>
  <c r="H79" i="55"/>
  <c r="G79" i="55"/>
  <c r="F79" i="55"/>
  <c r="H77" i="55"/>
  <c r="G77" i="55"/>
  <c r="F77" i="55"/>
  <c r="F75" i="55"/>
  <c r="H75" i="55"/>
  <c r="E75" i="55"/>
  <c r="F72" i="55"/>
  <c r="H72" i="55"/>
  <c r="E72" i="55"/>
  <c r="F63" i="55"/>
  <c r="H63" i="55"/>
  <c r="E63" i="55"/>
  <c r="F61" i="55"/>
  <c r="H61" i="55"/>
  <c r="E61" i="55"/>
  <c r="F54" i="55"/>
  <c r="H54" i="55"/>
  <c r="D96" i="56"/>
  <c r="D95" i="56"/>
  <c r="D98" i="56"/>
  <c r="D93" i="56"/>
  <c r="D92" i="56"/>
  <c r="D91" i="56"/>
  <c r="D90" i="56"/>
  <c r="D89" i="56"/>
  <c r="D88" i="56"/>
  <c r="D87" i="56"/>
  <c r="D82" i="56"/>
  <c r="D81" i="56"/>
  <c r="D80" i="56"/>
  <c r="D79" i="56"/>
  <c r="D78" i="56"/>
  <c r="G60" i="55"/>
  <c r="G70" i="55"/>
  <c r="G56" i="55"/>
  <c r="G73" i="55"/>
  <c r="G71" i="55"/>
  <c r="G74" i="55"/>
  <c r="G59" i="55"/>
  <c r="G67" i="55"/>
  <c r="G76" i="55"/>
  <c r="E104" i="56"/>
  <c r="E103" i="56" s="1"/>
  <c r="D104" i="56"/>
  <c r="F51" i="55" l="1"/>
  <c r="G136" i="32"/>
  <c r="G134" i="32" s="1"/>
  <c r="H51" i="55"/>
  <c r="E113" i="56"/>
  <c r="G113" i="32"/>
  <c r="G110" i="32" s="1"/>
  <c r="G109" i="32" s="1"/>
  <c r="G108" i="32" s="1"/>
  <c r="G106" i="32" s="1"/>
  <c r="G65" i="55"/>
  <c r="D65" i="55" s="1"/>
  <c r="F87" i="56" s="1"/>
  <c r="G57" i="55"/>
  <c r="D57" i="55" s="1"/>
  <c r="F79" i="56" s="1"/>
  <c r="G68" i="55"/>
  <c r="D68" i="55" s="1"/>
  <c r="F90" i="56" s="1"/>
  <c r="G66" i="55"/>
  <c r="D66" i="55" s="1"/>
  <c r="F88" i="56" s="1"/>
  <c r="G58" i="55"/>
  <c r="D58" i="55" s="1"/>
  <c r="F80" i="56" s="1"/>
  <c r="G69" i="55"/>
  <c r="D69" i="55" s="1"/>
  <c r="F91" i="56" s="1"/>
  <c r="G87" i="55"/>
  <c r="D87" i="55" s="1"/>
  <c r="F112" i="56" s="1"/>
  <c r="H112" i="32" s="1"/>
  <c r="D67" i="55"/>
  <c r="F89" i="56" s="1"/>
  <c r="D73" i="55"/>
  <c r="F95" i="56" s="1"/>
  <c r="D56" i="55"/>
  <c r="F78" i="56" s="1"/>
  <c r="D60" i="55"/>
  <c r="F82" i="56" s="1"/>
  <c r="D74" i="55"/>
  <c r="F96" i="56" s="1"/>
  <c r="D71" i="55"/>
  <c r="F93" i="56" s="1"/>
  <c r="D76" i="55"/>
  <c r="F98" i="56" s="1"/>
  <c r="F97" i="56" s="1"/>
  <c r="D59" i="55"/>
  <c r="F81" i="56" s="1"/>
  <c r="D70" i="55"/>
  <c r="F92" i="56" s="1"/>
  <c r="I153" i="54"/>
  <c r="I150" i="54"/>
  <c r="I147" i="54" s="1"/>
  <c r="I181" i="54"/>
  <c r="I182" i="54"/>
  <c r="I180" i="54"/>
  <c r="G19" i="67" l="1"/>
  <c r="G18" i="67" s="1"/>
  <c r="I146" i="54"/>
  <c r="I145" i="54" s="1"/>
  <c r="F111" i="56"/>
  <c r="F109" i="56" s="1"/>
  <c r="F107" i="56" s="1"/>
  <c r="H111" i="32"/>
  <c r="H110" i="32" s="1"/>
  <c r="H109" i="32" s="1"/>
  <c r="H108" i="32" s="1"/>
  <c r="H106" i="32" s="1"/>
  <c r="G97" i="32"/>
  <c r="J67" i="73"/>
  <c r="G86" i="55"/>
  <c r="E111" i="56"/>
  <c r="E109" i="56" s="1"/>
  <c r="E107" i="56" s="1"/>
  <c r="G72" i="55"/>
  <c r="D72" i="55" s="1"/>
  <c r="F94" i="56"/>
  <c r="G75" i="55"/>
  <c r="E80" i="55"/>
  <c r="E79" i="55" s="1"/>
  <c r="J22" i="69" l="1"/>
  <c r="J21" i="69" s="1"/>
  <c r="G28" i="67"/>
  <c r="J58" i="69" s="1"/>
  <c r="H97" i="32"/>
  <c r="K67" i="73"/>
  <c r="D85" i="55"/>
  <c r="G83" i="55"/>
  <c r="D86" i="55"/>
  <c r="D80" i="55"/>
  <c r="F104" i="56" s="1"/>
  <c r="F103" i="56" s="1"/>
  <c r="H28" i="67" l="1"/>
  <c r="K58" i="69" s="1"/>
  <c r="D83" i="55"/>
  <c r="D102" i="56"/>
  <c r="E78" i="55"/>
  <c r="D78" i="55" l="1"/>
  <c r="F102" i="56" s="1"/>
  <c r="F101" i="56" s="1"/>
  <c r="E77" i="55"/>
  <c r="D75" i="55"/>
  <c r="D106" i="56"/>
  <c r="D86" i="56"/>
  <c r="D84" i="56"/>
  <c r="E102" i="56" l="1"/>
  <c r="E101" i="56" s="1"/>
  <c r="G82" i="55"/>
  <c r="G81" i="55" s="1"/>
  <c r="G64" i="55"/>
  <c r="G63" i="55" s="1"/>
  <c r="G62" i="55"/>
  <c r="G61" i="55" s="1"/>
  <c r="E77" i="56"/>
  <c r="G94" i="32" s="1"/>
  <c r="E76" i="56" l="1"/>
  <c r="G93" i="32"/>
  <c r="D64" i="55"/>
  <c r="F86" i="56" s="1"/>
  <c r="F85" i="56" s="1"/>
  <c r="D82" i="55"/>
  <c r="F106" i="56" s="1"/>
  <c r="F105" i="56" s="1"/>
  <c r="D79" i="55"/>
  <c r="D62" i="55"/>
  <c r="F84" i="56" s="1"/>
  <c r="H96" i="32" l="1"/>
  <c r="H95" i="32" s="1"/>
  <c r="F83" i="56"/>
  <c r="D81" i="55"/>
  <c r="D77" i="55"/>
  <c r="E106" i="56"/>
  <c r="E105" i="56" s="1"/>
  <c r="E84" i="56"/>
  <c r="E86" i="56"/>
  <c r="E85" i="56" s="1"/>
  <c r="G96" i="32" l="1"/>
  <c r="G95" i="32" s="1"/>
  <c r="G92" i="32" s="1"/>
  <c r="G91" i="32" s="1"/>
  <c r="G86" i="32" s="1"/>
  <c r="G84" i="32" s="1"/>
  <c r="E83" i="56"/>
  <c r="E73" i="56" s="1"/>
  <c r="D63" i="55"/>
  <c r="D61" i="55"/>
  <c r="E68" i="56" l="1"/>
  <c r="G75" i="32"/>
  <c r="G73" i="32" s="1"/>
  <c r="J60" i="73"/>
  <c r="D77" i="56"/>
  <c r="G27" i="67" l="1"/>
  <c r="J51" i="69" s="1"/>
  <c r="E55" i="55"/>
  <c r="E54" i="55" s="1"/>
  <c r="E51" i="55" s="1"/>
  <c r="G54" i="55"/>
  <c r="G51" i="55" s="1"/>
  <c r="D53" i="55" l="1"/>
  <c r="D55" i="55"/>
  <c r="F77" i="56" s="1"/>
  <c r="E50" i="56"/>
  <c r="E49" i="56"/>
  <c r="H94" i="32" l="1"/>
  <c r="H93" i="32" s="1"/>
  <c r="H92" i="32" s="1"/>
  <c r="H91" i="32" s="1"/>
  <c r="H86" i="32" s="1"/>
  <c r="H84" i="32" s="1"/>
  <c r="F76" i="56"/>
  <c r="F73" i="56" s="1"/>
  <c r="F68" i="56" s="1"/>
  <c r="D54" i="55"/>
  <c r="D51" i="55"/>
  <c r="H38" i="55"/>
  <c r="G38" i="55"/>
  <c r="F38" i="55"/>
  <c r="H49" i="55"/>
  <c r="G49" i="55"/>
  <c r="F49" i="55"/>
  <c r="H47" i="55"/>
  <c r="G47" i="55"/>
  <c r="F47" i="55"/>
  <c r="H45" i="55"/>
  <c r="G45" i="55"/>
  <c r="F45" i="55"/>
  <c r="F43" i="55"/>
  <c r="G43" i="55"/>
  <c r="H43" i="55"/>
  <c r="F40" i="55"/>
  <c r="G40" i="55"/>
  <c r="H40" i="55"/>
  <c r="F33" i="55"/>
  <c r="G33" i="55"/>
  <c r="H33" i="55"/>
  <c r="E53" i="56"/>
  <c r="E52" i="56" s="1"/>
  <c r="E51" i="56"/>
  <c r="E48" i="56"/>
  <c r="D50" i="56"/>
  <c r="D49" i="56"/>
  <c r="D48" i="56"/>
  <c r="D51" i="56"/>
  <c r="D53" i="56"/>
  <c r="H75" i="32" l="1"/>
  <c r="H73" i="32" s="1"/>
  <c r="K60" i="73"/>
  <c r="E47" i="56"/>
  <c r="I135" i="54"/>
  <c r="I136" i="54"/>
  <c r="I137" i="54"/>
  <c r="I138" i="54"/>
  <c r="I124" i="54"/>
  <c r="I125" i="54"/>
  <c r="I126" i="54"/>
  <c r="I127" i="54"/>
  <c r="I130" i="54"/>
  <c r="I134" i="54"/>
  <c r="I123" i="54"/>
  <c r="H27" i="67" l="1"/>
  <c r="E42" i="55"/>
  <c r="E37" i="55"/>
  <c r="D37" i="55" s="1"/>
  <c r="F51" i="56" s="1"/>
  <c r="E39" i="55"/>
  <c r="D39" i="55" s="1"/>
  <c r="F53" i="56" s="1"/>
  <c r="F52" i="56" s="1"/>
  <c r="E36" i="55"/>
  <c r="D36" i="55" s="1"/>
  <c r="F50" i="56" s="1"/>
  <c r="I116" i="54"/>
  <c r="E34" i="55"/>
  <c r="D34" i="55" s="1"/>
  <c r="F48" i="56" s="1"/>
  <c r="E35" i="55"/>
  <c r="E64" i="56"/>
  <c r="E63" i="56" s="1"/>
  <c r="D64" i="56"/>
  <c r="E50" i="55"/>
  <c r="D62" i="56"/>
  <c r="E48" i="55"/>
  <c r="K51" i="69" l="1"/>
  <c r="E38" i="55"/>
  <c r="D38" i="55" s="1"/>
  <c r="I115" i="54"/>
  <c r="I114" i="54" s="1"/>
  <c r="D48" i="55"/>
  <c r="F62" i="56" s="1"/>
  <c r="E47" i="55"/>
  <c r="D47" i="55" s="1"/>
  <c r="D50" i="55"/>
  <c r="F64" i="56" s="1"/>
  <c r="F63" i="56" s="1"/>
  <c r="F44" i="56" s="1"/>
  <c r="E49" i="55"/>
  <c r="D35" i="55"/>
  <c r="F49" i="56" s="1"/>
  <c r="F47" i="56" s="1"/>
  <c r="E33" i="55"/>
  <c r="D49" i="55" l="1"/>
  <c r="E30" i="55"/>
  <c r="E62" i="56"/>
  <c r="E61" i="56" s="1"/>
  <c r="F61" i="56"/>
  <c r="D33" i="55"/>
  <c r="D60" i="56" l="1"/>
  <c r="E46" i="55"/>
  <c r="D58" i="56"/>
  <c r="D44" i="55" l="1"/>
  <c r="F58" i="56" s="1"/>
  <c r="E43" i="55"/>
  <c r="D43" i="55" s="1"/>
  <c r="D46" i="55"/>
  <c r="F60" i="56" s="1"/>
  <c r="E45" i="55"/>
  <c r="D45" i="55" s="1"/>
  <c r="D56" i="56"/>
  <c r="D42" i="55"/>
  <c r="F56" i="56" s="1"/>
  <c r="E56" i="56" s="1"/>
  <c r="E60" i="56" l="1"/>
  <c r="E59" i="56" s="1"/>
  <c r="E65" i="56" s="1"/>
  <c r="F59" i="56"/>
  <c r="E58" i="56"/>
  <c r="E57" i="56" s="1"/>
  <c r="F57" i="56"/>
  <c r="D55" i="56"/>
  <c r="E41" i="55"/>
  <c r="E40" i="55" s="1"/>
  <c r="D32" i="56" l="1"/>
  <c r="G22" i="55"/>
  <c r="I111" i="54"/>
  <c r="I110" i="54" s="1"/>
  <c r="I109" i="54" s="1"/>
  <c r="D41" i="55" l="1"/>
  <c r="F55" i="56" s="1"/>
  <c r="F54" i="56" s="1"/>
  <c r="D40" i="55"/>
  <c r="D30" i="55"/>
  <c r="F42" i="56" l="1"/>
  <c r="H57" i="32"/>
  <c r="H56" i="32" s="1"/>
  <c r="H55" i="32" s="1"/>
  <c r="H54" i="32" s="1"/>
  <c r="H49" i="32" s="1"/>
  <c r="H47" i="32" s="1"/>
  <c r="E55" i="56"/>
  <c r="E54" i="56" l="1"/>
  <c r="G57" i="32" s="1"/>
  <c r="G56" i="32" s="1"/>
  <c r="G55" i="32" s="1"/>
  <c r="G54" i="32" s="1"/>
  <c r="G49" i="32" s="1"/>
  <c r="G47" i="32" s="1"/>
  <c r="K54" i="73"/>
  <c r="K53" i="73" s="1"/>
  <c r="H45" i="32"/>
  <c r="H25" i="67" s="1"/>
  <c r="E42" i="56" l="1"/>
  <c r="E11" i="56" s="1"/>
  <c r="J54" i="73"/>
  <c r="J53" i="73" s="1"/>
  <c r="G45" i="32"/>
  <c r="G25" i="67" s="1"/>
  <c r="E31" i="56"/>
  <c r="E29" i="56" s="1"/>
  <c r="E27" i="56" l="1"/>
  <c r="G33" i="32"/>
  <c r="G32" i="32" s="1"/>
  <c r="G31" i="32" s="1"/>
  <c r="G21" i="55"/>
  <c r="G19" i="55" s="1"/>
  <c r="H21" i="55"/>
  <c r="E21" i="55"/>
  <c r="G30" i="32" l="1"/>
  <c r="G28" i="32" s="1"/>
  <c r="J41" i="73" s="1"/>
  <c r="J40" i="73" s="1"/>
  <c r="J26" i="73" s="1"/>
  <c r="D22" i="55"/>
  <c r="F32" i="56" s="1"/>
  <c r="H34" i="32" s="1"/>
  <c r="E19" i="55"/>
  <c r="F31" i="56" l="1"/>
  <c r="F29" i="56" s="1"/>
  <c r="H33" i="32" s="1"/>
  <c r="H32" i="32" s="1"/>
  <c r="H31" i="32" s="1"/>
  <c r="G26" i="32"/>
  <c r="G21" i="67" s="1"/>
  <c r="F21" i="55"/>
  <c r="F19" i="55" s="1"/>
  <c r="F27" i="56" l="1"/>
  <c r="G20" i="67"/>
  <c r="J28" i="69"/>
  <c r="J27" i="69" s="1"/>
  <c r="G24" i="32"/>
  <c r="H30" i="32"/>
  <c r="H28" i="32" s="1"/>
  <c r="K41" i="73" s="1"/>
  <c r="K40" i="73" s="1"/>
  <c r="H26" i="32" l="1"/>
  <c r="H21" i="67" s="1"/>
  <c r="H20" i="67" l="1"/>
  <c r="K28" i="69"/>
  <c r="K27" i="69" s="1"/>
  <c r="H24" i="32"/>
  <c r="H19" i="55" l="1"/>
  <c r="D19" i="55" s="1"/>
  <c r="D21" i="55"/>
  <c r="G17" i="55"/>
  <c r="G15" i="55" s="1"/>
  <c r="G13" i="55" s="1"/>
  <c r="H17" i="55"/>
  <c r="H15" i="55" s="1"/>
  <c r="H13" i="55" s="1"/>
  <c r="E17" i="55"/>
  <c r="E15" i="55" s="1"/>
  <c r="E13" i="55" s="1"/>
  <c r="F17" i="55" l="1"/>
  <c r="F15" i="55" s="1"/>
  <c r="F13" i="55" s="1"/>
  <c r="G71" i="32" l="1"/>
  <c r="J41" i="69" l="1"/>
  <c r="H71" i="32"/>
  <c r="I108" i="54" l="1"/>
  <c r="K41" i="69" l="1"/>
  <c r="I89" i="54" l="1"/>
  <c r="I13" i="54" s="1"/>
  <c r="D18" i="55" l="1"/>
  <c r="F18" i="56" s="1"/>
  <c r="F17" i="56" s="1"/>
  <c r="F15" i="56" s="1"/>
  <c r="F13" i="56" l="1"/>
  <c r="F11" i="56" s="1"/>
  <c r="H131" i="32"/>
  <c r="H130" i="32" s="1"/>
  <c r="H129" i="32" s="1"/>
  <c r="H128" i="32" s="1"/>
  <c r="H127" i="32" s="1"/>
  <c r="H125" i="32" s="1"/>
  <c r="D17" i="55"/>
  <c r="H123" i="32" l="1"/>
  <c r="K28" i="73"/>
  <c r="K27" i="73" s="1"/>
  <c r="K26" i="73" s="1"/>
  <c r="H17" i="67" l="1"/>
  <c r="H121" i="32"/>
  <c r="K15" i="69" l="1"/>
  <c r="K14" i="69" s="1"/>
  <c r="H16" i="67"/>
  <c r="D15" i="55"/>
  <c r="H119" i="32" l="1"/>
  <c r="G119" i="32"/>
  <c r="G69" i="32" l="1"/>
  <c r="G67" i="32" s="1"/>
  <c r="G60" i="32" l="1"/>
  <c r="G58" i="32" l="1"/>
  <c r="G26" i="67" s="1"/>
  <c r="G24" i="67" s="1"/>
  <c r="G15" i="67" s="1"/>
  <c r="J74" i="73"/>
  <c r="J73" i="73" s="1"/>
  <c r="J72" i="73" s="1"/>
  <c r="J11" i="73" s="1"/>
  <c r="G11" i="55"/>
  <c r="H11" i="55"/>
  <c r="G43" i="32" l="1"/>
  <c r="G41" i="32" s="1"/>
  <c r="G39" i="32" s="1"/>
  <c r="G37" i="32" s="1"/>
  <c r="J47" i="69"/>
  <c r="G13" i="67"/>
  <c r="B18" i="72" s="1"/>
  <c r="B16" i="72" s="1"/>
  <c r="B14" i="72" s="1"/>
  <c r="B12" i="72" s="1"/>
  <c r="B10" i="72" s="1"/>
  <c r="J40" i="69" l="1"/>
  <c r="J13" i="69" s="1"/>
  <c r="J11" i="69" s="1"/>
  <c r="G22" i="32"/>
  <c r="G20" i="32" s="1"/>
  <c r="G18" i="32" s="1"/>
  <c r="G16" i="32" s="1"/>
  <c r="H22" i="32"/>
  <c r="H20" i="32" s="1"/>
  <c r="H18" i="32" s="1"/>
  <c r="H16" i="32" s="1"/>
  <c r="F11" i="55"/>
  <c r="G117" i="32" l="1"/>
  <c r="G115" i="32" s="1"/>
  <c r="G35" i="32" s="1"/>
  <c r="G15" i="32" l="1"/>
  <c r="G13" i="32" s="1"/>
  <c r="H69" i="32" l="1"/>
  <c r="H67" i="32" s="1"/>
  <c r="H60" i="32" l="1"/>
  <c r="H117" i="32"/>
  <c r="H115" i="32" s="1"/>
  <c r="H58" i="32" l="1"/>
  <c r="H26" i="67" s="1"/>
  <c r="H24" i="67" s="1"/>
  <c r="H15" i="67" s="1"/>
  <c r="K74" i="73"/>
  <c r="K73" i="73" s="1"/>
  <c r="K72" i="73" s="1"/>
  <c r="K11" i="73" s="1"/>
  <c r="H43" i="32" l="1"/>
  <c r="H41" i="32" s="1"/>
  <c r="H39" i="32" s="1"/>
  <c r="H37" i="32" s="1"/>
  <c r="H35" i="32" s="1"/>
  <c r="H15" i="32" s="1"/>
  <c r="H13" i="32" s="1"/>
  <c r="K47" i="69"/>
  <c r="H13" i="67"/>
  <c r="C18" i="72" s="1"/>
  <c r="C16" i="72" s="1"/>
  <c r="C14" i="72" s="1"/>
  <c r="C12" i="72" s="1"/>
  <c r="C10" i="72" s="1"/>
  <c r="E11" i="55"/>
  <c r="D11" i="55" s="1"/>
  <c r="D13" i="55"/>
  <c r="K40" i="69" l="1"/>
  <c r="K13" i="69" s="1"/>
  <c r="K11" i="69" s="1"/>
</calcChain>
</file>

<file path=xl/sharedStrings.xml><?xml version="1.0" encoding="utf-8"?>
<sst xmlns="http://schemas.openxmlformats.org/spreadsheetml/2006/main" count="1362" uniqueCount="420">
  <si>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</si>
  <si>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</si>
  <si>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</si>
  <si>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</si>
  <si>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</si>
  <si>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</si>
  <si>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</si>
  <si>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</si>
  <si>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</si>
  <si>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</si>
  <si>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</si>
  <si>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</si>
  <si>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</si>
  <si>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</si>
  <si>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</si>
  <si>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</si>
  <si>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</si>
  <si>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</si>
  <si>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</si>
  <si>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</si>
  <si>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</si>
  <si>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</si>
  <si>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</si>
  <si>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</si>
  <si>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</si>
  <si>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</si>
  <si>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</si>
  <si>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</si>
  <si>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</si>
  <si>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</si>
  <si>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</si>
  <si>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</si>
  <si>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</si>
  <si>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</si>
  <si>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</si>
  <si>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</si>
  <si>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</si>
  <si>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</si>
  <si>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</si>
  <si>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</si>
  <si>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</si>
  <si>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</si>
  <si>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</si>
  <si>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</si>
  <si>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</si>
  <si>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</si>
  <si>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</si>
  <si>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</si>
  <si>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- Շենքերի և շինությունների շինարարություն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</si>
  <si>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</si>
  <si>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</si>
  <si>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</si>
  <si>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</si>
  <si>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</si>
  <si>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</si>
  <si>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</si>
  <si>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</si>
  <si>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</si>
  <si>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</si>
  <si>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</si>
  <si>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Խումբ N 02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</si>
  <si>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</si>
  <si>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</si>
  <si>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Կոտայքի մարզ</t>
  </si>
  <si>
    <t>ՀՀ Լոռու մարզ</t>
  </si>
  <si>
    <t xml:space="preserve"> փորձաքննության ծառայություններ</t>
  </si>
  <si>
    <t>02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</si>
  <si>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</si>
  <si>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</si>
  <si>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</si>
  <si>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ԸՆԹԱՑԻԿ ԾԱԽՍԵՐ</t>
  </si>
  <si>
    <t xml:space="preserve"> այդ թվում՝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</si>
  <si>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</si>
  <si>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</si>
  <si>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 xml:space="preserve"> դրամ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</si>
  <si>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</si>
  <si>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</si>
  <si>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</si>
  <si>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</si>
  <si>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ՄԱՍ II.  ԱՇԽԱՏԱՆՔՆԵՐ</t>
  </si>
  <si>
    <t xml:space="preserve"> </t>
  </si>
  <si>
    <t xml:space="preserve"> նախագծերի պատրաստում, ծախսերի գնահատում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</si>
  <si>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</si>
  <si>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</si>
  <si>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</si>
  <si>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</si>
  <si>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</si>
  <si>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</si>
  <si>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</si>
  <si>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</si>
  <si>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Հավելված N 8 </t>
  </si>
  <si>
    <t>Հավելված N 7</t>
  </si>
  <si>
    <t>Հավելված N 4</t>
  </si>
  <si>
    <t xml:space="preserve"> Ապահով դպրոց</t>
  </si>
  <si>
    <t>Ապահով դպրոց</t>
  </si>
  <si>
    <t>Մասսայական սպորտ</t>
  </si>
  <si>
    <t xml:space="preserve"> Հիմնական ընդհանուր կրթություն</t>
  </si>
  <si>
    <t xml:space="preserve"> - Շենքերի և շինությունների կապիտալ վերանորոգում</t>
  </si>
  <si>
    <t xml:space="preserve"> Միջնակարգ ընդհանուր կրթություն</t>
  </si>
  <si>
    <t xml:space="preserve">ՀՀ կառավարության  2025 թվականի </t>
  </si>
  <si>
    <t>ԲՄ</t>
  </si>
  <si>
    <t>71351540-1</t>
  </si>
  <si>
    <t>98111140-1</t>
  </si>
  <si>
    <t xml:space="preserve"> այդ թվում`ըստ ուղղությունների</t>
  </si>
  <si>
    <t>ՀՀ կառավարության  2025 թվականի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</si>
  <si>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</si>
  <si>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</si>
  <si>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</si>
  <si>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</si>
  <si>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</si>
  <si>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</si>
  <si>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>Մասնագիտական կրթության և ուսուցման ծրագիր</t>
  </si>
  <si>
    <t xml:space="preserve"> Մասնագիտական կրթության և ուսուցման ծրագիր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</si>
  <si>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</si>
  <si>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</si>
  <si>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</si>
  <si>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</si>
  <si>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</si>
  <si>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</si>
  <si>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</si>
  <si>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</si>
  <si>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</si>
  <si>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</si>
  <si>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</si>
  <si>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</si>
  <si>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ՀՀ ԿԱՌԱՎԱՐՈՒԹՅՈՒՆ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</si>
  <si>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</si>
  <si>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</si>
  <si>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</si>
  <si>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</si>
  <si>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</si>
  <si>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</si>
  <si>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</si>
  <si>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</si>
  <si>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</si>
  <si>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</si>
  <si>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</si>
  <si>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</si>
  <si>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</si>
  <si>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</si>
  <si>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</si>
  <si>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</si>
  <si>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</si>
  <si>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</si>
  <si>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</si>
  <si>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</si>
  <si>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 Ակտիվն օգտագործող կազմակերպությունների անվանումները` Մասնագիտական ուսումնական հաստատություններ </t>
  </si>
  <si>
    <t>Նախագծանախահաշվային փաստաթղթերի քանակ, հատ</t>
  </si>
  <si>
    <t xml:space="preserve"> Ակտիվն օգտագործող կազմակերպությունների անվանումները` Հանրակրթական դպրոցներ </t>
  </si>
  <si>
    <t>Խումբ N 01</t>
  </si>
  <si>
    <t>71351540-4</t>
  </si>
  <si>
    <t>Դաս N 05</t>
  </si>
  <si>
    <t xml:space="preserve"> Արվեստ</t>
  </si>
  <si>
    <t>Ներդրումներ թատրոնների և համերգային կազմակերպությունների շենքերի կապիտալ վերանորոգման համար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</si>
  <si>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</si>
  <si>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</si>
  <si>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Արվեստների ծրագիր</t>
  </si>
  <si>
    <t xml:space="preserve"> Մասսայական սպորտ</t>
  </si>
  <si>
    <t xml:space="preserve"> ՇԵՆՔԵՐ ԵՎ ՇԻՆՈՒԹՅՈՒՆՆԵՐ</t>
  </si>
  <si>
    <t>05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</si>
  <si>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</si>
  <si>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</si>
  <si>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</si>
  <si>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</si>
  <si>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</si>
  <si>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</si>
  <si>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Ակտիվն օգտագործող կազմակերպության անվանումը` Մարզական հաստատություններ </t>
  </si>
  <si>
    <t xml:space="preserve"> Արվեստների ծրագիր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</si>
  <si>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</si>
  <si>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</si>
  <si>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>ԲՍԿ</t>
  </si>
  <si>
    <t>ՀՀ քաղաքաշինության կոմիտե</t>
  </si>
  <si>
    <t>«Վանաձորի Հ. Աբելյանի անվան պետական դրամատիկական թատրոն» ՊՈԱԿ</t>
  </si>
  <si>
    <t>71241200-598</t>
  </si>
  <si>
    <t>Մանկապարտեզների նոր շենքերի կառուցում</t>
  </si>
  <si>
    <t>1236-32001</t>
  </si>
  <si>
    <t xml:space="preserve"> Մանկապարտեզների նոր շենքերի կառուցում</t>
  </si>
  <si>
    <t>45221142-3</t>
  </si>
  <si>
    <t xml:space="preserve"> ընդհանուր շինարարական աշխատանքներ</t>
  </si>
  <si>
    <t>71351540-3</t>
  </si>
  <si>
    <t>98111140-3</t>
  </si>
  <si>
    <t>ՀՀ Արմավիրի մարզի Նորավան համայնքում «Մոդուլային» տիպի 144 տեղ հզորությամբ մսուր-մանկապարտեզ</t>
  </si>
  <si>
    <t>45221142-4</t>
  </si>
  <si>
    <t>ՀՀ Արմավիրի մարզի Փշատավան համայնքում «Մոդուլային» տիպի 144 տեղ հզորությամբ մսուր-մանկապարտեզ</t>
  </si>
  <si>
    <t>ՀԲՄ</t>
  </si>
  <si>
    <t xml:space="preserve">ՀՀ Գեղարքունիքի մարզի Աստղաձոր համայնքում «Մոդուլային» տիպի 144 տեղ հզորությամբ մսուր-մանկապարտեզ </t>
  </si>
  <si>
    <t>71351540-29</t>
  </si>
  <si>
    <t>98111140-15</t>
  </si>
  <si>
    <t xml:space="preserve">ՀՀ Լոռու մարզի Սպիտակ համայնքում «Մոդուլային» տիպի 144 տեղ հզորությամբ մսուր-մանկապարտեզ </t>
  </si>
  <si>
    <t>ՀՀ ԳԵղարքունիքի մարզ</t>
  </si>
  <si>
    <t>45221142-9</t>
  </si>
  <si>
    <t>71351540-9</t>
  </si>
  <si>
    <t>98111140-9</t>
  </si>
  <si>
    <t xml:space="preserve">ՀՀ Կոտայքի մարզի Հրազդան համայնքում «Մոդուլային» տիպի 144 տեղ հզորությամբ մսուր-մանկապարտեզ </t>
  </si>
  <si>
    <t>45221142-12</t>
  </si>
  <si>
    <t>71351540-12</t>
  </si>
  <si>
    <t>98111140-12</t>
  </si>
  <si>
    <t>ՀՀ Վայոց ձորի մարզի Եղեգիս համայնքի Շատին բնակավայրում «Մոդուլային» տիպի 250 տեղ հզորությամբ մսուր-մանկապարտեզ</t>
  </si>
  <si>
    <t>ՀՀ Վայոց Ձոր</t>
  </si>
  <si>
    <t>45221142-520</t>
  </si>
  <si>
    <t>71351540-522</t>
  </si>
  <si>
    <t>45221142-521</t>
  </si>
  <si>
    <t>45221142-522</t>
  </si>
  <si>
    <t>45221142-523</t>
  </si>
  <si>
    <t>45221142-524</t>
  </si>
  <si>
    <t>71351540-523</t>
  </si>
  <si>
    <t>71351540-524</t>
  </si>
  <si>
    <t>71351540-525</t>
  </si>
  <si>
    <t>71351540-526</t>
  </si>
  <si>
    <t>Ապարան համայնքի Մելիքգյուղ բնակավայրում 75 տեղ հզորությամբ մանկապարտեզ</t>
  </si>
  <si>
    <t>Թալին համայնքի Կաքավաձոր բնակավայրում 75 տեղ հզորությամբ մանկապարտեզ</t>
  </si>
  <si>
    <t>Թալին համայնքի Ոսկեթաս բնակավայրում 75 տեղ հզորությամբ մանկապարտեզ</t>
  </si>
  <si>
    <t>Ծաղկահովիտ համայնքի Ծիլքար բնակավայրում 75 տեղ հզորությամբ մանկապարտեզ</t>
  </si>
  <si>
    <t>Արտաշատ համայնքի Բերքանուշ բնակավայրում 75 տեղ հզորությամբ մանկապարտեզ</t>
  </si>
  <si>
    <t>ՀՀ Արագածոտնի մարզ</t>
  </si>
  <si>
    <t>ՀՀ Արարատի մարզ</t>
  </si>
  <si>
    <t xml:space="preserve"> Նախադպրոցական կրթություն</t>
  </si>
  <si>
    <t>50531140-1</t>
  </si>
  <si>
    <t>1236-32003</t>
  </si>
  <si>
    <t xml:space="preserve"> Հանրակրթական դպրոցների նոր շենքերի կառուցում</t>
  </si>
  <si>
    <t>45221142-1</t>
  </si>
  <si>
    <t>«Երևանի թիվ 109 ավագ դպրոց» ՊՈԱԿ</t>
  </si>
  <si>
    <t>Հանրակրթական դպրոցների նոր շենքերի կառուցում</t>
  </si>
  <si>
    <t>50531140-35</t>
  </si>
  <si>
    <t>50531140-36</t>
  </si>
  <si>
    <t>50531140-37</t>
  </si>
  <si>
    <t>«Նիզամիի միջնակարգ դպրոց» ՊՈԱԿ</t>
  </si>
  <si>
    <t>«Հայկաշենի Գ. Կիրակոսյանի անվան միջնակարգ դպրոց» ՊՈԱԿ</t>
  </si>
  <si>
    <t>«Նավուրի միջնակարգ դպրոց» ՊՈԱԿ</t>
  </si>
  <si>
    <t>ՀՀ Տավուշի մարզ</t>
  </si>
  <si>
    <t>«Հրազդանի Լևոն Խեչոյանի անվան թիվ 10 ավագ դպրոց» ՊՈԱԿ</t>
  </si>
  <si>
    <t xml:space="preserve"> միջնակարգ դպրոցների կառուցման աշխատանքներ</t>
  </si>
  <si>
    <t>ՀՀ Շիրակի մարզ</t>
  </si>
  <si>
    <t>«Արեգնադեմի միջնակարգ դպրոց» ՊՈԱԿ</t>
  </si>
  <si>
    <t>45221142-7</t>
  </si>
  <si>
    <t>71351540-11</t>
  </si>
  <si>
    <t>ՀՀ Սյունիքի մարզ</t>
  </si>
  <si>
    <t xml:space="preserve">«ք. Կապանի թիվ 10 միջնակարգ դպրոց» ՊՈԱԿ </t>
  </si>
  <si>
    <t>71241200-521</t>
  </si>
  <si>
    <t>71241200-503</t>
  </si>
  <si>
    <t>71241200-513</t>
  </si>
  <si>
    <t>71241200-504</t>
  </si>
  <si>
    <t>71241200-507</t>
  </si>
  <si>
    <t>71241200-506</t>
  </si>
  <si>
    <t>71241200-517</t>
  </si>
  <si>
    <t>71241200-520</t>
  </si>
  <si>
    <t>71241200-502</t>
  </si>
  <si>
    <t>71241200-526</t>
  </si>
  <si>
    <t>71241200-515</t>
  </si>
  <si>
    <t>71241200-524</t>
  </si>
  <si>
    <t>71241200-508</t>
  </si>
  <si>
    <t>71241200-519</t>
  </si>
  <si>
    <t>71241200-516</t>
  </si>
  <si>
    <t>«Երևանի հ. 136 հիմնական դպրոց» ՊՈԱԿ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</si>
  <si>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</si>
  <si>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</si>
  <si>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Մ. Սարյանի անվան հ. 86 հիմնական դպրոց» ՊՈԱԿ</t>
  </si>
  <si>
    <t>«Երևանի Ա. Երզնկյանի անվան հ. 118 ավագ դպրոց» ՊՈԱԿ</t>
  </si>
  <si>
    <t>«Արմավիրի հ. 8 հիմնական դպրոց» ՊՈԱԿ</t>
  </si>
  <si>
    <t>«Մրգաստանի միջնակարգ դպրոց» ՊՈԱԿ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</si>
  <si>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</si>
  <si>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</si>
  <si>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</si>
  <si>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«Արմավիրի N 6 հիմնական դպրոց» ՊՈԱԿ</t>
  </si>
  <si>
    <t>«Շահումյանի միջնակարգ դպրոց» ՊՈԱԿ</t>
  </si>
  <si>
    <t>«Վ․ Գետաշենի թիվ 2 միջնակարգ դպրոց» ՊՈԱԿ</t>
  </si>
  <si>
    <t>Գագարինի միջնակարգ դպրոց ՊՈԱԿ</t>
  </si>
  <si>
    <t>«Ալավերդու թիվ 12 հիմնական դպրոց» ՊՈԱԿ</t>
  </si>
  <si>
    <t>1236-32005</t>
  </si>
  <si>
    <t xml:space="preserve"> Կրթահամալիրների կառուցում</t>
  </si>
  <si>
    <t>50531140-39</t>
  </si>
  <si>
    <t>Կրթահամալիրների կառուցում</t>
  </si>
  <si>
    <t>Հացաշենի մոդուլային կրթահամալիր</t>
  </si>
  <si>
    <t>50531140-40</t>
  </si>
  <si>
    <t>50531140-41</t>
  </si>
  <si>
    <t>50531140-42</t>
  </si>
  <si>
    <t>Արփունքի մոդուլային կրթահամալիր</t>
  </si>
  <si>
    <t>գ․ Նուռնուսի մոդուլային կրթահամալիր</t>
  </si>
  <si>
    <t>գ․ Գողթանիկի մոդուլային կրթահամալիր</t>
  </si>
  <si>
    <t>ՀՀ Վայոց Ձորի մարզ</t>
  </si>
  <si>
    <t>Մարզական օբյեկտների շինարարություն</t>
  </si>
  <si>
    <t>«Երևանի օլիմպիական հերթափոխի պետական մարզական քոլեջ» ՊՈԱԿ (բռնցքամարտի և ձյուդոյի մարզադահլիճ)</t>
  </si>
  <si>
    <t>Ալագյազ համայնքում Մալխաս և Ռոման Ամոյանների անվան նոր մարզադպրոց</t>
  </si>
  <si>
    <t>1183-32009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</si>
  <si>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</si>
  <si>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վերակառուցման աշխատանքներ</t>
  </si>
  <si>
    <t xml:space="preserve"> ԲՄ</t>
  </si>
  <si>
    <t>71351540-37</t>
  </si>
  <si>
    <t>98111140-24</t>
  </si>
  <si>
    <t>Հանրակրթական կրթություն իրականացնող ուսումնական հաստատությունների մարզադահլիճների վերակառուցում</t>
  </si>
  <si>
    <t>«Երևանի հ. 37 հիմնական դպրոց» ՊՈԱԿ</t>
  </si>
  <si>
    <t>71351540-38</t>
  </si>
  <si>
    <t>98111140-25</t>
  </si>
  <si>
    <t>«Ակունք գյուղի միջնակարգ դպրոց» ՊՈԱԿ</t>
  </si>
  <si>
    <t>71351540-39</t>
  </si>
  <si>
    <t>98111140-26</t>
  </si>
  <si>
    <t xml:space="preserve"> Մասնագիտական ուսումնական հաստատությունների շենքերի կառուցում</t>
  </si>
  <si>
    <t>«Արմավիրի տարածաշրջանային պետական քոլեջ» ՊՈԱԿ</t>
  </si>
  <si>
    <t>ՀՀ մարզերում կրթական որակյալ ծառայությունների հասանելիության ապահովման ծրագրի շրջանակներում դպրոցների կառուցման նախագծանախահաշվային փաստաթղթերի կազմում և փորձաքննություն</t>
  </si>
  <si>
    <t>71241200-5</t>
  </si>
  <si>
    <t>50531140-5</t>
  </si>
  <si>
    <t>50531140-2</t>
  </si>
  <si>
    <t>71241200-1</t>
  </si>
  <si>
    <t>71241200-2</t>
  </si>
  <si>
    <t>71241200-4</t>
  </si>
  <si>
    <t>50531140-4</t>
  </si>
  <si>
    <t>71241200-3</t>
  </si>
  <si>
    <t>71241200-6</t>
  </si>
  <si>
    <t>71241200-7</t>
  </si>
  <si>
    <t>71241200-8</t>
  </si>
  <si>
    <t>71241200-9</t>
  </si>
  <si>
    <t>71241200-10</t>
  </si>
  <si>
    <t>71241200-11</t>
  </si>
  <si>
    <t>71241200-12</t>
  </si>
  <si>
    <t>71241200-13</t>
  </si>
  <si>
    <t>71241200-14</t>
  </si>
  <si>
    <t>71241200-15</t>
  </si>
  <si>
    <t>71241200-16</t>
  </si>
  <si>
    <t>71241200-17</t>
  </si>
  <si>
    <t>71241200-18</t>
  </si>
  <si>
    <t>71241200-19</t>
  </si>
  <si>
    <t>71241200-20</t>
  </si>
  <si>
    <t>71241200-21</t>
  </si>
  <si>
    <t>71241200-22</t>
  </si>
  <si>
    <t>71241200-23</t>
  </si>
  <si>
    <t>71241200-24</t>
  </si>
  <si>
    <t>71241200-25</t>
  </si>
  <si>
    <t>71241200-26</t>
  </si>
  <si>
    <t>71241200-27</t>
  </si>
  <si>
    <t>71241200-28</t>
  </si>
  <si>
    <t>71241200-29</t>
  </si>
  <si>
    <t>71241200-30</t>
  </si>
  <si>
    <t>71241200-31</t>
  </si>
  <si>
    <t>71241200-32</t>
  </si>
  <si>
    <t>71241200-33</t>
  </si>
  <si>
    <t>71241200-34</t>
  </si>
  <si>
    <t>71241200-35</t>
  </si>
  <si>
    <t>71241200-36</t>
  </si>
  <si>
    <t>50531140-3</t>
  </si>
  <si>
    <t>50531140-6</t>
  </si>
  <si>
    <t>50531140-7</t>
  </si>
  <si>
    <t>50531140-8</t>
  </si>
  <si>
    <t>50531140-9</t>
  </si>
  <si>
    <t>50531140-10</t>
  </si>
  <si>
    <t>50531140-11</t>
  </si>
  <si>
    <t>50531140-12</t>
  </si>
  <si>
    <t>50531140-13</t>
  </si>
  <si>
    <t>50531140-14</t>
  </si>
  <si>
    <t>50531140-15</t>
  </si>
  <si>
    <t>50531140-16</t>
  </si>
  <si>
    <t>50531140-17</t>
  </si>
  <si>
    <t>50531140-18</t>
  </si>
  <si>
    <t>50531140-19</t>
  </si>
  <si>
    <t>50531140-20</t>
  </si>
  <si>
    <t>50531140-21</t>
  </si>
  <si>
    <t>50531140-22</t>
  </si>
  <si>
    <t>50531140-23</t>
  </si>
  <si>
    <t>50531140-24</t>
  </si>
  <si>
    <t>50531140-25</t>
  </si>
  <si>
    <t>50531140-26</t>
  </si>
  <si>
    <t>50531140-27</t>
  </si>
  <si>
    <t>50531140-28</t>
  </si>
  <si>
    <t>50531140-29</t>
  </si>
  <si>
    <t>50531140-30</t>
  </si>
  <si>
    <t>50531140-31</t>
  </si>
  <si>
    <t>50531140-32</t>
  </si>
  <si>
    <t>50531140-33</t>
  </si>
  <si>
    <t>50531140-34</t>
  </si>
  <si>
    <t>ՀՀ մարզերում կրթական որակյալ ծառայությունների հասանելիության ապահովման ծրագրի շրջանակներում կրթահամալիրների կառուցման նախագծանախահաշվային փաստաթղթերի կազմում և փորձաքննություն</t>
  </si>
  <si>
    <t>1045-32005</t>
  </si>
  <si>
    <t xml:space="preserve"> Մանկապարտեզների շենքերի վերակառուցում, հիմնանորոգում</t>
  </si>
  <si>
    <t xml:space="preserve"> շենքերի չափագրման ծառայություններ</t>
  </si>
  <si>
    <t xml:space="preserve"> Նախադպրոցական և տարրական ընդհանուր կրթություն</t>
  </si>
  <si>
    <t xml:space="preserve"> - Մասնագիտական ծառայություններ</t>
  </si>
  <si>
    <t xml:space="preserve"> ԾԱՌԱՅՈՒԹՅՈՒՆՆԵՐԻ ԵՎ ԱՊՐԱՆՔՆԵՐԻ ՁԵՌՔ ԲԵՐՈՒՄ</t>
  </si>
  <si>
    <t xml:space="preserve"> ԱՅԼ ՄԱՍՆԱԳԻՏԱԿԱՆ ԾԱՌԱՅՈՒԹՅՈՒՆՆԵՐԻ ՁԵՌՔ ԲԵՐՈՒՄ</t>
  </si>
  <si>
    <t>ԱՅԼ ՀԻՄՆԱԿԱՆ ՄԻՋՈՑՆԵՐ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</si>
  <si>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</si>
  <si>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</si>
  <si>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</si>
  <si>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</si>
  <si>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</si>
  <si>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</si>
  <si>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1183 - 32009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</si>
  <si>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</si>
  <si>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</si>
  <si>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</si>
  <si>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</si>
  <si>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</si>
  <si>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</si>
  <si>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</si>
  <si>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1236 - 32005</t>
  </si>
  <si>
    <t>ՀՀ կառավարության 2025 թվականի</t>
  </si>
  <si>
    <t>«ՀԱՅԱՍՏԱՆԻ ՀԱՆՐԱՊԵՏՈՒԹՅԱՆ 2025 ԹՎԱԿԱՆԻ ՊԵՏԱԿԱՆ ԲՅՈՒՋԵԻ ՄԱՍԻՆ» ՕՐԵՆՔԻ 3-ՐԴ ՀՈԴՎԱԾԻ, N 3 ՀԱՎԵԼՎԱԾԻ N 1 ԱՂՅՈՒՍԱԿՈՒՄ ԵՎ ՀԱՅԱՍՏԱՆԻ ՀԱՆՐԱՊԵՏՈՒԹՅԱՆ ԿԱՌԱՎԱՐՈՒԹՅԱՆ 2024 ԹՎԱԿԱՆԻ ԴԵԿՏԵՄԲԵՐԻ 27-Ի N 2060-Ն ՈՐՈՇՄԱՆ N 1 ՀԱՎԵԼՎԱԾԻ N 1 ԱՂՅՈՒՍԱԿՈՒՄ ԿԱՏԱՐՎՈՂ ՓՈՓՈԽՈՒԹՅՈՒՆԸ</t>
  </si>
  <si>
    <t>հազ. դրամ</t>
  </si>
  <si>
    <t>Պետական բյուջեի դեֆիցիտի ֆինանսավորման աղբյուրներն ու դրանց տարրերի անվանումները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</si>
  <si>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</si>
  <si>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</si>
  <si>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</si>
  <si>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</si>
  <si>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</si>
  <si>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 xml:space="preserve">Ցուցանիշների փոփոխությունը
(նվազեցումները նշված են փակագծերում) </t>
  </si>
  <si>
    <t>Հավելված N 5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</si>
  <si>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</si>
  <si>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</si>
  <si>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</si>
  <si>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</si>
  <si>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Շահառուների ընտրության չափորոշիչները` Նախադպրոցական կրթություն իրականացնող ուսումնական հաստատություններ </t>
  </si>
  <si>
    <r>
      <t xml:space="preserve"> Նախադպրոցական կրթության հասանելիության ապահովման նպատակով՛ մանկապարտեզների հիմնում, նոր շենքերի (մասնաշենքերի), ներառյալ՝ </t>
    </r>
    <r>
      <rPr>
        <b/>
        <sz val="12"/>
        <rFont val="Calibri"/>
        <family val="2"/>
      </rPr>
      <t>«</t>
    </r>
    <r>
      <rPr>
        <b/>
        <sz val="12"/>
        <rFont val="GHEA Grapalat"/>
        <family val="3"/>
      </rPr>
      <t>Մոդուլային</t>
    </r>
    <r>
      <rPr>
        <b/>
        <sz val="12"/>
        <rFont val="Calibri"/>
        <family val="2"/>
      </rPr>
      <t>»</t>
    </r>
    <r>
      <rPr>
        <b/>
        <sz val="12"/>
        <rFont val="GHEA Grapalat"/>
        <family val="3"/>
      </rPr>
      <t xml:space="preserve"> տիպի շենքերի կառուցում և նախագծում </t>
    </r>
  </si>
  <si>
    <t>Կառուցվող մանկապարտեզների քանակ, հատ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</si>
  <si>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</si>
  <si>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</si>
  <si>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անվանումները` Հանրակրթական դպրոցներ </t>
  </si>
  <si>
    <t>Սյունիքի մարզում կրթական որակյալ ծառայությունների հասանելիության ապահովման ծրագրի շրջանակներում կառուցվող դպրոցների թիվը, հատ</t>
  </si>
  <si>
    <t>Մանկապարտեզների թիվը,որոնց համար ձեռք են բերվում չափագրման ծառայություն, հատ</t>
  </si>
  <si>
    <t>Դպրոցների թիվը,որոնց համար ձեռք են բերվում չափագրման ծառայություն, հատ</t>
  </si>
  <si>
    <t xml:space="preserve"> Ակտիվն օգտագործող կազմակերպությունների անվանումները` Ստեղծվող կրթահամալիրներ </t>
  </si>
  <si>
    <t>ՀՀ ՔԱՂԱՔԱՇԻՆՈՒԹՅԱՆ ԿՈՄԻՏԵ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</si>
  <si>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</si>
  <si>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«Մոդուլային» տիպի 144 տեղ հզորությամբ մսուր-մանկապարտեզների նախագծանախահաշվային փաստաթղթերում փոփոխություններ և լրացումներ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</si>
</sst>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  <numFmt numFmtId="179" formatCode="#,##0.000000000000_);\(#,##0.000000000000\)"/>
    <numFmt numFmtId="180" formatCode="_(* #,##0_);_(* \(#,##0\);_(* &quot;-&quot;?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1"/>
      <name val="GHEA Grapalat"/>
      <family val="3"/>
    </font>
    <font>
      <b/>
      <i/>
      <sz val="12"/>
      <color theme="1"/>
      <name val="GHEA Grapalat"/>
      <family val="3"/>
    </font>
    <font>
      <sz val="11"/>
      <color theme="1"/>
      <name val="GHEA Grapalat"/>
      <family val="3"/>
    </font>
    <font>
      <sz val="8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b/>
      <u/>
      <sz val="12"/>
      <name val="GHEA Grapalat"/>
      <family val="3"/>
    </font>
    <font>
      <b/>
      <sz val="12"/>
      <name val="Calibri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25">
      <protection locked="0"/>
    </xf>
    <xf numFmtId="173" fontId="82" fillId="56" borderId="2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5" fillId="0" borderId="0"/>
  </cellStyleXfs>
  <cellXfs count="454">
    <xf numFmtId="0" fontId="0" fillId="0" borderId="0" xfId="0"/>
    <xf numFmtId="0" fontId="73" fillId="2" borderId="0" xfId="0" applyFont="1" applyFill="1"/>
    <xf numFmtId="169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9" fontId="72" fillId="2" borderId="21" xfId="7" applyNumberFormat="1" applyFont="1" applyFill="1" applyBorder="1" applyAlignment="1">
      <alignment horizontal="center" vertical="center" wrapText="1"/>
    </xf>
    <xf numFmtId="166" fontId="72" fillId="2" borderId="21" xfId="7" applyNumberFormat="1" applyFont="1" applyFill="1" applyBorder="1" applyAlignment="1">
      <alignment horizontal="right" vertical="center" wrapText="1"/>
    </xf>
    <xf numFmtId="169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9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center" wrapText="1"/>
    </xf>
    <xf numFmtId="0" fontId="16" fillId="2" borderId="26" xfId="0" applyFont="1" applyFill="1" applyBorder="1" applyAlignment="1">
      <alignment horizontal="center"/>
    </xf>
    <xf numFmtId="0" fontId="84" fillId="2" borderId="26" xfId="165" applyFont="1" applyFill="1" applyBorder="1">
      <alignment horizontal="left" vertical="top" wrapText="1"/>
    </xf>
    <xf numFmtId="169" fontId="72" fillId="2" borderId="26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26" xfId="0" applyFont="1" applyFill="1" applyBorder="1" applyAlignment="1">
      <alignment horizontal="center" vertical="center" wrapText="1"/>
    </xf>
    <xf numFmtId="0" fontId="72" fillId="2" borderId="0" xfId="299" applyFont="1" applyFill="1"/>
    <xf numFmtId="0" fontId="72" fillId="2" borderId="0" xfId="299" applyFont="1" applyFill="1" applyAlignment="1">
      <alignment horizontal="left" vertical="center" wrapText="1"/>
    </xf>
    <xf numFmtId="165" fontId="16" fillId="2" borderId="26" xfId="6" applyFont="1" applyFill="1" applyBorder="1" applyAlignment="1">
      <alignment horizontal="center" vertical="center"/>
    </xf>
    <xf numFmtId="0" fontId="87" fillId="2" borderId="0" xfId="0" applyFont="1" applyFill="1"/>
    <xf numFmtId="49" fontId="72" fillId="2" borderId="26" xfId="0" applyNumberFormat="1" applyFont="1" applyFill="1" applyBorder="1" applyAlignment="1">
      <alignment horizontal="left" vertical="top" wrapText="1"/>
    </xf>
    <xf numFmtId="0" fontId="72" fillId="2" borderId="2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6" xfId="7" applyNumberFormat="1" applyFont="1" applyFill="1" applyBorder="1" applyAlignment="1">
      <alignment horizontal="right" vertical="center" wrapText="1"/>
    </xf>
    <xf numFmtId="177" fontId="72" fillId="0" borderId="26" xfId="0" applyNumberFormat="1" applyFont="1" applyBorder="1" applyAlignment="1">
      <alignment horizontal="center" vertical="center"/>
    </xf>
    <xf numFmtId="169" fontId="72" fillId="0" borderId="26" xfId="0" applyNumberFormat="1" applyFont="1" applyBorder="1" applyAlignment="1">
      <alignment horizontal="right" vertical="center" wrapText="1"/>
    </xf>
    <xf numFmtId="0" fontId="16" fillId="2" borderId="22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1" xfId="7" applyNumberFormat="1" applyFont="1" applyFill="1" applyBorder="1" applyAlignment="1">
      <alignment horizontal="right" vertical="center" wrapText="1"/>
    </xf>
    <xf numFmtId="169" fontId="72" fillId="2" borderId="21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165" fontId="72" fillId="2" borderId="26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top" wrapText="1"/>
    </xf>
    <xf numFmtId="169" fontId="16" fillId="2" borderId="32" xfId="7" applyNumberFormat="1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top" wrapText="1"/>
    </xf>
    <xf numFmtId="0" fontId="88" fillId="2" borderId="32" xfId="0" applyFont="1" applyFill="1" applyBorder="1"/>
    <xf numFmtId="0" fontId="86" fillId="2" borderId="23" xfId="96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169" fontId="72" fillId="2" borderId="32" xfId="7" applyNumberFormat="1" applyFont="1" applyFill="1" applyBorder="1" applyAlignment="1">
      <alignment horizontal="center" vertical="center" wrapText="1"/>
    </xf>
    <xf numFmtId="0" fontId="84" fillId="2" borderId="32" xfId="165" applyFont="1" applyFill="1" applyBorder="1">
      <alignment horizontal="left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32" xfId="0" applyFont="1" applyFill="1" applyBorder="1" applyAlignment="1">
      <alignment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/>
    </xf>
    <xf numFmtId="0" fontId="90" fillId="2" borderId="0" xfId="253" applyFont="1" applyFill="1"/>
    <xf numFmtId="166" fontId="84" fillId="2" borderId="32" xfId="223" applyNumberFormat="1" applyFont="1" applyFill="1" applyBorder="1" applyAlignment="1">
      <alignment vertical="center"/>
    </xf>
    <xf numFmtId="0" fontId="72" fillId="2" borderId="32" xfId="96" applyFont="1" applyFill="1" applyBorder="1" applyAlignment="1">
      <alignment horizontal="center" vertical="center" wrapText="1"/>
    </xf>
    <xf numFmtId="165" fontId="72" fillId="2" borderId="32" xfId="6" applyFont="1" applyFill="1" applyBorder="1" applyAlignment="1">
      <alignment horizontal="center" vertical="center"/>
    </xf>
    <xf numFmtId="0" fontId="72" fillId="2" borderId="0" xfId="253" applyFont="1" applyFill="1"/>
    <xf numFmtId="0" fontId="72" fillId="2" borderId="32" xfId="253" applyFont="1" applyFill="1" applyBorder="1"/>
    <xf numFmtId="0" fontId="16" fillId="2" borderId="32" xfId="96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vertical="center" wrapText="1"/>
    </xf>
    <xf numFmtId="43" fontId="87" fillId="2" borderId="0" xfId="7" applyFont="1" applyFill="1"/>
    <xf numFmtId="0" fontId="72" fillId="2" borderId="34" xfId="0" applyFont="1" applyFill="1" applyBorder="1" applyAlignment="1">
      <alignment vertical="center"/>
    </xf>
    <xf numFmtId="169" fontId="72" fillId="2" borderId="32" xfId="0" applyNumberFormat="1" applyFont="1" applyFill="1" applyBorder="1" applyAlignment="1">
      <alignment horizontal="right" vertical="center" wrapText="1"/>
    </xf>
    <xf numFmtId="165" fontId="72" fillId="0" borderId="32" xfId="6" applyFont="1" applyFill="1" applyBorder="1" applyAlignment="1">
      <alignment horizontal="center" vertical="center"/>
    </xf>
    <xf numFmtId="171" fontId="72" fillId="0" borderId="32" xfId="6" applyNumberFormat="1" applyFont="1" applyFill="1" applyBorder="1" applyAlignment="1">
      <alignment horizontal="center" vertical="center"/>
    </xf>
    <xf numFmtId="169" fontId="72" fillId="0" borderId="32" xfId="0" applyNumberFormat="1" applyFont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171" fontId="72" fillId="2" borderId="32" xfId="6" applyNumberFormat="1" applyFont="1" applyFill="1" applyBorder="1" applyAlignment="1">
      <alignment horizontal="center" vertical="center"/>
    </xf>
    <xf numFmtId="0" fontId="72" fillId="2" borderId="23" xfId="0" applyFont="1" applyFill="1" applyBorder="1" applyAlignment="1">
      <alignment horizontal="center" vertical="center"/>
    </xf>
    <xf numFmtId="0" fontId="88" fillId="2" borderId="1" xfId="0" applyFont="1" applyFill="1" applyBorder="1"/>
    <xf numFmtId="0" fontId="86" fillId="0" borderId="32" xfId="0" applyFont="1" applyBorder="1" applyAlignment="1">
      <alignment vertical="center" wrapText="1"/>
    </xf>
    <xf numFmtId="0" fontId="84" fillId="0" borderId="23" xfId="0" applyFont="1" applyBorder="1" applyAlignment="1">
      <alignment vertical="center" wrapText="1"/>
    </xf>
    <xf numFmtId="0" fontId="72" fillId="2" borderId="32" xfId="299" applyFont="1" applyFill="1" applyBorder="1" applyAlignment="1">
      <alignment horizontal="center"/>
    </xf>
    <xf numFmtId="0" fontId="92" fillId="2" borderId="32" xfId="0" applyFont="1" applyFill="1" applyBorder="1"/>
    <xf numFmtId="0" fontId="84" fillId="2" borderId="0" xfId="253" applyFont="1" applyFill="1"/>
    <xf numFmtId="0" fontId="16" fillId="2" borderId="32" xfId="96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/>
    </xf>
    <xf numFmtId="0" fontId="16" fillId="2" borderId="22" xfId="0" applyFont="1" applyFill="1" applyBorder="1" applyAlignment="1">
      <alignment vertical="top" wrapText="1"/>
    </xf>
    <xf numFmtId="0" fontId="72" fillId="0" borderId="23" xfId="0" applyFont="1" applyBorder="1" applyAlignment="1">
      <alignment horizontal="left" vertical="top" wrapText="1"/>
    </xf>
    <xf numFmtId="0" fontId="16" fillId="0" borderId="32" xfId="96" applyFont="1" applyBorder="1" applyAlignment="1">
      <alignment horizontal="left" vertic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43" fontId="16" fillId="2" borderId="32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9" borderId="32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2" xfId="96" applyNumberFormat="1" applyFont="1" applyFill="1" applyBorder="1" applyAlignment="1">
      <alignment horizontal="center" vertical="center" wrapText="1"/>
    </xf>
    <xf numFmtId="0" fontId="88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43" fontId="13" fillId="2" borderId="32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3" fillId="2" borderId="23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37" fontId="73" fillId="2" borderId="32" xfId="0" applyNumberFormat="1" applyFont="1" applyFill="1" applyBorder="1" applyAlignment="1">
      <alignment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2" fillId="57" borderId="26" xfId="0" applyFont="1" applyFill="1" applyBorder="1" applyAlignment="1">
      <alignment vertical="center" wrapText="1"/>
    </xf>
    <xf numFmtId="169" fontId="72" fillId="57" borderId="29" xfId="0" applyNumberFormat="1" applyFont="1" applyFill="1" applyBorder="1" applyAlignment="1">
      <alignment horizontal="right" vertical="center" wrapText="1"/>
    </xf>
    <xf numFmtId="0" fontId="72" fillId="2" borderId="26" xfId="299" applyFont="1" applyFill="1" applyBorder="1" applyAlignment="1">
      <alignment vertical="top"/>
    </xf>
    <xf numFmtId="43" fontId="72" fillId="2" borderId="26" xfId="7" applyFont="1" applyFill="1" applyBorder="1" applyAlignment="1">
      <alignment horizontal="right" vertical="top" wrapText="1"/>
    </xf>
    <xf numFmtId="0" fontId="84" fillId="0" borderId="32" xfId="0" applyFont="1" applyBorder="1" applyAlignment="1">
      <alignment vertical="center" wrapText="1"/>
    </xf>
    <xf numFmtId="0" fontId="84" fillId="2" borderId="32" xfId="0" applyFont="1" applyFill="1" applyBorder="1" applyAlignment="1">
      <alignment vertical="center" wrapText="1"/>
    </xf>
    <xf numFmtId="0" fontId="16" fillId="2" borderId="32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26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90" fillId="2" borderId="0" xfId="0" applyFont="1" applyFill="1"/>
    <xf numFmtId="0" fontId="72" fillId="0" borderId="29" xfId="0" applyFont="1" applyBorder="1" applyAlignment="1">
      <alignment horizontal="left" vertical="top" wrapText="1"/>
    </xf>
    <xf numFmtId="43" fontId="16" fillId="2" borderId="22" xfId="7" applyFont="1" applyFill="1" applyBorder="1" applyAlignment="1">
      <alignment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 vertical="top" wrapText="1"/>
    </xf>
    <xf numFmtId="0" fontId="88" fillId="2" borderId="0" xfId="0" applyFont="1" applyFill="1" applyAlignment="1">
      <alignment horizontal="left" vertical="top" wrapText="1"/>
    </xf>
    <xf numFmtId="0" fontId="88" fillId="2" borderId="22" xfId="0" applyFont="1" applyFill="1" applyBorder="1" applyAlignment="1">
      <alignment horizontal="center"/>
    </xf>
    <xf numFmtId="0" fontId="88" fillId="2" borderId="2" xfId="0" applyFont="1" applyFill="1" applyBorder="1" applyAlignment="1">
      <alignment horizontal="center"/>
    </xf>
    <xf numFmtId="0" fontId="90" fillId="2" borderId="32" xfId="253" applyFont="1" applyFill="1" applyBorder="1"/>
    <xf numFmtId="0" fontId="13" fillId="2" borderId="32" xfId="96" applyFont="1" applyFill="1" applyBorder="1" applyAlignment="1">
      <alignment horizontal="center" vertical="center" wrapText="1"/>
    </xf>
    <xf numFmtId="0" fontId="13" fillId="0" borderId="32" xfId="96" applyFont="1" applyBorder="1" applyAlignment="1">
      <alignment horizontal="left" vertical="center" wrapText="1"/>
    </xf>
    <xf numFmtId="0" fontId="93" fillId="2" borderId="32" xfId="0" applyFont="1" applyFill="1" applyBorder="1" applyAlignment="1">
      <alignment vertical="center" wrapText="1"/>
    </xf>
    <xf numFmtId="0" fontId="94" fillId="2" borderId="1" xfId="0" applyFont="1" applyFill="1" applyBorder="1"/>
    <xf numFmtId="0" fontId="73" fillId="2" borderId="32" xfId="299" applyFont="1" applyFill="1" applyBorder="1" applyAlignment="1">
      <alignment horizontal="center"/>
    </xf>
    <xf numFmtId="0" fontId="94" fillId="2" borderId="32" xfId="0" applyFont="1" applyFill="1" applyBorder="1"/>
    <xf numFmtId="0" fontId="93" fillId="2" borderId="23" xfId="96" applyFont="1" applyFill="1" applyBorder="1" applyAlignment="1">
      <alignment horizontal="center" vertical="center" wrapText="1"/>
    </xf>
    <xf numFmtId="0" fontId="73" fillId="2" borderId="32" xfId="253" applyFont="1" applyFill="1" applyBorder="1"/>
    <xf numFmtId="0" fontId="73" fillId="2" borderId="32" xfId="96" applyFont="1" applyFill="1" applyBorder="1" applyAlignment="1">
      <alignment horizontal="center" vertical="center" wrapText="1"/>
    </xf>
    <xf numFmtId="0" fontId="93" fillId="0" borderId="32" xfId="0" applyFont="1" applyBorder="1" applyAlignment="1">
      <alignment vertical="center" wrapText="1"/>
    </xf>
    <xf numFmtId="0" fontId="94" fillId="2" borderId="2" xfId="0" applyFont="1" applyFill="1" applyBorder="1" applyAlignment="1">
      <alignment horizontal="center"/>
    </xf>
    <xf numFmtId="0" fontId="89" fillId="0" borderId="23" xfId="0" applyFont="1" applyBorder="1" applyAlignment="1">
      <alignment vertical="center" wrapText="1"/>
    </xf>
    <xf numFmtId="165" fontId="72" fillId="0" borderId="26" xfId="6" applyFont="1" applyFill="1" applyBorder="1" applyAlignment="1">
      <alignment horizontal="center" vertical="center"/>
    </xf>
    <xf numFmtId="0" fontId="72" fillId="0" borderId="0" xfId="299" applyFont="1" applyAlignment="1">
      <alignment horizontal="left" vertical="center" wrapText="1"/>
    </xf>
    <xf numFmtId="177" fontId="72" fillId="2" borderId="26" xfId="0" applyNumberFormat="1" applyFont="1" applyFill="1" applyBorder="1" applyAlignment="1">
      <alignment horizontal="center" vertical="center"/>
    </xf>
    <xf numFmtId="0" fontId="72" fillId="2" borderId="32" xfId="299" applyFont="1" applyFill="1" applyBorder="1"/>
    <xf numFmtId="0" fontId="72" fillId="2" borderId="32" xfId="0" applyFont="1" applyFill="1" applyBorder="1"/>
    <xf numFmtId="0" fontId="86" fillId="2" borderId="32" xfId="0" applyFont="1" applyFill="1" applyBorder="1" applyAlignment="1">
      <alignment vertical="center" wrapText="1"/>
    </xf>
    <xf numFmtId="166" fontId="86" fillId="2" borderId="32" xfId="223" applyNumberFormat="1" applyFont="1" applyFill="1" applyBorder="1"/>
    <xf numFmtId="43" fontId="96" fillId="2" borderId="0" xfId="7" applyFont="1" applyFill="1"/>
    <xf numFmtId="0" fontId="96" fillId="2" borderId="0" xfId="0" applyFont="1" applyFill="1"/>
    <xf numFmtId="165" fontId="72" fillId="0" borderId="32" xfId="6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72" fillId="2" borderId="22" xfId="0" applyFont="1" applyFill="1" applyBorder="1" applyAlignment="1">
      <alignment horizontal="center"/>
    </xf>
    <xf numFmtId="0" fontId="16" fillId="0" borderId="32" xfId="0" applyFont="1" applyBorder="1" applyAlignment="1">
      <alignment horizontal="center" vertical="top" wrapText="1"/>
    </xf>
    <xf numFmtId="0" fontId="72" fillId="0" borderId="32" xfId="0" applyFont="1" applyBorder="1" applyAlignment="1">
      <alignment horizontal="center" vertical="top" wrapText="1"/>
    </xf>
    <xf numFmtId="0" fontId="86" fillId="0" borderId="32" xfId="96" applyFont="1" applyBorder="1" applyAlignment="1">
      <alignment horizontal="left" vertical="center" wrapText="1"/>
    </xf>
    <xf numFmtId="165" fontId="16" fillId="2" borderId="32" xfId="6" applyFont="1" applyFill="1" applyBorder="1" applyAlignment="1">
      <alignment horizontal="center" vertical="center"/>
    </xf>
    <xf numFmtId="43" fontId="72" fillId="2" borderId="0" xfId="7" applyFont="1" applyFill="1"/>
    <xf numFmtId="0" fontId="16" fillId="2" borderId="1" xfId="96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/>
    </xf>
    <xf numFmtId="176" fontId="72" fillId="2" borderId="32" xfId="2029" applyNumberFormat="1" applyFont="1" applyFill="1" applyBorder="1"/>
    <xf numFmtId="0" fontId="72" fillId="2" borderId="22" xfId="0" applyFont="1" applyFill="1" applyBorder="1"/>
    <xf numFmtId="0" fontId="72" fillId="2" borderId="32" xfId="0" applyFont="1" applyFill="1" applyBorder="1" applyAlignment="1">
      <alignment vertical="top" wrapText="1"/>
    </xf>
    <xf numFmtId="0" fontId="72" fillId="2" borderId="29" xfId="0" applyFont="1" applyFill="1" applyBorder="1" applyAlignment="1">
      <alignment horizontal="left" vertical="top" wrapText="1"/>
    </xf>
    <xf numFmtId="169" fontId="72" fillId="2" borderId="2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3" xfId="0" applyFont="1" applyFill="1" applyBorder="1" applyAlignment="1">
      <alignment vertical="center"/>
    </xf>
    <xf numFmtId="0" fontId="72" fillId="2" borderId="23" xfId="0" applyFont="1" applyFill="1" applyBorder="1" applyAlignment="1">
      <alignment vertical="center"/>
    </xf>
    <xf numFmtId="0" fontId="72" fillId="0" borderId="32" xfId="0" applyFont="1" applyBorder="1" applyAlignment="1">
      <alignment horizontal="center" vertical="center"/>
    </xf>
    <xf numFmtId="0" fontId="84" fillId="2" borderId="29" xfId="0" applyFont="1" applyFill="1" applyBorder="1" applyAlignment="1">
      <alignment vertical="center" wrapText="1"/>
    </xf>
    <xf numFmtId="166" fontId="16" fillId="58" borderId="26" xfId="7" applyNumberFormat="1" applyFont="1" applyFill="1" applyBorder="1" applyAlignment="1">
      <alignment vertical="top" wrapText="1"/>
    </xf>
    <xf numFmtId="0" fontId="72" fillId="57" borderId="26" xfId="0" applyFont="1" applyFill="1" applyBorder="1" applyAlignment="1">
      <alignment wrapText="1"/>
    </xf>
    <xf numFmtId="43" fontId="72" fillId="57" borderId="29" xfId="7" applyFont="1" applyFill="1" applyBorder="1" applyAlignment="1">
      <alignment horizontal="right" vertical="center" wrapText="1"/>
    </xf>
    <xf numFmtId="43" fontId="72" fillId="2" borderId="0" xfId="7" applyFont="1" applyFill="1" applyAlignment="1">
      <alignment vertical="center"/>
    </xf>
    <xf numFmtId="43" fontId="72" fillId="2" borderId="0" xfId="7" applyFont="1" applyFill="1" applyAlignment="1">
      <alignment horizontal="left" vertical="center" wrapText="1"/>
    </xf>
    <xf numFmtId="0" fontId="16" fillId="0" borderId="32" xfId="96" applyFont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wrapText="1"/>
    </xf>
    <xf numFmtId="0" fontId="72" fillId="2" borderId="0" xfId="253" applyFont="1" applyFill="1" applyAlignment="1">
      <alignment horizontal="center"/>
    </xf>
    <xf numFmtId="49" fontId="16" fillId="2" borderId="26" xfId="96" applyNumberFormat="1" applyFont="1" applyFill="1" applyBorder="1" applyAlignment="1">
      <alignment horizontal="center" vertical="center" textRotation="90" wrapText="1"/>
    </xf>
    <xf numFmtId="0" fontId="16" fillId="2" borderId="26" xfId="165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84" fillId="2" borderId="26" xfId="253" applyFont="1" applyFill="1" applyBorder="1" applyAlignment="1">
      <alignment horizontal="center" vertical="center" wrapText="1"/>
    </xf>
    <xf numFmtId="168" fontId="16" fillId="2" borderId="26" xfId="96" applyNumberFormat="1" applyFont="1" applyFill="1" applyBorder="1" applyAlignment="1">
      <alignment horizontal="center" vertical="center" wrapText="1"/>
    </xf>
    <xf numFmtId="169" fontId="16" fillId="2" borderId="26" xfId="96" applyNumberFormat="1" applyFont="1" applyFill="1" applyBorder="1" applyAlignment="1">
      <alignment horizontal="center" vertical="center" wrapText="1"/>
    </xf>
    <xf numFmtId="0" fontId="72" fillId="2" borderId="26" xfId="208" applyFont="1" applyFill="1" applyBorder="1" applyAlignment="1">
      <alignment horizontal="center"/>
    </xf>
    <xf numFmtId="0" fontId="72" fillId="2" borderId="26" xfId="208" applyFont="1" applyFill="1" applyBorder="1" applyAlignment="1">
      <alignment horizontal="left"/>
    </xf>
    <xf numFmtId="169" fontId="72" fillId="0" borderId="26" xfId="208" applyNumberFormat="1" applyFont="1" applyBorder="1"/>
    <xf numFmtId="43" fontId="72" fillId="2" borderId="26" xfId="217" applyFont="1" applyFill="1" applyBorder="1"/>
    <xf numFmtId="0" fontId="72" fillId="2" borderId="26" xfId="208" applyFont="1" applyFill="1" applyBorder="1"/>
    <xf numFmtId="179" fontId="72" fillId="2" borderId="26" xfId="208" applyNumberFormat="1" applyFont="1" applyFill="1" applyBorder="1"/>
    <xf numFmtId="0" fontId="87" fillId="2" borderId="0" xfId="208" applyFont="1" applyFill="1"/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175" fontId="72" fillId="2" borderId="0" xfId="2027" applyFont="1" applyFill="1"/>
    <xf numFmtId="0" fontId="16" fillId="2" borderId="26" xfId="96" applyFont="1" applyFill="1" applyBorder="1" applyAlignment="1">
      <alignment horizontal="center" vertical="center" wrapText="1"/>
    </xf>
    <xf numFmtId="174" fontId="72" fillId="2" borderId="0" xfId="299" applyNumberFormat="1" applyFont="1" applyFill="1"/>
    <xf numFmtId="0" fontId="72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168" fontId="72" fillId="2" borderId="26" xfId="96" applyNumberFormat="1" applyFont="1" applyFill="1" applyBorder="1" applyAlignment="1">
      <alignment horizontal="center" vertical="center" wrapText="1"/>
    </xf>
    <xf numFmtId="166" fontId="86" fillId="2" borderId="32" xfId="223" applyNumberFormat="1" applyFont="1" applyFill="1" applyBorder="1" applyAlignment="1">
      <alignment vertical="center"/>
    </xf>
    <xf numFmtId="0" fontId="16" fillId="2" borderId="29" xfId="0" applyFont="1" applyFill="1" applyBorder="1" applyAlignment="1">
      <alignment horizontal="center"/>
    </xf>
    <xf numFmtId="0" fontId="84" fillId="2" borderId="29" xfId="165" applyFont="1" applyFill="1" applyBorder="1">
      <alignment horizontal="left" vertical="top" wrapText="1"/>
    </xf>
    <xf numFmtId="0" fontId="72" fillId="2" borderId="29" xfId="0" applyFont="1" applyFill="1" applyBorder="1" applyAlignment="1">
      <alignment horizontal="center" vertical="top" wrapText="1"/>
    </xf>
    <xf numFmtId="49" fontId="72" fillId="2" borderId="29" xfId="0" applyNumberFormat="1" applyFont="1" applyFill="1" applyBorder="1" applyAlignment="1">
      <alignment horizontal="left" vertical="top" wrapText="1"/>
    </xf>
    <xf numFmtId="0" fontId="16" fillId="2" borderId="29" xfId="0" applyFont="1" applyFill="1" applyBorder="1" applyAlignment="1">
      <alignment horizontal="left" vertical="top" wrapText="1"/>
    </xf>
    <xf numFmtId="178" fontId="72" fillId="0" borderId="26" xfId="7" applyNumberFormat="1" applyFont="1" applyFill="1" applyBorder="1" applyAlignment="1">
      <alignment vertical="center"/>
    </xf>
    <xf numFmtId="167" fontId="16" fillId="2" borderId="21" xfId="7" applyNumberFormat="1" applyFont="1" applyFill="1" applyBorder="1" applyAlignment="1">
      <alignment horizontal="center" vertical="center" wrapText="1"/>
    </xf>
    <xf numFmtId="178" fontId="16" fillId="2" borderId="32" xfId="7" applyNumberFormat="1" applyFont="1" applyFill="1" applyBorder="1" applyAlignment="1">
      <alignment vertical="center" wrapText="1"/>
    </xf>
    <xf numFmtId="178" fontId="72" fillId="2" borderId="32" xfId="7" applyNumberFormat="1" applyFont="1" applyFill="1" applyBorder="1" applyAlignment="1">
      <alignment vertical="center" wrapText="1"/>
    </xf>
    <xf numFmtId="178" fontId="16" fillId="2" borderId="32" xfId="0" applyNumberFormat="1" applyFont="1" applyFill="1" applyBorder="1" applyAlignment="1">
      <alignment vertical="center" wrapText="1"/>
    </xf>
    <xf numFmtId="167" fontId="16" fillId="2" borderId="32" xfId="7" applyNumberFormat="1" applyFont="1" applyFill="1" applyBorder="1" applyAlignment="1">
      <alignment horizontal="center" vertical="center" wrapText="1"/>
    </xf>
    <xf numFmtId="0" fontId="72" fillId="2" borderId="0" xfId="162" applyFont="1" applyFill="1" applyAlignment="1">
      <alignment horizontal="right" vertical="top"/>
    </xf>
    <xf numFmtId="0" fontId="72" fillId="2" borderId="0" xfId="162" applyFont="1" applyFill="1" applyAlignment="1">
      <alignment horizontal="right" vertical="center"/>
    </xf>
    <xf numFmtId="0" fontId="72" fillId="2" borderId="0" xfId="162" applyFont="1" applyFill="1" applyAlignment="1">
      <alignment horizontal="left" vertical="top" wrapText="1"/>
    </xf>
    <xf numFmtId="166" fontId="72" fillId="2" borderId="0" xfId="2031" applyNumberFormat="1" applyFont="1" applyFill="1" applyAlignment="1">
      <alignment horizontal="center" vertical="center"/>
    </xf>
    <xf numFmtId="43" fontId="72" fillId="2" borderId="0" xfId="2022" applyFont="1" applyFill="1" applyAlignment="1">
      <alignment horizontal="center" wrapText="1"/>
    </xf>
    <xf numFmtId="166" fontId="73" fillId="2" borderId="0" xfId="2022" applyNumberFormat="1" applyFont="1" applyFill="1" applyAlignment="1">
      <alignment horizontal="right"/>
    </xf>
    <xf numFmtId="43" fontId="16" fillId="2" borderId="32" xfId="2022" applyFont="1" applyFill="1" applyBorder="1" applyAlignment="1">
      <alignment wrapText="1"/>
    </xf>
    <xf numFmtId="169" fontId="16" fillId="2" borderId="32" xfId="7" applyNumberFormat="1" applyFont="1" applyFill="1" applyBorder="1" applyAlignment="1">
      <alignment horizontal="center" vertical="top" wrapText="1"/>
    </xf>
    <xf numFmtId="0" fontId="13" fillId="2" borderId="0" xfId="0" applyFont="1" applyFill="1"/>
    <xf numFmtId="166" fontId="13" fillId="2" borderId="0" xfId="0" applyNumberFormat="1" applyFont="1" applyFill="1"/>
    <xf numFmtId="43" fontId="72" fillId="2" borderId="32" xfId="2022" applyFont="1" applyFill="1" applyBorder="1" applyAlignment="1">
      <alignment vertical="center" wrapText="1"/>
    </xf>
    <xf numFmtId="166" fontId="72" fillId="2" borderId="32" xfId="2022" applyNumberFormat="1" applyFont="1" applyFill="1" applyBorder="1" applyAlignment="1">
      <alignment horizontal="center" vertical="center"/>
    </xf>
    <xf numFmtId="43" fontId="16" fillId="2" borderId="32" xfId="2022" applyFont="1" applyFill="1" applyBorder="1" applyAlignment="1">
      <alignment vertical="center" wrapText="1"/>
    </xf>
    <xf numFmtId="166" fontId="16" fillId="2" borderId="32" xfId="2022" applyNumberFormat="1" applyFont="1" applyFill="1" applyBorder="1" applyAlignment="1">
      <alignment horizontal="left" vertical="center"/>
    </xf>
    <xf numFmtId="43" fontId="16" fillId="2" borderId="0" xfId="2022" applyFont="1" applyFill="1" applyBorder="1"/>
    <xf numFmtId="43" fontId="16" fillId="2" borderId="0" xfId="2022" applyFont="1" applyFill="1"/>
    <xf numFmtId="166" fontId="72" fillId="2" borderId="32" xfId="2022" applyNumberFormat="1" applyFont="1" applyFill="1" applyBorder="1" applyAlignment="1">
      <alignment horizontal="left" vertical="center"/>
    </xf>
    <xf numFmtId="43" fontId="72" fillId="2" borderId="0" xfId="2022" applyFont="1" applyFill="1"/>
    <xf numFmtId="43" fontId="84" fillId="2" borderId="32" xfId="2022" applyFont="1" applyFill="1" applyBorder="1" applyAlignment="1">
      <alignment vertical="center" wrapText="1"/>
    </xf>
    <xf numFmtId="166" fontId="84" fillId="2" borderId="32" xfId="2022" applyNumberFormat="1" applyFont="1" applyFill="1" applyBorder="1" applyAlignment="1">
      <alignment horizontal="left" vertical="center"/>
    </xf>
    <xf numFmtId="43" fontId="84" fillId="2" borderId="0" xfId="2022" applyFont="1" applyFill="1"/>
    <xf numFmtId="0" fontId="73" fillId="2" borderId="0" xfId="2025" applyFont="1" applyFill="1"/>
    <xf numFmtId="167" fontId="72" fillId="2" borderId="32" xfId="2022" applyNumberFormat="1" applyFont="1" applyFill="1" applyBorder="1" applyAlignment="1">
      <alignment horizontal="center" vertical="center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26" xfId="1736" applyFont="1" applyFill="1" applyBorder="1" applyAlignment="1">
      <alignment horizontal="center" vertical="center"/>
    </xf>
    <xf numFmtId="0" fontId="72" fillId="2" borderId="26" xfId="1735" applyFont="1" applyFill="1" applyBorder="1" applyAlignment="1">
      <alignment horizontal="center"/>
    </xf>
    <xf numFmtId="0" fontId="72" fillId="57" borderId="32" xfId="0" applyFont="1" applyFill="1" applyBorder="1" applyAlignment="1">
      <alignment vertical="center" wrapText="1"/>
    </xf>
    <xf numFmtId="169" fontId="72" fillId="57" borderId="23" xfId="0" applyNumberFormat="1" applyFont="1" applyFill="1" applyBorder="1" applyAlignment="1">
      <alignment horizontal="right" vertical="center" wrapText="1"/>
    </xf>
    <xf numFmtId="0" fontId="72" fillId="2" borderId="33" xfId="1737" applyFont="1" applyFill="1" applyBorder="1" applyAlignment="1">
      <alignment vertical="center"/>
    </xf>
    <xf numFmtId="0" fontId="72" fillId="2" borderId="34" xfId="1737" applyFont="1" applyFill="1" applyBorder="1" applyAlignment="1">
      <alignment vertical="center"/>
    </xf>
    <xf numFmtId="0" fontId="72" fillId="2" borderId="34" xfId="1737" applyFont="1" applyFill="1" applyBorder="1" applyAlignment="1">
      <alignment horizontal="center" vertical="center"/>
    </xf>
    <xf numFmtId="169" fontId="72" fillId="2" borderId="23" xfId="1737" applyNumberFormat="1" applyFont="1" applyFill="1" applyBorder="1" applyAlignment="1">
      <alignment vertical="center"/>
    </xf>
    <xf numFmtId="169" fontId="72" fillId="2" borderId="26" xfId="0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horizontal="center" vertical="center"/>
    </xf>
    <xf numFmtId="180" fontId="73" fillId="2" borderId="2" xfId="7" applyNumberFormat="1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center" wrapText="1"/>
    </xf>
    <xf numFmtId="166" fontId="16" fillId="2" borderId="32" xfId="7" applyNumberFormat="1" applyFont="1" applyFill="1" applyBorder="1" applyAlignment="1">
      <alignment vertical="center" wrapText="1"/>
    </xf>
    <xf numFmtId="37" fontId="73" fillId="2" borderId="2" xfId="0" applyNumberFormat="1" applyFont="1" applyFill="1" applyBorder="1" applyAlignment="1">
      <alignment vertical="center" wrapText="1"/>
    </xf>
    <xf numFmtId="169" fontId="16" fillId="57" borderId="32" xfId="96" applyNumberFormat="1" applyFont="1" applyFill="1" applyBorder="1" applyAlignment="1">
      <alignment horizontal="center" vertical="top" wrapText="1"/>
    </xf>
    <xf numFmtId="167" fontId="16" fillId="2" borderId="32" xfId="96" applyNumberFormat="1" applyFont="1" applyFill="1" applyBorder="1" applyAlignment="1">
      <alignment horizontal="center" vertical="center" wrapText="1"/>
    </xf>
    <xf numFmtId="167" fontId="16" fillId="57" borderId="32" xfId="96" applyNumberFormat="1" applyFont="1" applyFill="1" applyBorder="1" applyAlignment="1">
      <alignment horizontal="center" vertical="top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9" fontId="84" fillId="2" borderId="21" xfId="7" applyNumberFormat="1" applyFont="1" applyFill="1" applyBorder="1" applyAlignment="1">
      <alignment horizontal="right" vertical="top" wrapText="1"/>
    </xf>
    <xf numFmtId="43" fontId="72" fillId="2" borderId="0" xfId="0" applyNumberFormat="1" applyFont="1" applyFill="1" applyAlignment="1">
      <alignment horizontal="left" vertical="top" wrapText="1"/>
    </xf>
    <xf numFmtId="43" fontId="72" fillId="2" borderId="0" xfId="299" applyNumberFormat="1" applyFont="1" applyFill="1"/>
    <xf numFmtId="174" fontId="16" fillId="2" borderId="0" xfId="299" applyNumberFormat="1" applyFont="1" applyFill="1"/>
    <xf numFmtId="0" fontId="16" fillId="2" borderId="22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32" xfId="0" applyFont="1" applyFill="1" applyBorder="1" applyAlignment="1">
      <alignment horizontal="center" vertical="top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91" fillId="2" borderId="22" xfId="0" applyFont="1" applyFill="1" applyBorder="1" applyAlignment="1">
      <alignment horizontal="center" vertical="top" wrapText="1"/>
    </xf>
    <xf numFmtId="0" fontId="91" fillId="2" borderId="1" xfId="0" applyFont="1" applyFill="1" applyBorder="1" applyAlignment="1">
      <alignment horizontal="center" vertical="top" wrapText="1"/>
    </xf>
    <xf numFmtId="178" fontId="16" fillId="0" borderId="32" xfId="96" applyNumberFormat="1" applyFont="1" applyBorder="1" applyAlignment="1">
      <alignment horizontal="left" vertical="center" wrapText="1"/>
    </xf>
    <xf numFmtId="0" fontId="86" fillId="2" borderId="29" xfId="96" applyFont="1" applyFill="1" applyBorder="1" applyAlignment="1">
      <alignment horizontal="center" vertical="center" wrapText="1"/>
    </xf>
    <xf numFmtId="178" fontId="72" fillId="0" borderId="32" xfId="7" applyNumberFormat="1" applyFont="1" applyFill="1" applyBorder="1" applyAlignment="1">
      <alignment vertical="center"/>
    </xf>
    <xf numFmtId="168" fontId="16" fillId="0" borderId="26" xfId="96" applyNumberFormat="1" applyFont="1" applyBorder="1" applyAlignment="1">
      <alignment horizontal="center" vertical="center" wrapText="1"/>
    </xf>
    <xf numFmtId="178" fontId="72" fillId="0" borderId="32" xfId="299" applyNumberFormat="1" applyFont="1" applyBorder="1" applyAlignment="1">
      <alignment horizontal="center"/>
    </xf>
    <xf numFmtId="178" fontId="72" fillId="0" borderId="32" xfId="96" applyNumberFormat="1" applyFont="1" applyBorder="1" applyAlignment="1">
      <alignment vertical="center" wrapText="1"/>
    </xf>
    <xf numFmtId="178" fontId="86" fillId="0" borderId="23" xfId="96" applyNumberFormat="1" applyFont="1" applyBorder="1" applyAlignment="1">
      <alignment horizontal="center" vertical="center" wrapText="1"/>
    </xf>
    <xf numFmtId="178" fontId="72" fillId="0" borderId="32" xfId="96" applyNumberFormat="1" applyFont="1" applyBorder="1" applyAlignment="1">
      <alignment horizontal="center" vertical="center" wrapText="1"/>
    </xf>
    <xf numFmtId="178" fontId="86" fillId="0" borderId="32" xfId="253" applyNumberFormat="1" applyFont="1" applyBorder="1" applyAlignment="1">
      <alignment vertical="center"/>
    </xf>
    <xf numFmtId="178" fontId="86" fillId="0" borderId="32" xfId="0" applyNumberFormat="1" applyFont="1" applyBorder="1" applyAlignment="1">
      <alignment vertical="center" wrapText="1"/>
    </xf>
    <xf numFmtId="178" fontId="13" fillId="0" borderId="32" xfId="96" applyNumberFormat="1" applyFont="1" applyBorder="1" applyAlignment="1">
      <alignment horizontal="left" vertical="center" wrapText="1"/>
    </xf>
    <xf numFmtId="178" fontId="73" fillId="0" borderId="32" xfId="299" applyNumberFormat="1" applyFont="1" applyBorder="1" applyAlignment="1">
      <alignment horizontal="center"/>
    </xf>
    <xf numFmtId="178" fontId="93" fillId="0" borderId="23" xfId="96" applyNumberFormat="1" applyFont="1" applyBorder="1" applyAlignment="1">
      <alignment horizontal="center" vertical="center" wrapText="1"/>
    </xf>
    <xf numFmtId="178" fontId="73" fillId="0" borderId="32" xfId="96" applyNumberFormat="1" applyFont="1" applyBorder="1" applyAlignment="1">
      <alignment horizontal="center" vertical="center" wrapText="1"/>
    </xf>
    <xf numFmtId="178" fontId="93" fillId="0" borderId="32" xfId="0" applyNumberFormat="1" applyFont="1" applyBorder="1" applyAlignment="1">
      <alignment vertical="center" wrapText="1"/>
    </xf>
    <xf numFmtId="178" fontId="73" fillId="0" borderId="26" xfId="7" applyNumberFormat="1" applyFont="1" applyFill="1" applyBorder="1" applyAlignment="1">
      <alignment vertical="center"/>
    </xf>
    <xf numFmtId="178" fontId="73" fillId="0" borderId="32" xfId="7" applyNumberFormat="1" applyFont="1" applyFill="1" applyBorder="1" applyAlignment="1">
      <alignment vertical="center"/>
    </xf>
    <xf numFmtId="166" fontId="16" fillId="2" borderId="32" xfId="96" applyNumberFormat="1" applyFont="1" applyFill="1" applyBorder="1" applyAlignment="1">
      <alignment horizontal="center" vertical="center" wrapText="1"/>
    </xf>
    <xf numFmtId="166" fontId="72" fillId="2" borderId="32" xfId="96" applyNumberFormat="1" applyFont="1" applyFill="1" applyBorder="1" applyAlignment="1">
      <alignment vertical="center" wrapText="1"/>
    </xf>
    <xf numFmtId="166" fontId="86" fillId="0" borderId="32" xfId="6" applyNumberFormat="1" applyFont="1" applyFill="1" applyBorder="1" applyAlignment="1">
      <alignment horizontal="center" vertical="center"/>
    </xf>
    <xf numFmtId="166" fontId="86" fillId="2" borderId="32" xfId="6" applyNumberFormat="1" applyFont="1" applyFill="1" applyBorder="1" applyAlignment="1">
      <alignment horizontal="center" vertical="center"/>
    </xf>
    <xf numFmtId="178" fontId="90" fillId="2" borderId="0" xfId="253" applyNumberFormat="1" applyFont="1" applyFill="1"/>
    <xf numFmtId="166" fontId="84" fillId="0" borderId="32" xfId="223" applyNumberFormat="1" applyFont="1" applyFill="1" applyBorder="1" applyAlignment="1">
      <alignment vertical="center"/>
    </xf>
    <xf numFmtId="43" fontId="16" fillId="2" borderId="32" xfId="7" applyFont="1" applyFill="1" applyBorder="1" applyAlignment="1">
      <alignment horizontal="right" vertical="center"/>
    </xf>
    <xf numFmtId="43" fontId="72" fillId="2" borderId="32" xfId="7" applyFont="1" applyFill="1" applyBorder="1" applyAlignment="1">
      <alignment horizontal="right" vertical="center"/>
    </xf>
    <xf numFmtId="43" fontId="84" fillId="2" borderId="32" xfId="7" applyFont="1" applyFill="1" applyBorder="1" applyAlignment="1">
      <alignment horizontal="right" vertical="center"/>
    </xf>
    <xf numFmtId="0" fontId="72" fillId="0" borderId="32" xfId="0" applyFont="1" applyFill="1" applyBorder="1" applyAlignment="1">
      <alignment horizontal="center" vertical="center" wrapText="1"/>
    </xf>
    <xf numFmtId="169" fontId="72" fillId="0" borderId="26" xfId="0" applyNumberFormat="1" applyFont="1" applyFill="1" applyBorder="1" applyAlignment="1">
      <alignment horizontal="right" vertical="center" wrapText="1"/>
    </xf>
    <xf numFmtId="43" fontId="72" fillId="0" borderId="0" xfId="7" applyFont="1" applyFill="1" applyAlignment="1">
      <alignment horizontal="left" vertical="center" wrapText="1"/>
    </xf>
    <xf numFmtId="0" fontId="72" fillId="0" borderId="0" xfId="299" applyFont="1" applyFill="1" applyAlignment="1">
      <alignment horizontal="left" vertical="center" wrapText="1"/>
    </xf>
    <xf numFmtId="168" fontId="16" fillId="57" borderId="32" xfId="96" applyNumberFormat="1" applyFont="1" applyFill="1" applyBorder="1" applyAlignment="1">
      <alignment horizontal="center" vertical="top" wrapText="1"/>
    </xf>
    <xf numFmtId="0" fontId="72" fillId="0" borderId="32" xfId="0" applyFont="1" applyBorder="1" applyAlignment="1">
      <alignment horizontal="left" vertical="center" wrapText="1"/>
    </xf>
    <xf numFmtId="0" fontId="72" fillId="0" borderId="32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left" vertical="top" wrapText="1"/>
    </xf>
    <xf numFmtId="0" fontId="72" fillId="2" borderId="0" xfId="1734" applyFont="1" applyFill="1" applyAlignment="1">
      <alignment horizontal="right" vertical="center"/>
    </xf>
    <xf numFmtId="0" fontId="72" fillId="2" borderId="26" xfId="1735" applyFont="1" applyFill="1" applyBorder="1" applyAlignment="1">
      <alignment horizontal="center" vertical="center" wrapText="1"/>
    </xf>
    <xf numFmtId="0" fontId="72" fillId="0" borderId="32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center" wrapText="1"/>
    </xf>
    <xf numFmtId="43" fontId="72" fillId="2" borderId="22" xfId="2022" applyFont="1" applyFill="1" applyBorder="1" applyAlignment="1">
      <alignment horizontal="center" vertical="center" wrapText="1"/>
    </xf>
    <xf numFmtId="43" fontId="72" fillId="2" borderId="2" xfId="2022" applyFont="1" applyFill="1" applyBorder="1" applyAlignment="1">
      <alignment horizontal="center" vertical="center" wrapText="1"/>
    </xf>
    <xf numFmtId="43" fontId="72" fillId="2" borderId="32" xfId="2022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0" fontId="72" fillId="0" borderId="32" xfId="0" applyFont="1" applyBorder="1" applyAlignment="1">
      <alignment horizontal="left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49" fontId="16" fillId="2" borderId="32" xfId="0" applyNumberFormat="1" applyFont="1" applyFill="1" applyBorder="1" applyAlignment="1">
      <alignment horizontal="center" vertical="top" wrapText="1"/>
    </xf>
    <xf numFmtId="0" fontId="72" fillId="2" borderId="3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91" fillId="2" borderId="32" xfId="0" applyFont="1" applyFill="1" applyBorder="1" applyAlignment="1">
      <alignment horizontal="center" wrapText="1"/>
    </xf>
    <xf numFmtId="0" fontId="91" fillId="2" borderId="22" xfId="0" applyFont="1" applyFill="1" applyBorder="1" applyAlignment="1">
      <alignment horizontal="center" vertical="top" wrapText="1"/>
    </xf>
    <xf numFmtId="0" fontId="91" fillId="2" borderId="1" xfId="0" applyFont="1" applyFill="1" applyBorder="1" applyAlignment="1">
      <alignment horizontal="center" vertical="top" wrapText="1"/>
    </xf>
    <xf numFmtId="0" fontId="91" fillId="2" borderId="2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26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center"/>
    </xf>
    <xf numFmtId="0" fontId="72" fillId="2" borderId="1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0" xfId="2028" applyFont="1" applyFill="1" applyBorder="1" applyAlignment="1">
      <alignment horizontal="right"/>
    </xf>
    <xf numFmtId="49" fontId="16" fillId="2" borderId="27" xfId="96" applyNumberFormat="1" applyFont="1" applyFill="1" applyBorder="1" applyAlignment="1">
      <alignment horizontal="center" vertical="center" wrapText="1"/>
    </xf>
    <xf numFmtId="49" fontId="16" fillId="2" borderId="29" xfId="96" applyNumberFormat="1" applyFont="1" applyFill="1" applyBorder="1" applyAlignment="1">
      <alignment horizontal="center" vertical="center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2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0" fontId="72" fillId="2" borderId="22" xfId="299" applyFont="1" applyFill="1" applyBorder="1" applyAlignment="1">
      <alignment horizontal="center"/>
    </xf>
    <xf numFmtId="0" fontId="72" fillId="2" borderId="1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0" fontId="72" fillId="2" borderId="22" xfId="253" applyFont="1" applyFill="1" applyBorder="1" applyAlignment="1">
      <alignment horizontal="center"/>
    </xf>
    <xf numFmtId="0" fontId="72" fillId="2" borderId="1" xfId="253" applyFont="1" applyFill="1" applyBorder="1" applyAlignment="1">
      <alignment horizontal="center"/>
    </xf>
    <xf numFmtId="0" fontId="72" fillId="2" borderId="2" xfId="253" applyFont="1" applyFill="1" applyBorder="1" applyAlignment="1">
      <alignment horizontal="center"/>
    </xf>
    <xf numFmtId="0" fontId="90" fillId="2" borderId="22" xfId="253" applyFont="1" applyFill="1" applyBorder="1" applyAlignment="1">
      <alignment horizontal="center"/>
    </xf>
    <xf numFmtId="0" fontId="90" fillId="2" borderId="1" xfId="253" applyFont="1" applyFill="1" applyBorder="1" applyAlignment="1">
      <alignment horizontal="center"/>
    </xf>
    <xf numFmtId="0" fontId="90" fillId="2" borderId="2" xfId="253" applyFont="1" applyFill="1" applyBorder="1" applyAlignment="1">
      <alignment horizontal="center"/>
    </xf>
    <xf numFmtId="0" fontId="88" fillId="2" borderId="22" xfId="0" applyFont="1" applyFill="1" applyBorder="1" applyAlignment="1">
      <alignment horizontal="center"/>
    </xf>
    <xf numFmtId="0" fontId="88" fillId="2" borderId="2" xfId="0" applyFont="1" applyFill="1" applyBorder="1" applyAlignment="1">
      <alignment horizontal="center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2" fillId="0" borderId="33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16" fillId="59" borderId="32" xfId="0" applyFont="1" applyFill="1" applyBorder="1" applyAlignment="1">
      <alignment horizontal="center" vertical="top" wrapText="1"/>
    </xf>
    <xf numFmtId="0" fontId="88" fillId="0" borderId="32" xfId="0" applyFont="1" applyBorder="1" applyAlignment="1">
      <alignment horizontal="left" vertical="top" wrapText="1"/>
    </xf>
    <xf numFmtId="0" fontId="16" fillId="57" borderId="32" xfId="0" applyFont="1" applyFill="1" applyBorder="1" applyAlignment="1">
      <alignment horizontal="left" vertical="top" wrapText="1"/>
    </xf>
    <xf numFmtId="0" fontId="13" fillId="2" borderId="32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16" fillId="2" borderId="23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left" vertical="top" wrapText="1"/>
    </xf>
    <xf numFmtId="0" fontId="16" fillId="0" borderId="32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0" fontId="72" fillId="0" borderId="32" xfId="0" applyFont="1" applyBorder="1" applyAlignment="1">
      <alignment horizontal="center" vertical="top" wrapText="1"/>
    </xf>
    <xf numFmtId="0" fontId="13" fillId="2" borderId="29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left" vertical="top" wrapText="1"/>
    </xf>
    <xf numFmtId="0" fontId="16" fillId="2" borderId="29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2" fillId="0" borderId="32" xfId="0" applyFont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left" vertical="center" wrapText="1"/>
    </xf>
    <xf numFmtId="0" fontId="72" fillId="2" borderId="27" xfId="299" applyFont="1" applyFill="1" applyBorder="1" applyAlignment="1">
      <alignment horizontal="left" vertical="top" wrapText="1"/>
    </xf>
    <xf numFmtId="0" fontId="72" fillId="2" borderId="28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 vertical="center" wrapText="1"/>
    </xf>
    <xf numFmtId="0" fontId="72" fillId="57" borderId="27" xfId="0" applyFont="1" applyFill="1" applyBorder="1" applyAlignment="1">
      <alignment horizontal="left" vertical="center" wrapText="1"/>
    </xf>
    <xf numFmtId="0" fontId="72" fillId="57" borderId="28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left" vertical="top" wrapText="1"/>
    </xf>
    <xf numFmtId="0" fontId="72" fillId="0" borderId="32" xfId="0" applyFont="1" applyFill="1" applyBorder="1" applyAlignment="1">
      <alignment horizontal="left" vertical="top" wrapText="1"/>
    </xf>
    <xf numFmtId="0" fontId="72" fillId="2" borderId="33" xfId="299" applyFont="1" applyFill="1" applyBorder="1" applyAlignment="1">
      <alignment horizontal="center" vertical="top" wrapText="1"/>
    </xf>
    <xf numFmtId="0" fontId="72" fillId="2" borderId="34" xfId="299" applyFont="1" applyFill="1" applyBorder="1" applyAlignment="1">
      <alignment horizontal="center" vertical="top" wrapText="1"/>
    </xf>
    <xf numFmtId="0" fontId="72" fillId="2" borderId="23" xfId="299" applyFont="1" applyFill="1" applyBorder="1" applyAlignment="1">
      <alignment horizontal="center" vertical="top" wrapText="1"/>
    </xf>
    <xf numFmtId="0" fontId="72" fillId="57" borderId="33" xfId="0" applyFont="1" applyFill="1" applyBorder="1" applyAlignment="1">
      <alignment horizontal="left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23" xfId="0" applyFont="1" applyFill="1" applyBorder="1" applyAlignment="1">
      <alignment horizontal="left" vertical="center" wrapText="1"/>
    </xf>
    <xf numFmtId="0" fontId="72" fillId="2" borderId="27" xfId="1735" applyFont="1" applyFill="1" applyBorder="1" applyAlignment="1">
      <alignment horizontal="center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16" fillId="58" borderId="26" xfId="0" applyFont="1" applyFill="1" applyBorder="1" applyAlignment="1">
      <alignment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26" xfId="1734" applyFont="1" applyFill="1" applyBorder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horizontal="left" vertical="top" wrapText="1"/>
    </xf>
    <xf numFmtId="165" fontId="72" fillId="2" borderId="32" xfId="0" applyNumberFormat="1" applyFont="1" applyFill="1" applyBorder="1"/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General 17.02.04" xfId="2031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PITAL/2025/GOV%20DECREES/HTZH%20lracucich/Pul%201/havelvacner.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  <sheetName val="Հավելված N 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A18"/>
  <sheetViews>
    <sheetView topLeftCell="A4" workbookViewId="0">
      <selection activeCell="B1" sqref="B1"/>
    </sheetView>
  </sheetViews>
  <sheetFormatPr defaultColWidth="9.09765625" defaultRowHeight="17.75"/>
  <cols>
    <col min="1" max="1" width="64" style="1" customWidth="1"/>
    <col min="2" max="2" width="22.69921875" style="246" customWidth="1"/>
    <col min="3" max="3" width="23.8984375" style="1" customWidth="1"/>
    <col min="4" max="4" width="15.8984375" style="1" customWidth="1"/>
    <col min="5" max="5" width="18.296875" style="1" customWidth="1"/>
    <col min="6" max="6" width="17.59765625" style="1" customWidth="1"/>
    <col min="7" max="8" width="15.8984375" style="1" customWidth="1"/>
    <col min="9" max="16384" width="9.09765625" style="1"/>
  </cols>
  <sheetData>
    <row r="1" spans="1:53" ht="37.1" customHeight="1">
      <c r="B1" s="1"/>
      <c r="C1" s="225" t="s">
        <v>18</v>
      </c>
    </row>
    <row r="2" spans="1:53">
      <c r="B2" s="1"/>
      <c r="C2" s="226" t="s">
        <v>392</v>
      </c>
    </row>
    <row r="3" spans="1:53">
      <c r="B3" s="1"/>
      <c r="C3" s="226" t="s">
        <v>0</v>
      </c>
    </row>
    <row r="4" spans="1:53">
      <c r="B4" s="3"/>
      <c r="C4" s="227"/>
    </row>
    <row r="5" spans="1:53" ht="99.3" customHeight="1">
      <c r="A5" s="321" t="s">
        <v>393</v>
      </c>
      <c r="B5" s="321"/>
      <c r="C5" s="321"/>
    </row>
    <row r="6" spans="1:53">
      <c r="B6" s="228"/>
    </row>
    <row r="7" spans="1:53">
      <c r="A7" s="229"/>
      <c r="B7" s="229"/>
      <c r="C7" s="230" t="s">
        <v>394</v>
      </c>
    </row>
    <row r="8" spans="1:53" ht="37.1" customHeight="1">
      <c r="A8" s="322" t="s">
        <v>395</v>
      </c>
      <c r="B8" s="324" t="s">
        <v>401</v>
      </c>
      <c r="C8" s="324"/>
    </row>
    <row r="9" spans="1:53">
      <c r="A9" s="323"/>
      <c r="B9" s="45" t="s">
        <v>2</v>
      </c>
      <c r="C9" s="45" t="s">
        <v>3</v>
      </c>
    </row>
    <row r="10" spans="1:53" s="233" customFormat="1" ht="16.7">
      <c r="A10" s="231" t="s">
        <v>8</v>
      </c>
      <c r="B10" s="8">
        <f t="shared" ref="B10:C10" si="0">+B12</f>
        <v>-14874.300000000017</v>
      </c>
      <c r="C10" s="232">
        <f t="shared" si="0"/>
        <v>1.7462298274040222E-10</v>
      </c>
      <c r="F10" s="234"/>
    </row>
    <row r="11" spans="1:53">
      <c r="A11" s="235" t="s">
        <v>113</v>
      </c>
      <c r="B11" s="247"/>
      <c r="C11" s="236"/>
    </row>
    <row r="12" spans="1:53" s="240" customFormat="1" ht="16.7">
      <c r="A12" s="237" t="s">
        <v>396</v>
      </c>
      <c r="B12" s="305">
        <f t="shared" ref="B12:C12" si="1">+B14</f>
        <v>-14874.300000000017</v>
      </c>
      <c r="C12" s="238">
        <f t="shared" si="1"/>
        <v>1.7462298274040222E-10</v>
      </c>
      <c r="D12" s="239"/>
      <c r="E12" s="239"/>
      <c r="G12" s="239"/>
      <c r="H12" s="239"/>
      <c r="I12" s="239"/>
      <c r="J12" s="239"/>
      <c r="K12" s="239"/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</row>
    <row r="13" spans="1:53" s="242" customFormat="1">
      <c r="A13" s="235" t="s">
        <v>113</v>
      </c>
      <c r="B13" s="306"/>
      <c r="C13" s="241"/>
    </row>
    <row r="14" spans="1:53" s="242" customFormat="1">
      <c r="A14" s="235" t="s">
        <v>397</v>
      </c>
      <c r="B14" s="306">
        <f t="shared" ref="B14:C14" si="2">+B16</f>
        <v>-14874.300000000017</v>
      </c>
      <c r="C14" s="241">
        <f t="shared" si="2"/>
        <v>1.7462298274040222E-10</v>
      </c>
    </row>
    <row r="15" spans="1:53" s="242" customFormat="1">
      <c r="A15" s="235" t="s">
        <v>113</v>
      </c>
      <c r="B15" s="306"/>
      <c r="C15" s="241"/>
    </row>
    <row r="16" spans="1:53" s="242" customFormat="1">
      <c r="A16" s="235" t="s">
        <v>398</v>
      </c>
      <c r="B16" s="306">
        <f t="shared" ref="B16:C16" si="3">+B18</f>
        <v>-14874.300000000017</v>
      </c>
      <c r="C16" s="241">
        <f t="shared" si="3"/>
        <v>1.7462298274040222E-10</v>
      </c>
    </row>
    <row r="17" spans="1:3" s="242" customFormat="1">
      <c r="A17" s="235" t="s">
        <v>399</v>
      </c>
      <c r="B17" s="306"/>
      <c r="C17" s="241"/>
    </row>
    <row r="18" spans="1:3" s="245" customFormat="1">
      <c r="A18" s="243" t="s">
        <v>400</v>
      </c>
      <c r="B18" s="307">
        <f>+'Հավելված N 2'!G13</f>
        <v>-14874.300000000017</v>
      </c>
      <c r="C18" s="244">
        <f>+'Հավելված N 2'!H13</f>
        <v>1.7462298274040222E-10</v>
      </c>
    </row>
  </sheetData>
  <mergeCells count="3">
    <mergeCell ref="A5:C5"/>
    <mergeCell ref="A8:A9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28"/>
  <sheetViews>
    <sheetView topLeftCell="A13" zoomScale="74" zoomScaleNormal="55" zoomScaleSheetLayoutView="100" workbookViewId="0">
      <selection activeCell="G13" sqref="G13"/>
    </sheetView>
  </sheetViews>
  <sheetFormatPr defaultColWidth="9.09765625" defaultRowHeight="17.75"/>
  <cols>
    <col min="1" max="1" width="6.796875" style="23" customWidth="1"/>
    <col min="2" max="2" width="10.3984375" style="91" customWidth="1"/>
    <col min="3" max="3" width="15.19921875" style="23" customWidth="1"/>
    <col min="4" max="6" width="46.296875" style="23" customWidth="1"/>
    <col min="7" max="8" width="24.296875" style="23" customWidth="1"/>
    <col min="9" max="10" width="12.19921875" style="23" customWidth="1"/>
    <col min="11" max="16384" width="9.09765625" style="23"/>
  </cols>
  <sheetData>
    <row r="1" spans="1:37" ht="37.35" customHeight="1">
      <c r="F1" s="325" t="s">
        <v>19</v>
      </c>
      <c r="G1" s="325"/>
      <c r="H1" s="325"/>
    </row>
    <row r="2" spans="1:37" ht="17.600000000000001" customHeight="1">
      <c r="F2" s="326" t="s">
        <v>99</v>
      </c>
      <c r="G2" s="326"/>
      <c r="H2" s="326"/>
    </row>
    <row r="3" spans="1:37" ht="17.600000000000001" customHeight="1">
      <c r="F3" s="326" t="s">
        <v>0</v>
      </c>
      <c r="G3" s="326"/>
      <c r="H3" s="326"/>
    </row>
    <row r="6" spans="1:37" ht="75.900000000000006" customHeight="1">
      <c r="A6" s="327" t="s">
        <v>114</v>
      </c>
      <c r="B6" s="327"/>
      <c r="C6" s="327"/>
      <c r="D6" s="327"/>
      <c r="E6" s="327"/>
      <c r="F6" s="327"/>
      <c r="G6" s="327"/>
      <c r="H6" s="327"/>
    </row>
    <row r="7" spans="1:37">
      <c r="A7" s="93"/>
      <c r="B7" s="93"/>
      <c r="C7" s="93"/>
      <c r="D7" s="93"/>
      <c r="E7" s="93"/>
      <c r="F7" s="93"/>
    </row>
    <row r="9" spans="1:37">
      <c r="D9" s="92"/>
      <c r="E9" s="92"/>
      <c r="F9" s="92"/>
      <c r="H9" s="92" t="s">
        <v>9</v>
      </c>
    </row>
    <row r="10" spans="1:37" ht="56.45" customHeight="1">
      <c r="A10" s="328" t="s">
        <v>115</v>
      </c>
      <c r="B10" s="328" t="s">
        <v>1</v>
      </c>
      <c r="C10" s="328"/>
      <c r="D10" s="328" t="s">
        <v>116</v>
      </c>
      <c r="E10" s="328" t="s">
        <v>117</v>
      </c>
      <c r="F10" s="328" t="s">
        <v>118</v>
      </c>
      <c r="G10" s="329" t="s">
        <v>26</v>
      </c>
      <c r="H10" s="330"/>
    </row>
    <row r="11" spans="1:37" ht="17.75" customHeight="1">
      <c r="A11" s="328"/>
      <c r="B11" s="328"/>
      <c r="C11" s="328"/>
      <c r="D11" s="328"/>
      <c r="E11" s="328"/>
      <c r="F11" s="328"/>
      <c r="G11" s="328" t="s">
        <v>2</v>
      </c>
      <c r="H11" s="328" t="s">
        <v>3</v>
      </c>
    </row>
    <row r="12" spans="1:37">
      <c r="A12" s="328"/>
      <c r="B12" s="94" t="s">
        <v>14</v>
      </c>
      <c r="C12" s="94" t="s">
        <v>15</v>
      </c>
      <c r="D12" s="328"/>
      <c r="E12" s="328"/>
      <c r="F12" s="328"/>
      <c r="G12" s="328"/>
      <c r="H12" s="328"/>
    </row>
    <row r="13" spans="1:37" s="76" customFormat="1" ht="25" customHeight="1">
      <c r="A13" s="331" t="s">
        <v>119</v>
      </c>
      <c r="B13" s="331"/>
      <c r="C13" s="331"/>
      <c r="D13" s="331"/>
      <c r="E13" s="331"/>
      <c r="F13" s="331"/>
      <c r="G13" s="8">
        <f t="shared" ref="G13:H13" si="0">+G15</f>
        <v>-14874.300000000017</v>
      </c>
      <c r="H13" s="47">
        <f t="shared" si="0"/>
        <v>1.7462298274040222E-10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</row>
    <row r="14" spans="1:37" s="76" customFormat="1">
      <c r="A14" s="332" t="s">
        <v>113</v>
      </c>
      <c r="B14" s="332"/>
      <c r="C14" s="332"/>
      <c r="D14" s="332"/>
      <c r="E14" s="332"/>
      <c r="F14" s="332"/>
      <c r="G14" s="8"/>
      <c r="H14" s="47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</row>
    <row r="15" spans="1:37" s="76" customFormat="1">
      <c r="A15" s="331" t="s">
        <v>17</v>
      </c>
      <c r="B15" s="331"/>
      <c r="C15" s="331"/>
      <c r="D15" s="331"/>
      <c r="E15" s="331"/>
      <c r="F15" s="331"/>
      <c r="G15" s="8">
        <f>+G16+G18+G20+G22+G24</f>
        <v>-14874.300000000017</v>
      </c>
      <c r="H15" s="224">
        <f>+H16+H18+H20+H22+H24</f>
        <v>1.7462298274040222E-10</v>
      </c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</row>
    <row r="16" spans="1:37" ht="99.95">
      <c r="A16" s="59"/>
      <c r="B16" s="56">
        <v>1045</v>
      </c>
      <c r="C16" s="69"/>
      <c r="D16" s="69" t="s">
        <v>111</v>
      </c>
      <c r="E16" s="69" t="s">
        <v>126</v>
      </c>
      <c r="F16" s="69" t="s">
        <v>127</v>
      </c>
      <c r="G16" s="221">
        <f>+G17</f>
        <v>-84576.900000000009</v>
      </c>
      <c r="H16" s="221">
        <f>+H17</f>
        <v>-130775.9</v>
      </c>
    </row>
    <row r="17" spans="1:8" ht="88.7">
      <c r="A17" s="59"/>
      <c r="B17" s="45"/>
      <c r="C17" s="59" t="s">
        <v>377</v>
      </c>
      <c r="D17" s="59" t="s">
        <v>378</v>
      </c>
      <c r="E17" s="59" t="s">
        <v>379</v>
      </c>
      <c r="F17" s="59" t="s">
        <v>120</v>
      </c>
      <c r="G17" s="222">
        <f>+'Հավելված N 3'!G123</f>
        <v>-84576.900000000009</v>
      </c>
      <c r="H17" s="222">
        <f>+'Հավելված N 3'!H123</f>
        <v>-130775.9</v>
      </c>
    </row>
    <row r="18" spans="1:8" ht="99.95">
      <c r="A18" s="59"/>
      <c r="B18" s="56">
        <v>1163</v>
      </c>
      <c r="C18" s="69"/>
      <c r="D18" s="69" t="s">
        <v>95</v>
      </c>
      <c r="E18" s="69" t="s">
        <v>160</v>
      </c>
      <c r="F18" s="69" t="s">
        <v>161</v>
      </c>
      <c r="G18" s="221">
        <f>+G19</f>
        <v>-115074.6</v>
      </c>
      <c r="H18" s="221">
        <f>+H19</f>
        <v>0</v>
      </c>
    </row>
    <row r="19" spans="1:8" ht="106.4">
      <c r="A19" s="59"/>
      <c r="B19" s="45"/>
      <c r="C19" s="45" t="s">
        <v>380</v>
      </c>
      <c r="D19" s="59" t="s">
        <v>280</v>
      </c>
      <c r="E19" s="59" t="s">
        <v>381</v>
      </c>
      <c r="F19" s="59" t="s">
        <v>120</v>
      </c>
      <c r="G19" s="222">
        <f>+'Հավելված N 3'!G136</f>
        <v>-115074.6</v>
      </c>
      <c r="H19" s="222">
        <f>+'Հավելված N 3'!H136</f>
        <v>0</v>
      </c>
    </row>
    <row r="20" spans="1:8" ht="99.95">
      <c r="A20" s="59"/>
      <c r="B20" s="56">
        <v>1168</v>
      </c>
      <c r="C20" s="69"/>
      <c r="D20" s="69" t="s">
        <v>156</v>
      </c>
      <c r="E20" s="69" t="s">
        <v>162</v>
      </c>
      <c r="F20" s="69" t="s">
        <v>163</v>
      </c>
      <c r="G20" s="221">
        <f t="shared" ref="G20:H20" si="1">+G21</f>
        <v>0</v>
      </c>
      <c r="H20" s="221">
        <f t="shared" si="1"/>
        <v>17600</v>
      </c>
    </row>
    <row r="21" spans="1:8" ht="124.15">
      <c r="A21" s="59"/>
      <c r="B21" s="45"/>
      <c r="C21" s="45" t="s">
        <v>164</v>
      </c>
      <c r="D21" s="59" t="s">
        <v>153</v>
      </c>
      <c r="E21" s="59" t="s">
        <v>165</v>
      </c>
      <c r="F21" s="59" t="s">
        <v>120</v>
      </c>
      <c r="G21" s="222">
        <f>+'Հավելված N 3'!G26</f>
        <v>0</v>
      </c>
      <c r="H21" s="222">
        <f>+'Հավելված N 3'!H26</f>
        <v>17600</v>
      </c>
    </row>
    <row r="22" spans="1:8" ht="116.6">
      <c r="A22" s="59"/>
      <c r="B22" s="56">
        <v>1183</v>
      </c>
      <c r="C22" s="69"/>
      <c r="D22" s="69" t="s">
        <v>94</v>
      </c>
      <c r="E22" s="69" t="s">
        <v>128</v>
      </c>
      <c r="F22" s="69" t="s">
        <v>129</v>
      </c>
      <c r="G22" s="223">
        <f>+G23</f>
        <v>48041.399999999994</v>
      </c>
      <c r="H22" s="223">
        <f>+H23</f>
        <v>48041.399999999994</v>
      </c>
    </row>
    <row r="23" spans="1:8" ht="88.7">
      <c r="A23" s="59"/>
      <c r="B23" s="45"/>
      <c r="C23" s="45" t="s">
        <v>383</v>
      </c>
      <c r="D23" s="59" t="s">
        <v>289</v>
      </c>
      <c r="E23" s="59" t="s">
        <v>382</v>
      </c>
      <c r="F23" s="59" t="s">
        <v>120</v>
      </c>
      <c r="G23" s="222">
        <f>+'Հավելված N 3'!G147</f>
        <v>48041.399999999994</v>
      </c>
      <c r="H23" s="222">
        <f>+'Հավելված N 3'!H147</f>
        <v>48041.399999999994</v>
      </c>
    </row>
    <row r="24" spans="1:8" ht="83.3">
      <c r="A24" s="59"/>
      <c r="B24" s="56" t="s">
        <v>121</v>
      </c>
      <c r="C24" s="69"/>
      <c r="D24" s="69" t="s">
        <v>122</v>
      </c>
      <c r="E24" s="69" t="s">
        <v>123</v>
      </c>
      <c r="F24" s="69" t="s">
        <v>124</v>
      </c>
      <c r="G24" s="223">
        <f>+G25+G26+G27+G28</f>
        <v>136735.79999999999</v>
      </c>
      <c r="H24" s="223">
        <f>+H25+H26+H27+H28</f>
        <v>65134.500000000175</v>
      </c>
    </row>
    <row r="25" spans="1:8" ht="88.7">
      <c r="A25" s="59"/>
      <c r="B25" s="45"/>
      <c r="C25" s="59" t="s">
        <v>384</v>
      </c>
      <c r="D25" s="59" t="s">
        <v>174</v>
      </c>
      <c r="E25" s="59" t="s">
        <v>385</v>
      </c>
      <c r="F25" s="59" t="s">
        <v>120</v>
      </c>
      <c r="G25" s="222">
        <f>+'Հավելված N 3'!G45</f>
        <v>544080.9</v>
      </c>
      <c r="H25" s="222">
        <f>+'Հավելված N 3'!H45</f>
        <v>736220.00000000012</v>
      </c>
    </row>
    <row r="26" spans="1:8" ht="88.7">
      <c r="A26" s="59"/>
      <c r="B26" s="45"/>
      <c r="C26" s="59" t="s">
        <v>386</v>
      </c>
      <c r="D26" s="59" t="s">
        <v>387</v>
      </c>
      <c r="E26" s="59" t="s">
        <v>388</v>
      </c>
      <c r="F26" s="59" t="s">
        <v>120</v>
      </c>
      <c r="G26" s="222">
        <f>+'Հավելված N 3'!G58</f>
        <v>-247373.1</v>
      </c>
      <c r="H26" s="222">
        <f>+'Հավելված N 3'!H58</f>
        <v>0</v>
      </c>
    </row>
    <row r="27" spans="1:8" ht="124.15">
      <c r="A27" s="59"/>
      <c r="B27" s="45"/>
      <c r="C27" s="59" t="s">
        <v>389</v>
      </c>
      <c r="D27" s="59" t="s">
        <v>222</v>
      </c>
      <c r="E27" s="59" t="s">
        <v>390</v>
      </c>
      <c r="F27" s="59" t="s">
        <v>120</v>
      </c>
      <c r="G27" s="222">
        <f>+'Հավելված N 3'!G75</f>
        <v>-446467.80000000005</v>
      </c>
      <c r="H27" s="222">
        <f>+'Հավելված N 3'!H75</f>
        <v>-939872.39999999991</v>
      </c>
    </row>
    <row r="28" spans="1:8" ht="124.15">
      <c r="A28" s="59"/>
      <c r="B28" s="45"/>
      <c r="C28" s="59" t="s">
        <v>391</v>
      </c>
      <c r="D28" s="59" t="s">
        <v>271</v>
      </c>
      <c r="E28" s="59" t="s">
        <v>390</v>
      </c>
      <c r="F28" s="59" t="s">
        <v>120</v>
      </c>
      <c r="G28" s="222">
        <f>+'Հավելված N 3'!G97</f>
        <v>286495.8</v>
      </c>
      <c r="H28" s="222">
        <f>+'Հավելված N 3'!H97</f>
        <v>268786.89999999997</v>
      </c>
    </row>
  </sheetData>
  <mergeCells count="15">
    <mergeCell ref="A15:F15"/>
    <mergeCell ref="G11:G12"/>
    <mergeCell ref="H11:H12"/>
    <mergeCell ref="A13:F13"/>
    <mergeCell ref="A14:F14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</mergeCells>
  <phoneticPr fontId="95" type="noConversion"/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159"/>
  <sheetViews>
    <sheetView topLeftCell="A28" zoomScale="81" zoomScaleNormal="74" zoomScaleSheetLayoutView="100" workbookViewId="0">
      <selection activeCell="G13" sqref="G13"/>
    </sheetView>
  </sheetViews>
  <sheetFormatPr defaultColWidth="9.09765625" defaultRowHeight="17.75"/>
  <cols>
    <col min="1" max="3" width="8.09765625" style="126" customWidth="1"/>
    <col min="4" max="4" width="11.59765625" style="126" customWidth="1"/>
    <col min="5" max="5" width="13.8984375" style="126" customWidth="1"/>
    <col min="6" max="6" width="62.09765625" style="126" customWidth="1"/>
    <col min="7" max="8" width="23.69921875" style="126" customWidth="1"/>
    <col min="9" max="11" width="15" style="126" customWidth="1"/>
    <col min="12" max="16384" width="9.09765625" style="126"/>
  </cols>
  <sheetData>
    <row r="1" spans="1:9" s="121" customFormat="1" ht="37.5" customHeight="1">
      <c r="F1" s="325" t="s">
        <v>21</v>
      </c>
      <c r="G1" s="325"/>
      <c r="H1" s="325"/>
    </row>
    <row r="2" spans="1:9" s="24" customFormat="1" ht="17.600000000000001" customHeight="1">
      <c r="F2" s="337" t="s">
        <v>99</v>
      </c>
      <c r="G2" s="337"/>
      <c r="H2" s="337"/>
    </row>
    <row r="3" spans="1:9" s="24" customFormat="1" ht="17.600000000000001" customHeight="1">
      <c r="F3" s="337" t="s">
        <v>0</v>
      </c>
      <c r="G3" s="337"/>
      <c r="H3" s="337"/>
    </row>
    <row r="4" spans="1:9" ht="13.7" customHeight="1"/>
    <row r="5" spans="1:9" ht="13.7" customHeight="1"/>
    <row r="6" spans="1:9" ht="13.7" customHeight="1"/>
    <row r="7" spans="1:9" s="3" customFormat="1" ht="52.55" customHeight="1">
      <c r="A7" s="338" t="s">
        <v>108</v>
      </c>
      <c r="B7" s="338"/>
      <c r="C7" s="338"/>
      <c r="D7" s="338"/>
      <c r="E7" s="338"/>
      <c r="F7" s="338"/>
      <c r="G7" s="338"/>
      <c r="H7" s="338"/>
    </row>
    <row r="8" spans="1:9" s="3" customFormat="1">
      <c r="A8" s="123"/>
      <c r="B8" s="123"/>
      <c r="C8" s="123"/>
      <c r="D8" s="123"/>
      <c r="E8" s="123"/>
      <c r="F8" s="123"/>
      <c r="G8" s="123"/>
      <c r="H8" s="123"/>
    </row>
    <row r="9" spans="1:9" s="3" customFormat="1"/>
    <row r="10" spans="1:9" s="3" customFormat="1">
      <c r="H10" s="24" t="s">
        <v>9</v>
      </c>
    </row>
    <row r="11" spans="1:9" s="10" customFormat="1" ht="53.2" customHeight="1">
      <c r="A11" s="339" t="s">
        <v>10</v>
      </c>
      <c r="B11" s="339"/>
      <c r="C11" s="339"/>
      <c r="D11" s="339" t="s">
        <v>1</v>
      </c>
      <c r="E11" s="339"/>
      <c r="F11" s="339" t="s">
        <v>5</v>
      </c>
      <c r="G11" s="329" t="s">
        <v>26</v>
      </c>
      <c r="H11" s="330"/>
    </row>
    <row r="12" spans="1:9" s="10" customFormat="1">
      <c r="A12" s="124" t="s">
        <v>24</v>
      </c>
      <c r="B12" s="124" t="s">
        <v>25</v>
      </c>
      <c r="C12" s="124" t="s">
        <v>11</v>
      </c>
      <c r="D12" s="124" t="s">
        <v>4</v>
      </c>
      <c r="E12" s="124" t="s">
        <v>15</v>
      </c>
      <c r="F12" s="339"/>
      <c r="G12" s="124" t="s">
        <v>2</v>
      </c>
      <c r="H12" s="124" t="s">
        <v>3</v>
      </c>
    </row>
    <row r="13" spans="1:9" s="10" customFormat="1" ht="34.950000000000003" customHeight="1">
      <c r="A13" s="9"/>
      <c r="B13" s="9"/>
      <c r="C13" s="9"/>
      <c r="D13" s="124"/>
      <c r="E13" s="124"/>
      <c r="F13" s="16" t="s">
        <v>8</v>
      </c>
      <c r="G13" s="8">
        <f t="shared" ref="G13:H13" si="0">+G15</f>
        <v>-14874.300000000017</v>
      </c>
      <c r="H13" s="8">
        <f t="shared" si="0"/>
        <v>1.1641532182693481E-10</v>
      </c>
      <c r="I13" s="271"/>
    </row>
    <row r="14" spans="1:9" s="10" customFormat="1">
      <c r="A14" s="9"/>
      <c r="B14" s="9"/>
      <c r="C14" s="9"/>
      <c r="D14" s="124"/>
      <c r="E14" s="124"/>
      <c r="F14" s="9" t="s">
        <v>71</v>
      </c>
      <c r="G14" s="220"/>
      <c r="H14" s="2"/>
    </row>
    <row r="15" spans="1:9" s="10" customFormat="1" ht="33.35">
      <c r="A15" s="9"/>
      <c r="B15" s="9"/>
      <c r="C15" s="9"/>
      <c r="D15" s="124"/>
      <c r="E15" s="124"/>
      <c r="F15" s="4" t="s">
        <v>17</v>
      </c>
      <c r="G15" s="2">
        <f>+G16+G35</f>
        <v>-14874.300000000017</v>
      </c>
      <c r="H15" s="2">
        <f>+H16+H35</f>
        <v>1.1641532182693481E-10</v>
      </c>
    </row>
    <row r="16" spans="1:9" s="10" customFormat="1" ht="17.600000000000001" customHeight="1">
      <c r="A16" s="342" t="s">
        <v>22</v>
      </c>
      <c r="B16" s="340"/>
      <c r="C16" s="340"/>
      <c r="D16" s="36"/>
      <c r="E16" s="31"/>
      <c r="F16" s="17" t="s">
        <v>23</v>
      </c>
      <c r="G16" s="2">
        <f>+G18</f>
        <v>0</v>
      </c>
      <c r="H16" s="2">
        <f>+H18</f>
        <v>17600</v>
      </c>
    </row>
    <row r="17" spans="1:8" s="10" customFormat="1" ht="16.95" customHeight="1">
      <c r="A17" s="343"/>
      <c r="B17" s="341"/>
      <c r="C17" s="345"/>
      <c r="D17" s="37"/>
      <c r="E17" s="32"/>
      <c r="F17" s="18" t="s">
        <v>6</v>
      </c>
      <c r="G17" s="6"/>
      <c r="H17" s="6"/>
    </row>
    <row r="18" spans="1:8" s="10" customFormat="1">
      <c r="A18" s="343"/>
      <c r="B18" s="278" t="s">
        <v>66</v>
      </c>
      <c r="C18" s="345"/>
      <c r="D18" s="37"/>
      <c r="E18" s="32"/>
      <c r="F18" s="17" t="s">
        <v>67</v>
      </c>
      <c r="G18" s="6">
        <f>+G20</f>
        <v>0</v>
      </c>
      <c r="H18" s="6">
        <f>+H20</f>
        <v>17600</v>
      </c>
    </row>
    <row r="19" spans="1:8" s="10" customFormat="1" ht="16.95" customHeight="1">
      <c r="A19" s="343"/>
      <c r="B19" s="279"/>
      <c r="C19" s="341"/>
      <c r="D19" s="37"/>
      <c r="E19" s="32"/>
      <c r="F19" s="18" t="s">
        <v>6</v>
      </c>
      <c r="G19" s="6"/>
      <c r="H19" s="5"/>
    </row>
    <row r="20" spans="1:8" s="10" customFormat="1">
      <c r="A20" s="343"/>
      <c r="B20" s="279"/>
      <c r="C20" s="278" t="s">
        <v>159</v>
      </c>
      <c r="D20" s="37"/>
      <c r="E20" s="32"/>
      <c r="F20" s="17" t="s">
        <v>152</v>
      </c>
      <c r="G20" s="6">
        <f>+G22</f>
        <v>0</v>
      </c>
      <c r="H20" s="6">
        <f>+H22</f>
        <v>17600</v>
      </c>
    </row>
    <row r="21" spans="1:8" s="10" customFormat="1" ht="16.95" customHeight="1">
      <c r="A21" s="343"/>
      <c r="B21" s="279"/>
      <c r="C21" s="279"/>
      <c r="D21" s="37"/>
      <c r="E21" s="32"/>
      <c r="F21" s="18" t="s">
        <v>6</v>
      </c>
      <c r="G21" s="6"/>
      <c r="H21" s="11"/>
    </row>
    <row r="22" spans="1:8" s="10" customFormat="1" ht="35.5">
      <c r="A22" s="343"/>
      <c r="B22" s="279"/>
      <c r="C22" s="279"/>
      <c r="D22" s="37"/>
      <c r="E22" s="32"/>
      <c r="F22" s="19" t="s">
        <v>12</v>
      </c>
      <c r="G22" s="6">
        <f>+G24</f>
        <v>0</v>
      </c>
      <c r="H22" s="11">
        <f>+H24</f>
        <v>17600</v>
      </c>
    </row>
    <row r="23" spans="1:8" s="10" customFormat="1" ht="16.95" customHeight="1">
      <c r="A23" s="343"/>
      <c r="B23" s="279"/>
      <c r="C23" s="279"/>
      <c r="D23" s="38"/>
      <c r="E23" s="39"/>
      <c r="F23" s="18" t="s">
        <v>6</v>
      </c>
      <c r="G23" s="6"/>
      <c r="H23" s="11"/>
    </row>
    <row r="24" spans="1:8" s="10" customFormat="1" ht="18" customHeight="1">
      <c r="A24" s="343"/>
      <c r="B24" s="279"/>
      <c r="C24" s="279"/>
      <c r="D24" s="56">
        <v>1168</v>
      </c>
      <c r="E24" s="48" t="s">
        <v>156</v>
      </c>
      <c r="F24" s="48"/>
      <c r="G24" s="2">
        <f t="shared" ref="G24:H24" si="1">+G26</f>
        <v>0</v>
      </c>
      <c r="H24" s="2">
        <f t="shared" si="1"/>
        <v>17600</v>
      </c>
    </row>
    <row r="25" spans="1:8" s="10" customFormat="1" ht="16.95" customHeight="1">
      <c r="A25" s="343"/>
      <c r="B25" s="279"/>
      <c r="C25" s="279"/>
      <c r="D25" s="280"/>
      <c r="E25" s="61"/>
      <c r="F25" s="46" t="s">
        <v>6</v>
      </c>
      <c r="G25" s="2"/>
      <c r="H25" s="2"/>
    </row>
    <row r="26" spans="1:8" s="10" customFormat="1" ht="50">
      <c r="A26" s="343"/>
      <c r="B26" s="279"/>
      <c r="C26" s="279"/>
      <c r="D26" s="281"/>
      <c r="E26" s="56">
        <v>32001</v>
      </c>
      <c r="F26" s="49" t="s">
        <v>155</v>
      </c>
      <c r="G26" s="12">
        <f>+G28</f>
        <v>0</v>
      </c>
      <c r="H26" s="12">
        <f>+H28</f>
        <v>17600</v>
      </c>
    </row>
    <row r="27" spans="1:8" s="10" customFormat="1">
      <c r="A27" s="343"/>
      <c r="B27" s="279"/>
      <c r="C27" s="279"/>
      <c r="D27" s="281"/>
      <c r="E27" s="274"/>
      <c r="F27" s="46" t="s">
        <v>16</v>
      </c>
      <c r="G27" s="6"/>
      <c r="H27" s="5"/>
    </row>
    <row r="28" spans="1:8" s="13" customFormat="1" ht="36.549999999999997" customHeight="1">
      <c r="A28" s="343"/>
      <c r="B28" s="279"/>
      <c r="C28" s="279"/>
      <c r="D28" s="281"/>
      <c r="E28" s="275"/>
      <c r="F28" s="55" t="s">
        <v>171</v>
      </c>
      <c r="G28" s="40">
        <f>+G30</f>
        <v>0</v>
      </c>
      <c r="H28" s="40">
        <f>+H30</f>
        <v>17600</v>
      </c>
    </row>
    <row r="29" spans="1:8" s="10" customFormat="1" ht="53.2">
      <c r="A29" s="343"/>
      <c r="B29" s="279"/>
      <c r="C29" s="279"/>
      <c r="D29" s="281"/>
      <c r="E29" s="275"/>
      <c r="F29" s="46" t="s">
        <v>13</v>
      </c>
      <c r="G29" s="41"/>
      <c r="H29" s="5"/>
    </row>
    <row r="30" spans="1:8" s="10" customFormat="1" ht="16.95" customHeight="1">
      <c r="A30" s="343"/>
      <c r="B30" s="279"/>
      <c r="C30" s="279"/>
      <c r="D30" s="281"/>
      <c r="E30" s="275"/>
      <c r="F30" s="277" t="s">
        <v>7</v>
      </c>
      <c r="G30" s="6">
        <f t="shared" ref="G30:H30" si="2">+G31</f>
        <v>0</v>
      </c>
      <c r="H30" s="6">
        <f t="shared" si="2"/>
        <v>17600</v>
      </c>
    </row>
    <row r="31" spans="1:8" s="10" customFormat="1" ht="16.95" customHeight="1">
      <c r="A31" s="343"/>
      <c r="B31" s="279"/>
      <c r="C31" s="279"/>
      <c r="D31" s="281"/>
      <c r="E31" s="275"/>
      <c r="F31" s="18" t="s">
        <v>109</v>
      </c>
      <c r="G31" s="7">
        <f t="shared" ref="G31:H33" si="3">+G32</f>
        <v>0</v>
      </c>
      <c r="H31" s="7">
        <f t="shared" si="3"/>
        <v>17600</v>
      </c>
    </row>
    <row r="32" spans="1:8" s="10" customFormat="1">
      <c r="A32" s="343"/>
      <c r="B32" s="279"/>
      <c r="C32" s="279"/>
      <c r="D32" s="281"/>
      <c r="E32" s="275"/>
      <c r="F32" s="18" t="s">
        <v>110</v>
      </c>
      <c r="G32" s="7">
        <f>+G33</f>
        <v>0</v>
      </c>
      <c r="H32" s="7">
        <f>+H33</f>
        <v>17600</v>
      </c>
    </row>
    <row r="33" spans="1:9" s="10" customFormat="1">
      <c r="A33" s="343"/>
      <c r="B33" s="279"/>
      <c r="C33" s="279"/>
      <c r="D33" s="281"/>
      <c r="E33" s="275"/>
      <c r="F33" s="18" t="s">
        <v>68</v>
      </c>
      <c r="G33" s="7">
        <f t="shared" si="3"/>
        <v>0</v>
      </c>
      <c r="H33" s="7">
        <f t="shared" si="3"/>
        <v>17600</v>
      </c>
      <c r="I33" s="14"/>
    </row>
    <row r="34" spans="1:9" s="10" customFormat="1">
      <c r="A34" s="344"/>
      <c r="B34" s="279"/>
      <c r="C34" s="279"/>
      <c r="D34" s="281"/>
      <c r="E34" s="276"/>
      <c r="F34" s="30" t="s">
        <v>69</v>
      </c>
      <c r="G34" s="7">
        <f>+'Հավելված N 5'!E29</f>
        <v>0</v>
      </c>
      <c r="H34" s="7">
        <f>+'Հավելված N 5'!F32</f>
        <v>17600</v>
      </c>
      <c r="I34" s="15"/>
    </row>
    <row r="35" spans="1:9" s="10" customFormat="1" ht="17.600000000000001" customHeight="1">
      <c r="A35" s="346" t="s">
        <v>82</v>
      </c>
      <c r="B35" s="347"/>
      <c r="C35" s="340"/>
      <c r="D35" s="36"/>
      <c r="E35" s="31"/>
      <c r="F35" s="17" t="s">
        <v>86</v>
      </c>
      <c r="G35" s="2">
        <f>+G37+G67+G115</f>
        <v>-14874.300000000017</v>
      </c>
      <c r="H35" s="2">
        <f>+H37+H67+H115</f>
        <v>-17599.999999999884</v>
      </c>
    </row>
    <row r="36" spans="1:9" s="10" customFormat="1" ht="16.95" customHeight="1">
      <c r="A36" s="346"/>
      <c r="B36" s="347"/>
      <c r="C36" s="345"/>
      <c r="D36" s="37"/>
      <c r="E36" s="32"/>
      <c r="F36" s="18" t="s">
        <v>6</v>
      </c>
      <c r="G36" s="6"/>
      <c r="H36" s="5"/>
    </row>
    <row r="37" spans="1:9" s="10" customFormat="1" ht="33.35">
      <c r="A37" s="346"/>
      <c r="B37" s="346" t="s">
        <v>84</v>
      </c>
      <c r="C37" s="345"/>
      <c r="D37" s="58"/>
      <c r="E37" s="32"/>
      <c r="F37" s="48" t="s">
        <v>372</v>
      </c>
      <c r="G37" s="54">
        <f>+G39</f>
        <v>296707.80000000005</v>
      </c>
      <c r="H37" s="54">
        <f>+H39</f>
        <v>736220.00000000012</v>
      </c>
    </row>
    <row r="38" spans="1:9" s="10" customFormat="1" ht="16.95" customHeight="1">
      <c r="A38" s="346"/>
      <c r="B38" s="346"/>
      <c r="C38" s="341"/>
      <c r="D38" s="58"/>
      <c r="E38" s="32"/>
      <c r="F38" s="46" t="s">
        <v>6</v>
      </c>
      <c r="G38" s="54"/>
      <c r="H38" s="54"/>
    </row>
    <row r="39" spans="1:9" s="10" customFormat="1">
      <c r="A39" s="346"/>
      <c r="B39" s="346"/>
      <c r="C39" s="346" t="s">
        <v>84</v>
      </c>
      <c r="D39" s="58"/>
      <c r="E39" s="32"/>
      <c r="F39" s="48" t="s">
        <v>216</v>
      </c>
      <c r="G39" s="54">
        <f>+G41</f>
        <v>296707.80000000005</v>
      </c>
      <c r="H39" s="54">
        <f>+H41</f>
        <v>736220.00000000012</v>
      </c>
    </row>
    <row r="40" spans="1:9" s="10" customFormat="1" ht="16.95" customHeight="1">
      <c r="A40" s="346"/>
      <c r="B40" s="346"/>
      <c r="C40" s="346"/>
      <c r="D40" s="58"/>
      <c r="E40" s="32"/>
      <c r="F40" s="46" t="s">
        <v>6</v>
      </c>
      <c r="G40" s="54"/>
      <c r="H40" s="54"/>
    </row>
    <row r="41" spans="1:9" s="10" customFormat="1" ht="35.5">
      <c r="A41" s="346"/>
      <c r="B41" s="346"/>
      <c r="C41" s="346"/>
      <c r="D41" s="58"/>
      <c r="E41" s="32"/>
      <c r="F41" s="53" t="s">
        <v>12</v>
      </c>
      <c r="G41" s="54">
        <f t="shared" ref="G41:H41" si="4">+G43</f>
        <v>296707.80000000005</v>
      </c>
      <c r="H41" s="54">
        <f t="shared" si="4"/>
        <v>736220.00000000012</v>
      </c>
    </row>
    <row r="42" spans="1:9" s="10" customFormat="1" ht="16.95" customHeight="1">
      <c r="A42" s="346"/>
      <c r="B42" s="346"/>
      <c r="C42" s="346"/>
      <c r="D42" s="58"/>
      <c r="E42" s="39"/>
      <c r="F42" s="46" t="s">
        <v>6</v>
      </c>
      <c r="G42" s="54"/>
      <c r="H42" s="54"/>
    </row>
    <row r="43" spans="1:9" s="10" customFormat="1" ht="39.5" customHeight="1">
      <c r="A43" s="346"/>
      <c r="B43" s="346"/>
      <c r="C43" s="346"/>
      <c r="D43" s="120">
        <v>1236</v>
      </c>
      <c r="E43" s="336" t="s">
        <v>87</v>
      </c>
      <c r="F43" s="336"/>
      <c r="G43" s="2">
        <f t="shared" ref="G43:H43" si="5">+G45+G58</f>
        <v>296707.80000000005</v>
      </c>
      <c r="H43" s="2">
        <f t="shared" si="5"/>
        <v>736220.00000000012</v>
      </c>
    </row>
    <row r="44" spans="1:9" s="10" customFormat="1" ht="16.95" customHeight="1">
      <c r="A44" s="346"/>
      <c r="B44" s="346"/>
      <c r="C44" s="346"/>
      <c r="D44" s="348"/>
      <c r="E44" s="214"/>
      <c r="F44" s="46" t="s">
        <v>6</v>
      </c>
      <c r="G44" s="2"/>
      <c r="H44" s="2"/>
    </row>
    <row r="45" spans="1:9" s="10" customFormat="1">
      <c r="A45" s="346"/>
      <c r="B45" s="346"/>
      <c r="C45" s="346"/>
      <c r="D45" s="348"/>
      <c r="E45" s="125">
        <v>32001</v>
      </c>
      <c r="F45" s="49" t="s">
        <v>174</v>
      </c>
      <c r="G45" s="12">
        <f t="shared" ref="G45:H45" si="6">+G47</f>
        <v>544080.9</v>
      </c>
      <c r="H45" s="12">
        <f t="shared" si="6"/>
        <v>736220.00000000012</v>
      </c>
    </row>
    <row r="46" spans="1:9" s="10" customFormat="1" ht="18" customHeight="1">
      <c r="A46" s="346"/>
      <c r="B46" s="346"/>
      <c r="C46" s="346"/>
      <c r="D46" s="348"/>
      <c r="E46" s="333"/>
      <c r="F46" s="170" t="s">
        <v>16</v>
      </c>
      <c r="G46" s="6"/>
      <c r="H46" s="5"/>
    </row>
    <row r="47" spans="1:9" s="13" customFormat="1" ht="36.549999999999997" customHeight="1">
      <c r="A47" s="346"/>
      <c r="B47" s="346"/>
      <c r="C47" s="346"/>
      <c r="D47" s="348"/>
      <c r="E47" s="334"/>
      <c r="F47" s="215" t="s">
        <v>171</v>
      </c>
      <c r="G47" s="270">
        <f>+G49</f>
        <v>544080.9</v>
      </c>
      <c r="H47" s="270">
        <f>+H49</f>
        <v>736220.00000000012</v>
      </c>
    </row>
    <row r="48" spans="1:9" s="10" customFormat="1" ht="53.2">
      <c r="A48" s="346"/>
      <c r="B48" s="346"/>
      <c r="C48" s="346"/>
      <c r="D48" s="348"/>
      <c r="E48" s="334"/>
      <c r="F48" s="170" t="s">
        <v>13</v>
      </c>
      <c r="G48" s="41"/>
      <c r="H48" s="5"/>
    </row>
    <row r="49" spans="1:9" s="10" customFormat="1" ht="16.95" customHeight="1">
      <c r="A49" s="346"/>
      <c r="B49" s="346"/>
      <c r="C49" s="346"/>
      <c r="D49" s="348"/>
      <c r="E49" s="334"/>
      <c r="F49" s="216" t="s">
        <v>7</v>
      </c>
      <c r="G49" s="6">
        <f t="shared" ref="G49:H49" si="7">G50+G54</f>
        <v>544080.9</v>
      </c>
      <c r="H49" s="6">
        <f t="shared" si="7"/>
        <v>736220.00000000012</v>
      </c>
    </row>
    <row r="50" spans="1:9" s="10" customFormat="1" ht="16.95" customHeight="1">
      <c r="A50" s="346"/>
      <c r="B50" s="346"/>
      <c r="C50" s="346"/>
      <c r="D50" s="348"/>
      <c r="E50" s="334"/>
      <c r="F50" s="170" t="s">
        <v>70</v>
      </c>
      <c r="G50" s="41">
        <f t="shared" ref="G50:H52" si="8">+G51</f>
        <v>1393.2</v>
      </c>
      <c r="H50" s="7">
        <f t="shared" si="8"/>
        <v>1393.2</v>
      </c>
    </row>
    <row r="51" spans="1:9" s="10" customFormat="1" ht="35.5">
      <c r="A51" s="346"/>
      <c r="B51" s="346"/>
      <c r="C51" s="346"/>
      <c r="D51" s="348"/>
      <c r="E51" s="334"/>
      <c r="F51" s="170" t="s">
        <v>374</v>
      </c>
      <c r="G51" s="7">
        <f t="shared" si="8"/>
        <v>1393.2</v>
      </c>
      <c r="H51" s="7">
        <f t="shared" si="8"/>
        <v>1393.2</v>
      </c>
    </row>
    <row r="52" spans="1:9" s="10" customFormat="1" ht="35.5">
      <c r="A52" s="346"/>
      <c r="B52" s="346"/>
      <c r="C52" s="346"/>
      <c r="D52" s="348"/>
      <c r="E52" s="334"/>
      <c r="F52" s="127" t="s">
        <v>375</v>
      </c>
      <c r="G52" s="33">
        <f t="shared" si="8"/>
        <v>1393.2</v>
      </c>
      <c r="H52" s="33">
        <f t="shared" si="8"/>
        <v>1393.2</v>
      </c>
      <c r="I52" s="15"/>
    </row>
    <row r="53" spans="1:9" s="10" customFormat="1" ht="18" customHeight="1">
      <c r="A53" s="346"/>
      <c r="B53" s="346"/>
      <c r="C53" s="346"/>
      <c r="D53" s="348"/>
      <c r="E53" s="334"/>
      <c r="F53" s="127" t="s">
        <v>373</v>
      </c>
      <c r="G53" s="33">
        <f>+H53</f>
        <v>1393.2</v>
      </c>
      <c r="H53" s="33">
        <f>+'Հավելված N 8'!I144</f>
        <v>1393.2</v>
      </c>
      <c r="I53" s="15"/>
    </row>
    <row r="54" spans="1:9" s="10" customFormat="1" ht="16.95" customHeight="1">
      <c r="A54" s="346"/>
      <c r="B54" s="346"/>
      <c r="C54" s="346"/>
      <c r="D54" s="348"/>
      <c r="E54" s="334"/>
      <c r="F54" s="170" t="s">
        <v>109</v>
      </c>
      <c r="G54" s="41">
        <f t="shared" ref="G54:H56" si="9">+G55</f>
        <v>542687.70000000007</v>
      </c>
      <c r="H54" s="7">
        <f t="shared" si="9"/>
        <v>734826.80000000016</v>
      </c>
    </row>
    <row r="55" spans="1:9" s="10" customFormat="1" ht="18" customHeight="1">
      <c r="A55" s="346"/>
      <c r="B55" s="346"/>
      <c r="C55" s="346"/>
      <c r="D55" s="348"/>
      <c r="E55" s="334"/>
      <c r="F55" s="170" t="s">
        <v>110</v>
      </c>
      <c r="G55" s="7">
        <f t="shared" si="9"/>
        <v>542687.70000000007</v>
      </c>
      <c r="H55" s="7">
        <f t="shared" si="9"/>
        <v>734826.80000000016</v>
      </c>
    </row>
    <row r="56" spans="1:9" s="10" customFormat="1" ht="18" customHeight="1">
      <c r="A56" s="346"/>
      <c r="B56" s="346"/>
      <c r="C56" s="346"/>
      <c r="D56" s="348"/>
      <c r="E56" s="334"/>
      <c r="F56" s="170" t="s">
        <v>158</v>
      </c>
      <c r="G56" s="33">
        <f t="shared" si="9"/>
        <v>542687.70000000007</v>
      </c>
      <c r="H56" s="33">
        <f t="shared" si="9"/>
        <v>734826.80000000016</v>
      </c>
      <c r="I56" s="15"/>
    </row>
    <row r="57" spans="1:9" s="10" customFormat="1" ht="18" customHeight="1">
      <c r="A57" s="346"/>
      <c r="B57" s="346"/>
      <c r="C57" s="346"/>
      <c r="D57" s="348"/>
      <c r="E57" s="335"/>
      <c r="F57" s="217" t="s">
        <v>48</v>
      </c>
      <c r="G57" s="33">
        <f>+'Հավելված N 5'!E44</f>
        <v>542687.70000000007</v>
      </c>
      <c r="H57" s="33">
        <f>+'Հավելված N 5'!F44</f>
        <v>734826.80000000016</v>
      </c>
      <c r="I57" s="15"/>
    </row>
    <row r="58" spans="1:9" s="10" customFormat="1" ht="33.35">
      <c r="A58" s="346"/>
      <c r="B58" s="346"/>
      <c r="C58" s="346"/>
      <c r="D58" s="348"/>
      <c r="E58" s="125">
        <v>32002</v>
      </c>
      <c r="F58" s="90" t="s">
        <v>370</v>
      </c>
      <c r="G58" s="12">
        <f t="shared" ref="G58:H58" si="10">+G60</f>
        <v>-247373.1</v>
      </c>
      <c r="H58" s="12">
        <f t="shared" si="10"/>
        <v>0</v>
      </c>
    </row>
    <row r="59" spans="1:9" s="10" customFormat="1" ht="18" customHeight="1">
      <c r="A59" s="346"/>
      <c r="B59" s="346"/>
      <c r="C59" s="346"/>
      <c r="D59" s="348"/>
      <c r="E59" s="157"/>
      <c r="F59" s="170" t="s">
        <v>16</v>
      </c>
      <c r="G59" s="6"/>
      <c r="H59" s="5"/>
    </row>
    <row r="60" spans="1:9" s="13" customFormat="1" ht="36.549999999999997" customHeight="1">
      <c r="A60" s="346"/>
      <c r="B60" s="346"/>
      <c r="C60" s="346"/>
      <c r="D60" s="348"/>
      <c r="E60" s="157"/>
      <c r="F60" s="215" t="s">
        <v>27</v>
      </c>
      <c r="G60" s="40">
        <f>+G62</f>
        <v>-247373.1</v>
      </c>
      <c r="H60" s="40">
        <f>+H62</f>
        <v>0</v>
      </c>
    </row>
    <row r="61" spans="1:9" s="10" customFormat="1" ht="53.2">
      <c r="A61" s="346"/>
      <c r="B61" s="346"/>
      <c r="C61" s="346"/>
      <c r="D61" s="348"/>
      <c r="E61" s="157"/>
      <c r="F61" s="170" t="s">
        <v>13</v>
      </c>
      <c r="G61" s="41"/>
      <c r="H61" s="5"/>
    </row>
    <row r="62" spans="1:9" s="10" customFormat="1" ht="16.95" customHeight="1">
      <c r="A62" s="346"/>
      <c r="B62" s="346"/>
      <c r="C62" s="346"/>
      <c r="D62" s="348"/>
      <c r="E62" s="157"/>
      <c r="F62" s="216" t="s">
        <v>7</v>
      </c>
      <c r="G62" s="6">
        <f t="shared" ref="G62:H62" si="11">+G63</f>
        <v>-247373.1</v>
      </c>
      <c r="H62" s="6">
        <f t="shared" si="11"/>
        <v>0</v>
      </c>
    </row>
    <row r="63" spans="1:9" s="10" customFormat="1" ht="16.95" customHeight="1">
      <c r="A63" s="346"/>
      <c r="B63" s="346"/>
      <c r="C63" s="346"/>
      <c r="D63" s="348"/>
      <c r="E63" s="157"/>
      <c r="F63" s="170" t="s">
        <v>109</v>
      </c>
      <c r="G63" s="41">
        <f t="shared" ref="G63:H65" si="12">+G64</f>
        <v>-247373.1</v>
      </c>
      <c r="H63" s="7">
        <f t="shared" si="12"/>
        <v>0</v>
      </c>
    </row>
    <row r="64" spans="1:9" s="10" customFormat="1">
      <c r="A64" s="346"/>
      <c r="B64" s="346"/>
      <c r="C64" s="346"/>
      <c r="D64" s="348"/>
      <c r="E64" s="157"/>
      <c r="F64" s="170" t="s">
        <v>110</v>
      </c>
      <c r="G64" s="7">
        <f t="shared" si="12"/>
        <v>-247373.1</v>
      </c>
      <c r="H64" s="7">
        <f t="shared" si="12"/>
        <v>0</v>
      </c>
    </row>
    <row r="65" spans="1:9" s="10" customFormat="1">
      <c r="A65" s="346"/>
      <c r="B65" s="346"/>
      <c r="C65" s="346"/>
      <c r="D65" s="348"/>
      <c r="E65" s="157"/>
      <c r="F65" s="170" t="s">
        <v>158</v>
      </c>
      <c r="G65" s="33">
        <f t="shared" si="12"/>
        <v>-247373.1</v>
      </c>
      <c r="H65" s="33">
        <f t="shared" si="12"/>
        <v>0</v>
      </c>
      <c r="I65" s="15"/>
    </row>
    <row r="66" spans="1:9" s="10" customFormat="1" ht="18" customHeight="1">
      <c r="A66" s="346"/>
      <c r="B66" s="346"/>
      <c r="C66" s="346"/>
      <c r="D66" s="348"/>
      <c r="E66" s="157"/>
      <c r="F66" s="217" t="s">
        <v>97</v>
      </c>
      <c r="G66" s="33">
        <f>+'Հավելված N 5'!E67</f>
        <v>-247373.1</v>
      </c>
      <c r="H66" s="33">
        <f>+'Հավելված N 5'!F67</f>
        <v>0</v>
      </c>
      <c r="I66" s="15"/>
    </row>
    <row r="67" spans="1:9" s="10" customFormat="1">
      <c r="A67" s="346"/>
      <c r="B67" s="342" t="s">
        <v>66</v>
      </c>
      <c r="C67" s="342"/>
      <c r="D67" s="334"/>
      <c r="E67" s="333"/>
      <c r="F67" s="218" t="s">
        <v>98</v>
      </c>
      <c r="G67" s="54">
        <f>+G69</f>
        <v>-159972.00000000006</v>
      </c>
      <c r="H67" s="54">
        <f>+H69</f>
        <v>-671085.5</v>
      </c>
    </row>
    <row r="68" spans="1:9" s="10" customFormat="1" ht="16.95" customHeight="1">
      <c r="A68" s="346"/>
      <c r="B68" s="343"/>
      <c r="C68" s="344"/>
      <c r="D68" s="334"/>
      <c r="E68" s="334"/>
      <c r="F68" s="170" t="s">
        <v>6</v>
      </c>
      <c r="G68" s="54"/>
      <c r="H68" s="54"/>
    </row>
    <row r="69" spans="1:9" s="10" customFormat="1">
      <c r="A69" s="346"/>
      <c r="B69" s="343"/>
      <c r="C69" s="342" t="s">
        <v>84</v>
      </c>
      <c r="D69" s="334"/>
      <c r="E69" s="334"/>
      <c r="F69" s="48" t="s">
        <v>96</v>
      </c>
      <c r="G69" s="54">
        <f>+G71</f>
        <v>-159972.00000000006</v>
      </c>
      <c r="H69" s="54">
        <f>+H71</f>
        <v>-671085.5</v>
      </c>
    </row>
    <row r="70" spans="1:9" s="10" customFormat="1" ht="16.95" customHeight="1">
      <c r="A70" s="346"/>
      <c r="B70" s="343"/>
      <c r="C70" s="343"/>
      <c r="D70" s="334"/>
      <c r="E70" s="334"/>
      <c r="F70" s="46" t="s">
        <v>6</v>
      </c>
      <c r="G70" s="54"/>
      <c r="H70" s="54"/>
    </row>
    <row r="71" spans="1:9" s="10" customFormat="1" ht="35.5">
      <c r="A71" s="346"/>
      <c r="B71" s="343"/>
      <c r="C71" s="343"/>
      <c r="D71" s="334"/>
      <c r="E71" s="334"/>
      <c r="F71" s="53" t="s">
        <v>12</v>
      </c>
      <c r="G71" s="54">
        <f t="shared" ref="G71:H71" si="13">+G73</f>
        <v>-159972.00000000006</v>
      </c>
      <c r="H71" s="54">
        <f t="shared" si="13"/>
        <v>-671085.5</v>
      </c>
    </row>
    <row r="72" spans="1:9" s="10" customFormat="1" ht="16.95" customHeight="1">
      <c r="A72" s="346"/>
      <c r="B72" s="343"/>
      <c r="C72" s="343"/>
      <c r="D72" s="335"/>
      <c r="E72" s="335"/>
      <c r="F72" s="46" t="s">
        <v>6</v>
      </c>
      <c r="G72" s="54"/>
      <c r="H72" s="54"/>
    </row>
    <row r="73" spans="1:9" s="10" customFormat="1" ht="39.5" customHeight="1">
      <c r="A73" s="346"/>
      <c r="B73" s="343"/>
      <c r="C73" s="343"/>
      <c r="D73" s="120">
        <v>1236</v>
      </c>
      <c r="E73" s="336" t="s">
        <v>87</v>
      </c>
      <c r="F73" s="336"/>
      <c r="G73" s="2">
        <f t="shared" ref="G73:H73" si="14">+G75+G97</f>
        <v>-159972.00000000006</v>
      </c>
      <c r="H73" s="2">
        <f t="shared" si="14"/>
        <v>-671085.5</v>
      </c>
    </row>
    <row r="74" spans="1:9" s="10" customFormat="1" ht="16.95" customHeight="1">
      <c r="A74" s="346"/>
      <c r="B74" s="343"/>
      <c r="C74" s="343"/>
      <c r="D74" s="350"/>
      <c r="E74" s="61"/>
      <c r="F74" s="46" t="s">
        <v>6</v>
      </c>
      <c r="G74" s="2"/>
      <c r="H74" s="2"/>
    </row>
    <row r="75" spans="1:9" s="10" customFormat="1">
      <c r="A75" s="346"/>
      <c r="B75" s="343"/>
      <c r="C75" s="343"/>
      <c r="D75" s="351"/>
      <c r="E75" s="56">
        <v>32003</v>
      </c>
      <c r="F75" s="85" t="s">
        <v>222</v>
      </c>
      <c r="G75" s="12">
        <f>+G77+G84</f>
        <v>-446467.80000000005</v>
      </c>
      <c r="H75" s="12">
        <f>+H77+H84</f>
        <v>-939872.39999999991</v>
      </c>
    </row>
    <row r="76" spans="1:9" s="10" customFormat="1" ht="17.600000000000001" customHeight="1">
      <c r="A76" s="346"/>
      <c r="B76" s="343"/>
      <c r="C76" s="343"/>
      <c r="D76" s="351"/>
      <c r="E76" s="349"/>
      <c r="F76" s="46" t="s">
        <v>16</v>
      </c>
      <c r="G76" s="6"/>
      <c r="H76" s="5"/>
    </row>
    <row r="77" spans="1:9" s="13" customFormat="1" ht="36.549999999999997" customHeight="1">
      <c r="A77" s="346"/>
      <c r="B77" s="343"/>
      <c r="C77" s="343"/>
      <c r="D77" s="351"/>
      <c r="E77" s="349"/>
      <c r="F77" s="215" t="s">
        <v>12</v>
      </c>
      <c r="G77" s="40">
        <f>+G79</f>
        <v>0</v>
      </c>
      <c r="H77" s="40">
        <f>+H79</f>
        <v>-363095</v>
      </c>
    </row>
    <row r="78" spans="1:9" s="10" customFormat="1" ht="53.2">
      <c r="A78" s="346"/>
      <c r="B78" s="343"/>
      <c r="C78" s="343"/>
      <c r="D78" s="351"/>
      <c r="E78" s="349"/>
      <c r="F78" s="170" t="s">
        <v>13</v>
      </c>
      <c r="G78" s="41"/>
      <c r="H78" s="5"/>
    </row>
    <row r="79" spans="1:9" s="10" customFormat="1" ht="16.95" customHeight="1">
      <c r="A79" s="346"/>
      <c r="B79" s="343"/>
      <c r="C79" s="343"/>
      <c r="D79" s="351"/>
      <c r="E79" s="349"/>
      <c r="F79" s="216" t="s">
        <v>7</v>
      </c>
      <c r="G79" s="6">
        <f t="shared" ref="G79:H79" si="15">+G80</f>
        <v>0</v>
      </c>
      <c r="H79" s="6">
        <f t="shared" si="15"/>
        <v>-363095</v>
      </c>
    </row>
    <row r="80" spans="1:9" s="10" customFormat="1" ht="16.95" customHeight="1">
      <c r="A80" s="346"/>
      <c r="B80" s="343"/>
      <c r="C80" s="343"/>
      <c r="D80" s="351"/>
      <c r="E80" s="349"/>
      <c r="F80" s="170" t="s">
        <v>109</v>
      </c>
      <c r="G80" s="41">
        <f t="shared" ref="G80:H82" si="16">+G81</f>
        <v>0</v>
      </c>
      <c r="H80" s="7">
        <f t="shared" si="16"/>
        <v>-363095</v>
      </c>
    </row>
    <row r="81" spans="1:9" s="10" customFormat="1" ht="18" customHeight="1">
      <c r="A81" s="346"/>
      <c r="B81" s="343"/>
      <c r="C81" s="343"/>
      <c r="D81" s="351"/>
      <c r="E81" s="349"/>
      <c r="F81" s="170" t="s">
        <v>110</v>
      </c>
      <c r="G81" s="7">
        <f t="shared" si="16"/>
        <v>0</v>
      </c>
      <c r="H81" s="7">
        <f t="shared" si="16"/>
        <v>-363095</v>
      </c>
    </row>
    <row r="82" spans="1:9" s="10" customFormat="1" ht="18" customHeight="1">
      <c r="A82" s="346"/>
      <c r="B82" s="343"/>
      <c r="C82" s="343"/>
      <c r="D82" s="351"/>
      <c r="E82" s="349"/>
      <c r="F82" s="170" t="s">
        <v>68</v>
      </c>
      <c r="G82" s="33">
        <f t="shared" si="16"/>
        <v>0</v>
      </c>
      <c r="H82" s="33">
        <f t="shared" si="16"/>
        <v>-363095</v>
      </c>
      <c r="I82" s="15"/>
    </row>
    <row r="83" spans="1:9" s="10" customFormat="1" ht="18" customHeight="1">
      <c r="A83" s="346"/>
      <c r="B83" s="343"/>
      <c r="C83" s="343"/>
      <c r="D83" s="351"/>
      <c r="E83" s="349"/>
      <c r="F83" s="217" t="s">
        <v>69</v>
      </c>
      <c r="G83" s="33">
        <f>+'Հավելված N 5'!E72</f>
        <v>0</v>
      </c>
      <c r="H83" s="33">
        <f>+'Հավելված N 5'!F72</f>
        <v>-363095</v>
      </c>
      <c r="I83" s="15"/>
    </row>
    <row r="84" spans="1:9" s="13" customFormat="1" ht="36.549999999999997" customHeight="1">
      <c r="A84" s="346"/>
      <c r="B84" s="343"/>
      <c r="C84" s="343"/>
      <c r="D84" s="351"/>
      <c r="E84" s="349"/>
      <c r="F84" s="215" t="s">
        <v>171</v>
      </c>
      <c r="G84" s="40">
        <f>+G86</f>
        <v>-446467.80000000005</v>
      </c>
      <c r="H84" s="40">
        <f>+H86</f>
        <v>-576777.39999999991</v>
      </c>
    </row>
    <row r="85" spans="1:9" s="10" customFormat="1" ht="53.2">
      <c r="A85" s="346"/>
      <c r="B85" s="343"/>
      <c r="C85" s="343"/>
      <c r="D85" s="351"/>
      <c r="E85" s="349"/>
      <c r="F85" s="170" t="s">
        <v>13</v>
      </c>
      <c r="G85" s="41"/>
      <c r="H85" s="5"/>
    </row>
    <row r="86" spans="1:9" s="10" customFormat="1" ht="16.95" customHeight="1">
      <c r="A86" s="346"/>
      <c r="B86" s="343"/>
      <c r="C86" s="343"/>
      <c r="D86" s="351"/>
      <c r="E86" s="349"/>
      <c r="F86" s="216" t="s">
        <v>7</v>
      </c>
      <c r="G86" s="6">
        <f t="shared" ref="G86" si="17">G87+G91</f>
        <v>-446467.80000000005</v>
      </c>
      <c r="H86" s="6">
        <f t="shared" ref="H86" si="18">H87+H91</f>
        <v>-576777.39999999991</v>
      </c>
    </row>
    <row r="87" spans="1:9" s="10" customFormat="1" ht="16.95" customHeight="1">
      <c r="A87" s="346"/>
      <c r="B87" s="343"/>
      <c r="C87" s="343"/>
      <c r="D87" s="351"/>
      <c r="E87" s="349"/>
      <c r="F87" s="170" t="s">
        <v>70</v>
      </c>
      <c r="G87" s="41">
        <f t="shared" ref="G87:H89" si="19">+G88</f>
        <v>981.30000000000007</v>
      </c>
      <c r="H87" s="7">
        <f t="shared" si="19"/>
        <v>981.30000000000007</v>
      </c>
    </row>
    <row r="88" spans="1:9" s="10" customFormat="1" ht="35.5">
      <c r="A88" s="346"/>
      <c r="B88" s="343"/>
      <c r="C88" s="343"/>
      <c r="D88" s="351"/>
      <c r="E88" s="349"/>
      <c r="F88" s="170" t="s">
        <v>374</v>
      </c>
      <c r="G88" s="7">
        <f t="shared" si="19"/>
        <v>981.30000000000007</v>
      </c>
      <c r="H88" s="7">
        <f t="shared" si="19"/>
        <v>981.30000000000007</v>
      </c>
    </row>
    <row r="89" spans="1:9" s="10" customFormat="1" ht="35.5">
      <c r="A89" s="346"/>
      <c r="B89" s="343"/>
      <c r="C89" s="343"/>
      <c r="D89" s="351"/>
      <c r="E89" s="349"/>
      <c r="F89" s="127" t="s">
        <v>375</v>
      </c>
      <c r="G89" s="33">
        <f t="shared" si="19"/>
        <v>981.30000000000007</v>
      </c>
      <c r="H89" s="33">
        <f t="shared" si="19"/>
        <v>981.30000000000007</v>
      </c>
      <c r="I89" s="15"/>
    </row>
    <row r="90" spans="1:9" s="10" customFormat="1" ht="18" customHeight="1">
      <c r="A90" s="346"/>
      <c r="B90" s="343"/>
      <c r="C90" s="343"/>
      <c r="D90" s="351"/>
      <c r="E90" s="349"/>
      <c r="F90" s="127" t="s">
        <v>373</v>
      </c>
      <c r="G90" s="33">
        <f>+H90</f>
        <v>981.30000000000007</v>
      </c>
      <c r="H90" s="33">
        <f>+'Հավելված N 8'!I183</f>
        <v>981.30000000000007</v>
      </c>
      <c r="I90" s="15"/>
    </row>
    <row r="91" spans="1:9" s="10" customFormat="1" ht="16.95" customHeight="1">
      <c r="A91" s="346"/>
      <c r="B91" s="343"/>
      <c r="C91" s="343"/>
      <c r="D91" s="351"/>
      <c r="E91" s="349"/>
      <c r="F91" s="170" t="s">
        <v>109</v>
      </c>
      <c r="G91" s="41">
        <f t="shared" ref="G91:H95" si="20">+G92</f>
        <v>-447449.10000000003</v>
      </c>
      <c r="H91" s="7">
        <f t="shared" si="20"/>
        <v>-577758.69999999995</v>
      </c>
    </row>
    <row r="92" spans="1:9" s="10" customFormat="1" ht="18" customHeight="1">
      <c r="A92" s="346"/>
      <c r="B92" s="343"/>
      <c r="C92" s="343"/>
      <c r="D92" s="351"/>
      <c r="E92" s="349"/>
      <c r="F92" s="170" t="s">
        <v>110</v>
      </c>
      <c r="G92" s="7">
        <f t="shared" ref="G92:H92" si="21">+G93+G95</f>
        <v>-447449.10000000003</v>
      </c>
      <c r="H92" s="7">
        <f t="shared" si="21"/>
        <v>-577758.69999999995</v>
      </c>
    </row>
    <row r="93" spans="1:9" s="10" customFormat="1" ht="18" customHeight="1">
      <c r="A93" s="346"/>
      <c r="B93" s="343"/>
      <c r="C93" s="343"/>
      <c r="D93" s="351"/>
      <c r="E93" s="349"/>
      <c r="F93" s="170" t="s">
        <v>158</v>
      </c>
      <c r="G93" s="33">
        <f t="shared" si="20"/>
        <v>-450949.10000000003</v>
      </c>
      <c r="H93" s="33">
        <f t="shared" si="20"/>
        <v>-612534.69999999995</v>
      </c>
      <c r="I93" s="15"/>
    </row>
    <row r="94" spans="1:9" s="10" customFormat="1" ht="18" customHeight="1">
      <c r="A94" s="346"/>
      <c r="B94" s="343"/>
      <c r="C94" s="343"/>
      <c r="D94" s="351"/>
      <c r="E94" s="349"/>
      <c r="F94" s="217" t="s">
        <v>48</v>
      </c>
      <c r="G94" s="33">
        <f>+'Հավելված N 5'!E77-5000+'Հավելված N 5'!E100+'Հավելված N 5'!E102+'Հավելված N 5'!E104</f>
        <v>-450949.10000000003</v>
      </c>
      <c r="H94" s="33">
        <f>+'Հավելված N 5'!F77-5000+'Հավելված N 5'!F100+'Հավելված N 5'!F102+'Հավելված N 5'!F104</f>
        <v>-612534.69999999995</v>
      </c>
      <c r="I94" s="15"/>
    </row>
    <row r="95" spans="1:9" s="10" customFormat="1" ht="18" customHeight="1">
      <c r="A95" s="346"/>
      <c r="B95" s="343"/>
      <c r="C95" s="343"/>
      <c r="D95" s="351"/>
      <c r="E95" s="349"/>
      <c r="F95" s="170" t="s">
        <v>68</v>
      </c>
      <c r="G95" s="33">
        <f t="shared" si="20"/>
        <v>3500</v>
      </c>
      <c r="H95" s="33">
        <f t="shared" si="20"/>
        <v>34776</v>
      </c>
      <c r="I95" s="15"/>
    </row>
    <row r="96" spans="1:9" s="10" customFormat="1" ht="18" customHeight="1">
      <c r="A96" s="346"/>
      <c r="B96" s="343"/>
      <c r="C96" s="343"/>
      <c r="D96" s="351"/>
      <c r="E96" s="349"/>
      <c r="F96" s="217" t="s">
        <v>69</v>
      </c>
      <c r="G96" s="33">
        <f>+'Հավելված N 5'!E75+5000+'Հավելված N 5'!E78+'Հավելված N 5'!E79+'Հավելված N 5'!E80+'Հավելված N 5'!E81+'Հավելված N 5'!E82+'Հավելված N 5'!E84+'Հավելված N 5'!E86+'Հավելված N 5'!E87+'Հավելված N 5'!E88+'Հավելված N 5'!E89+'Հավելված N 5'!E90+'Հավելված N 5'!E91+'Հավելված N 5'!E92+'Հավելված N 5'!E93+'Հավելված N 5'!E95+'Հավելված N 5'!E96+'Հավելված N 5'!E98+'Հավելված N 5'!E106</f>
        <v>3500</v>
      </c>
      <c r="H96" s="33">
        <f>+'Հավելված N 5'!F75+5000+'Հավելված N 5'!F78+'Հավելված N 5'!F79+'Հավելված N 5'!F80+'Հավելված N 5'!F81+'Հավելված N 5'!F82+'Հավելված N 5'!F84+'Հավելված N 5'!F86+'Հավելված N 5'!F87+'Հավելված N 5'!F88+'Հավելված N 5'!F89+'Հավելված N 5'!F90+'Հավելված N 5'!F91+'Հավելված N 5'!F92+'Հավելված N 5'!F93+'Հավելված N 5'!F95+'Հավելված N 5'!F96+'Հավելված N 5'!F98+'Հավելված N 5'!F106</f>
        <v>34776</v>
      </c>
      <c r="I96" s="15"/>
    </row>
    <row r="97" spans="1:9" s="10" customFormat="1">
      <c r="A97" s="346"/>
      <c r="B97" s="343"/>
      <c r="C97" s="343"/>
      <c r="D97" s="351"/>
      <c r="E97" s="56">
        <v>32005</v>
      </c>
      <c r="F97" s="90" t="s">
        <v>271</v>
      </c>
      <c r="G97" s="12">
        <f t="shared" ref="G97:H97" si="22">+G99+G106</f>
        <v>286495.8</v>
      </c>
      <c r="H97" s="12">
        <f t="shared" si="22"/>
        <v>268786.89999999997</v>
      </c>
    </row>
    <row r="98" spans="1:9" s="10" customFormat="1" ht="18" customHeight="1">
      <c r="A98" s="346"/>
      <c r="B98" s="343"/>
      <c r="C98" s="343"/>
      <c r="D98" s="351"/>
      <c r="E98" s="349"/>
      <c r="F98" s="46" t="s">
        <v>16</v>
      </c>
      <c r="G98" s="6"/>
      <c r="H98" s="5"/>
    </row>
    <row r="99" spans="1:9" s="13" customFormat="1" ht="36.549999999999997" customHeight="1">
      <c r="A99" s="346"/>
      <c r="B99" s="343"/>
      <c r="C99" s="343"/>
      <c r="D99" s="351"/>
      <c r="E99" s="349"/>
      <c r="F99" s="215" t="s">
        <v>12</v>
      </c>
      <c r="G99" s="40">
        <f>+G101</f>
        <v>0</v>
      </c>
      <c r="H99" s="40">
        <f>+H101</f>
        <v>-39600</v>
      </c>
    </row>
    <row r="100" spans="1:9" s="10" customFormat="1" ht="53.2">
      <c r="A100" s="346"/>
      <c r="B100" s="343"/>
      <c r="C100" s="343"/>
      <c r="D100" s="351"/>
      <c r="E100" s="349"/>
      <c r="F100" s="170" t="s">
        <v>13</v>
      </c>
      <c r="G100" s="41"/>
      <c r="H100" s="5"/>
    </row>
    <row r="101" spans="1:9" s="10" customFormat="1" ht="16.95" customHeight="1">
      <c r="A101" s="346"/>
      <c r="B101" s="343"/>
      <c r="C101" s="343"/>
      <c r="D101" s="351"/>
      <c r="E101" s="349"/>
      <c r="F101" s="216" t="s">
        <v>7</v>
      </c>
      <c r="G101" s="6">
        <f t="shared" ref="G101" si="23">+G102</f>
        <v>0</v>
      </c>
      <c r="H101" s="6">
        <f t="shared" ref="H101" si="24">+H102</f>
        <v>-39600</v>
      </c>
    </row>
    <row r="102" spans="1:9" s="10" customFormat="1" ht="16.95" customHeight="1">
      <c r="A102" s="346"/>
      <c r="B102" s="343"/>
      <c r="C102" s="343"/>
      <c r="D102" s="351"/>
      <c r="E102" s="349"/>
      <c r="F102" s="170" t="s">
        <v>109</v>
      </c>
      <c r="G102" s="7">
        <f t="shared" ref="G102:H104" si="25">+G103</f>
        <v>0</v>
      </c>
      <c r="H102" s="7">
        <f t="shared" si="25"/>
        <v>-39600</v>
      </c>
    </row>
    <row r="103" spans="1:9" s="10" customFormat="1" ht="18" customHeight="1">
      <c r="A103" s="346"/>
      <c r="B103" s="343"/>
      <c r="C103" s="343"/>
      <c r="D103" s="351"/>
      <c r="E103" s="349"/>
      <c r="F103" s="170" t="s">
        <v>110</v>
      </c>
      <c r="G103" s="7">
        <f t="shared" si="25"/>
        <v>0</v>
      </c>
      <c r="H103" s="7">
        <f t="shared" si="25"/>
        <v>-39600</v>
      </c>
    </row>
    <row r="104" spans="1:9" s="10" customFormat="1" ht="18" customHeight="1">
      <c r="A104" s="346"/>
      <c r="B104" s="343"/>
      <c r="C104" s="343"/>
      <c r="D104" s="351"/>
      <c r="E104" s="349"/>
      <c r="F104" s="170" t="s">
        <v>68</v>
      </c>
      <c r="G104" s="33">
        <f t="shared" si="25"/>
        <v>0</v>
      </c>
      <c r="H104" s="33">
        <f t="shared" si="25"/>
        <v>-39600</v>
      </c>
      <c r="I104" s="15"/>
    </row>
    <row r="105" spans="1:9" s="10" customFormat="1" ht="18" customHeight="1">
      <c r="A105" s="346"/>
      <c r="B105" s="343"/>
      <c r="C105" s="343"/>
      <c r="D105" s="351"/>
      <c r="E105" s="349"/>
      <c r="F105" s="217" t="s">
        <v>69</v>
      </c>
      <c r="G105" s="33">
        <f>+'Հավելված N 5'!E119</f>
        <v>0</v>
      </c>
      <c r="H105" s="33">
        <f>+'Հավելված N 5'!F119</f>
        <v>-39600</v>
      </c>
      <c r="I105" s="15"/>
    </row>
    <row r="106" spans="1:9" s="13" customFormat="1" ht="36.549999999999997" customHeight="1">
      <c r="A106" s="346"/>
      <c r="B106" s="343"/>
      <c r="C106" s="343"/>
      <c r="D106" s="351"/>
      <c r="E106" s="349"/>
      <c r="F106" s="215" t="s">
        <v>171</v>
      </c>
      <c r="G106" s="40">
        <f>+G108</f>
        <v>286495.8</v>
      </c>
      <c r="H106" s="40">
        <f>+H108</f>
        <v>308386.89999999997</v>
      </c>
    </row>
    <row r="107" spans="1:9" s="10" customFormat="1" ht="53.2">
      <c r="A107" s="346"/>
      <c r="B107" s="343"/>
      <c r="C107" s="343"/>
      <c r="D107" s="351"/>
      <c r="E107" s="349"/>
      <c r="F107" s="170" t="s">
        <v>13</v>
      </c>
      <c r="G107" s="41"/>
      <c r="H107" s="5"/>
    </row>
    <row r="108" spans="1:9" s="10" customFormat="1" ht="16.95" customHeight="1">
      <c r="A108" s="346"/>
      <c r="B108" s="343"/>
      <c r="C108" s="343"/>
      <c r="D108" s="351"/>
      <c r="E108" s="349"/>
      <c r="F108" s="216" t="s">
        <v>7</v>
      </c>
      <c r="G108" s="6">
        <f t="shared" ref="G108" si="26">+G109</f>
        <v>286495.8</v>
      </c>
      <c r="H108" s="6">
        <f t="shared" ref="H108" si="27">+H109</f>
        <v>308386.89999999997</v>
      </c>
    </row>
    <row r="109" spans="1:9" s="10" customFormat="1" ht="16.95" customHeight="1">
      <c r="A109" s="346"/>
      <c r="B109" s="343"/>
      <c r="C109" s="343"/>
      <c r="D109" s="351"/>
      <c r="E109" s="349"/>
      <c r="F109" s="170" t="s">
        <v>109</v>
      </c>
      <c r="G109" s="41">
        <f t="shared" ref="G109:H113" si="28">+G110</f>
        <v>286495.8</v>
      </c>
      <c r="H109" s="7">
        <f t="shared" si="28"/>
        <v>308386.89999999997</v>
      </c>
    </row>
    <row r="110" spans="1:9" s="10" customFormat="1" ht="18" customHeight="1">
      <c r="A110" s="346"/>
      <c r="B110" s="343"/>
      <c r="C110" s="343"/>
      <c r="D110" s="351"/>
      <c r="E110" s="349"/>
      <c r="F110" s="170" t="s">
        <v>110</v>
      </c>
      <c r="G110" s="7">
        <f t="shared" ref="G110:H110" si="29">+G111+G113</f>
        <v>286495.8</v>
      </c>
      <c r="H110" s="7">
        <f t="shared" si="29"/>
        <v>308386.89999999997</v>
      </c>
    </row>
    <row r="111" spans="1:9" s="10" customFormat="1" ht="18" customHeight="1">
      <c r="A111" s="346"/>
      <c r="B111" s="343"/>
      <c r="C111" s="343"/>
      <c r="D111" s="351"/>
      <c r="E111" s="349"/>
      <c r="F111" s="170" t="s">
        <v>158</v>
      </c>
      <c r="G111" s="33">
        <f t="shared" si="28"/>
        <v>288495.8</v>
      </c>
      <c r="H111" s="33">
        <f t="shared" si="28"/>
        <v>310386.89999999997</v>
      </c>
      <c r="I111" s="15"/>
    </row>
    <row r="112" spans="1:9" s="10" customFormat="1" ht="18" customHeight="1">
      <c r="A112" s="346"/>
      <c r="B112" s="343"/>
      <c r="C112" s="343"/>
      <c r="D112" s="351"/>
      <c r="E112" s="349"/>
      <c r="F112" s="217" t="s">
        <v>48</v>
      </c>
      <c r="G112" s="33">
        <f>+'Հավելված N 5'!E112+500</f>
        <v>288495.8</v>
      </c>
      <c r="H112" s="33">
        <f>+'Հավելված N 5'!F112+500</f>
        <v>310386.89999999997</v>
      </c>
      <c r="I112" s="15"/>
    </row>
    <row r="113" spans="1:9" s="10" customFormat="1" ht="18" customHeight="1">
      <c r="A113" s="346"/>
      <c r="B113" s="343"/>
      <c r="C113" s="343"/>
      <c r="D113" s="351"/>
      <c r="E113" s="349"/>
      <c r="F113" s="170" t="s">
        <v>68</v>
      </c>
      <c r="G113" s="33">
        <f t="shared" si="28"/>
        <v>-2000</v>
      </c>
      <c r="H113" s="33">
        <f t="shared" si="28"/>
        <v>-2000</v>
      </c>
      <c r="I113" s="15"/>
    </row>
    <row r="114" spans="1:9" s="10" customFormat="1" ht="18" customHeight="1">
      <c r="A114" s="346"/>
      <c r="B114" s="344"/>
      <c r="C114" s="344"/>
      <c r="D114" s="352"/>
      <c r="E114" s="349"/>
      <c r="F114" s="217" t="s">
        <v>69</v>
      </c>
      <c r="G114" s="33">
        <f>-500+'Հավելված N 5'!E114+'Հավելված N 5'!E116+'Հավելված N 5'!E118</f>
        <v>-2000</v>
      </c>
      <c r="H114" s="33">
        <f>-500+'Հավելված N 5'!F114+'Հավելված N 5'!F116+'Հավելված N 5'!F118</f>
        <v>-2000</v>
      </c>
      <c r="I114" s="15"/>
    </row>
    <row r="115" spans="1:9" s="10" customFormat="1">
      <c r="A115" s="346"/>
      <c r="B115" s="346" t="s">
        <v>83</v>
      </c>
      <c r="C115" s="347"/>
      <c r="D115" s="37"/>
      <c r="E115" s="32"/>
      <c r="F115" s="50" t="s">
        <v>85</v>
      </c>
      <c r="G115" s="6">
        <f>+G117</f>
        <v>-151610.1</v>
      </c>
      <c r="H115" s="6">
        <f>+H117</f>
        <v>-82734.5</v>
      </c>
    </row>
    <row r="116" spans="1:9" s="10" customFormat="1" ht="16.95" customHeight="1">
      <c r="A116" s="346"/>
      <c r="B116" s="346"/>
      <c r="C116" s="347"/>
      <c r="D116" s="37"/>
      <c r="E116" s="32"/>
      <c r="F116" s="18" t="s">
        <v>6</v>
      </c>
      <c r="G116" s="6"/>
      <c r="H116" s="5"/>
    </row>
    <row r="117" spans="1:9" s="10" customFormat="1">
      <c r="A117" s="346"/>
      <c r="B117" s="346"/>
      <c r="C117" s="346" t="s">
        <v>84</v>
      </c>
      <c r="D117" s="37"/>
      <c r="E117" s="32"/>
      <c r="F117" s="17" t="s">
        <v>85</v>
      </c>
      <c r="G117" s="6">
        <f>+G119</f>
        <v>-151610.1</v>
      </c>
      <c r="H117" s="6">
        <f>+H119</f>
        <v>-82734.5</v>
      </c>
    </row>
    <row r="118" spans="1:9" s="10" customFormat="1" ht="16.95" customHeight="1">
      <c r="A118" s="346"/>
      <c r="B118" s="346"/>
      <c r="C118" s="346"/>
      <c r="D118" s="37"/>
      <c r="E118" s="32"/>
      <c r="F118" s="18" t="s">
        <v>6</v>
      </c>
      <c r="G118" s="6"/>
      <c r="H118" s="11"/>
    </row>
    <row r="119" spans="1:9" s="10" customFormat="1" ht="35.5">
      <c r="A119" s="346"/>
      <c r="B119" s="346"/>
      <c r="C119" s="346"/>
      <c r="D119" s="37"/>
      <c r="E119" s="32"/>
      <c r="F119" s="19" t="s">
        <v>12</v>
      </c>
      <c r="G119" s="6">
        <f>+G121+G134+G145</f>
        <v>-151610.1</v>
      </c>
      <c r="H119" s="6">
        <f>+H121+H134+H145</f>
        <v>-82734.5</v>
      </c>
    </row>
    <row r="120" spans="1:9" s="10" customFormat="1" ht="16.95" customHeight="1">
      <c r="A120" s="346"/>
      <c r="B120" s="346"/>
      <c r="C120" s="346"/>
      <c r="D120" s="38"/>
      <c r="E120" s="39"/>
      <c r="F120" s="18" t="s">
        <v>6</v>
      </c>
      <c r="G120" s="6"/>
      <c r="H120" s="6"/>
    </row>
    <row r="121" spans="1:9" s="10" customFormat="1">
      <c r="A121" s="346"/>
      <c r="B121" s="346"/>
      <c r="C121" s="346"/>
      <c r="D121" s="120">
        <v>1045</v>
      </c>
      <c r="E121" s="355" t="s">
        <v>112</v>
      </c>
      <c r="F121" s="355"/>
      <c r="G121" s="2">
        <f t="shared" ref="G121:H121" si="30">+G123</f>
        <v>-84576.900000000009</v>
      </c>
      <c r="H121" s="2">
        <f t="shared" si="30"/>
        <v>-130775.9</v>
      </c>
    </row>
    <row r="122" spans="1:9" s="10" customFormat="1" ht="16.95" customHeight="1">
      <c r="A122" s="346"/>
      <c r="B122" s="346"/>
      <c r="C122" s="346"/>
      <c r="D122" s="88"/>
      <c r="E122" s="20"/>
      <c r="F122" s="18" t="s">
        <v>6</v>
      </c>
      <c r="G122" s="2"/>
      <c r="H122" s="2"/>
    </row>
    <row r="123" spans="1:9" s="10" customFormat="1" ht="33.35">
      <c r="A123" s="346"/>
      <c r="B123" s="346"/>
      <c r="C123" s="346"/>
      <c r="D123" s="58"/>
      <c r="E123" s="25">
        <v>32005</v>
      </c>
      <c r="F123" s="90" t="s">
        <v>296</v>
      </c>
      <c r="G123" s="12">
        <f>+G125</f>
        <v>-84576.900000000009</v>
      </c>
      <c r="H123" s="12">
        <f>+H125</f>
        <v>-130775.9</v>
      </c>
    </row>
    <row r="124" spans="1:9" s="10" customFormat="1">
      <c r="A124" s="346"/>
      <c r="B124" s="346"/>
      <c r="C124" s="346"/>
      <c r="D124" s="58"/>
      <c r="E124" s="353"/>
      <c r="F124" s="18" t="s">
        <v>16</v>
      </c>
      <c r="G124" s="6"/>
      <c r="H124" s="5"/>
    </row>
    <row r="125" spans="1:9" s="13" customFormat="1" ht="36.549999999999997" customHeight="1">
      <c r="A125" s="346"/>
      <c r="B125" s="346"/>
      <c r="C125" s="346"/>
      <c r="D125" s="58"/>
      <c r="E125" s="354"/>
      <c r="F125" s="21" t="s">
        <v>171</v>
      </c>
      <c r="G125" s="40">
        <f>+G127</f>
        <v>-84576.900000000009</v>
      </c>
      <c r="H125" s="40">
        <f>+H127</f>
        <v>-130775.9</v>
      </c>
    </row>
    <row r="126" spans="1:9" s="10" customFormat="1" ht="53.2">
      <c r="A126" s="346"/>
      <c r="B126" s="346"/>
      <c r="C126" s="346"/>
      <c r="D126" s="58"/>
      <c r="E126" s="354"/>
      <c r="F126" s="18" t="s">
        <v>13</v>
      </c>
      <c r="G126" s="41"/>
      <c r="H126" s="5"/>
    </row>
    <row r="127" spans="1:9" s="10" customFormat="1" ht="16.95" customHeight="1">
      <c r="A127" s="346"/>
      <c r="B127" s="346"/>
      <c r="C127" s="346"/>
      <c r="D127" s="58"/>
      <c r="E127" s="354"/>
      <c r="F127" s="122" t="s">
        <v>7</v>
      </c>
      <c r="G127" s="6">
        <f>G128</f>
        <v>-84576.900000000009</v>
      </c>
      <c r="H127" s="6">
        <f>H128</f>
        <v>-130775.9</v>
      </c>
    </row>
    <row r="128" spans="1:9" s="10" customFormat="1" ht="16.95" customHeight="1">
      <c r="A128" s="346"/>
      <c r="B128" s="346"/>
      <c r="C128" s="346"/>
      <c r="D128" s="58"/>
      <c r="E128" s="354"/>
      <c r="F128" s="46" t="s">
        <v>57</v>
      </c>
      <c r="G128" s="41">
        <f t="shared" ref="G128:H132" si="31">+G129</f>
        <v>-84576.900000000009</v>
      </c>
      <c r="H128" s="7">
        <f t="shared" si="31"/>
        <v>-130775.9</v>
      </c>
    </row>
    <row r="129" spans="1:9" s="10" customFormat="1">
      <c r="A129" s="346"/>
      <c r="B129" s="346"/>
      <c r="C129" s="346"/>
      <c r="D129" s="58"/>
      <c r="E129" s="354"/>
      <c r="F129" s="46" t="s">
        <v>58</v>
      </c>
      <c r="G129" s="7">
        <f t="shared" ref="G129:H129" si="32">+G130+G132</f>
        <v>-84576.900000000009</v>
      </c>
      <c r="H129" s="7">
        <f t="shared" si="32"/>
        <v>-130775.9</v>
      </c>
    </row>
    <row r="130" spans="1:9" s="10" customFormat="1">
      <c r="A130" s="346"/>
      <c r="B130" s="346"/>
      <c r="C130" s="346"/>
      <c r="D130" s="58"/>
      <c r="E130" s="354"/>
      <c r="F130" s="89" t="s">
        <v>59</v>
      </c>
      <c r="G130" s="33">
        <f t="shared" si="31"/>
        <v>-39232.80000000001</v>
      </c>
      <c r="H130" s="33">
        <f t="shared" si="31"/>
        <v>-130775.9</v>
      </c>
      <c r="I130" s="15"/>
    </row>
    <row r="131" spans="1:9" s="10" customFormat="1">
      <c r="A131" s="346"/>
      <c r="B131" s="346"/>
      <c r="C131" s="346"/>
      <c r="D131" s="58"/>
      <c r="E131" s="354"/>
      <c r="F131" s="89" t="s">
        <v>48</v>
      </c>
      <c r="G131" s="33">
        <f>+'Հավելված N 5'!E15+45344.1</f>
        <v>-39232.80000000001</v>
      </c>
      <c r="H131" s="33">
        <f>+'Հավելված N 5'!F15</f>
        <v>-130775.9</v>
      </c>
      <c r="I131" s="15"/>
    </row>
    <row r="132" spans="1:9" s="10" customFormat="1">
      <c r="A132" s="346"/>
      <c r="B132" s="346"/>
      <c r="C132" s="346"/>
      <c r="D132" s="58"/>
      <c r="E132" s="158"/>
      <c r="F132" s="89" t="s">
        <v>376</v>
      </c>
      <c r="G132" s="33">
        <f t="shared" si="31"/>
        <v>-45344.1</v>
      </c>
      <c r="H132" s="33">
        <f t="shared" si="31"/>
        <v>0</v>
      </c>
      <c r="I132" s="15"/>
    </row>
    <row r="133" spans="1:9" s="10" customFormat="1">
      <c r="A133" s="346"/>
      <c r="B133" s="346"/>
      <c r="C133" s="346"/>
      <c r="D133" s="58"/>
      <c r="E133" s="158"/>
      <c r="F133" s="89" t="s">
        <v>69</v>
      </c>
      <c r="G133" s="33">
        <v>-45344.1</v>
      </c>
      <c r="H133" s="33">
        <v>0</v>
      </c>
      <c r="I133" s="15"/>
    </row>
    <row r="134" spans="1:9" s="10" customFormat="1">
      <c r="A134" s="346"/>
      <c r="B134" s="346"/>
      <c r="C134" s="346"/>
      <c r="D134" s="120">
        <v>1163</v>
      </c>
      <c r="E134" s="355" t="s">
        <v>157</v>
      </c>
      <c r="F134" s="355"/>
      <c r="G134" s="2">
        <f t="shared" ref="G134:H134" si="33">+G136</f>
        <v>-115074.6</v>
      </c>
      <c r="H134" s="2">
        <f t="shared" si="33"/>
        <v>0</v>
      </c>
    </row>
    <row r="135" spans="1:9" s="10" customFormat="1" ht="16.95" customHeight="1">
      <c r="A135" s="346"/>
      <c r="B135" s="346"/>
      <c r="C135" s="346"/>
      <c r="D135" s="58"/>
      <c r="E135" s="20"/>
      <c r="F135" s="18" t="s">
        <v>6</v>
      </c>
      <c r="G135" s="2"/>
      <c r="H135" s="2"/>
    </row>
    <row r="136" spans="1:9" s="10" customFormat="1">
      <c r="A136" s="346"/>
      <c r="B136" s="346"/>
      <c r="C136" s="346"/>
      <c r="D136" s="58"/>
      <c r="E136" s="25">
        <v>32001</v>
      </c>
      <c r="F136" s="90" t="s">
        <v>280</v>
      </c>
      <c r="G136" s="12">
        <f>+G138</f>
        <v>-115074.6</v>
      </c>
      <c r="H136" s="12">
        <f>+H138</f>
        <v>0</v>
      </c>
    </row>
    <row r="137" spans="1:9" s="10" customFormat="1">
      <c r="A137" s="346"/>
      <c r="B137" s="346"/>
      <c r="C137" s="346"/>
      <c r="D137" s="58"/>
      <c r="E137" s="353"/>
      <c r="F137" s="18" t="s">
        <v>16</v>
      </c>
      <c r="G137" s="6"/>
      <c r="H137" s="5"/>
    </row>
    <row r="138" spans="1:9" s="13" customFormat="1" ht="36.549999999999997" customHeight="1">
      <c r="A138" s="346"/>
      <c r="B138" s="346"/>
      <c r="C138" s="346"/>
      <c r="D138" s="58"/>
      <c r="E138" s="354"/>
      <c r="F138" s="21" t="s">
        <v>171</v>
      </c>
      <c r="G138" s="40">
        <f>+G140</f>
        <v>-115074.6</v>
      </c>
      <c r="H138" s="40">
        <f>+H140</f>
        <v>0</v>
      </c>
    </row>
    <row r="139" spans="1:9" s="10" customFormat="1" ht="53.2">
      <c r="A139" s="346"/>
      <c r="B139" s="346"/>
      <c r="C139" s="346"/>
      <c r="D139" s="58"/>
      <c r="E139" s="354"/>
      <c r="F139" s="18" t="s">
        <v>13</v>
      </c>
      <c r="G139" s="41"/>
      <c r="H139" s="5"/>
    </row>
    <row r="140" spans="1:9" s="10" customFormat="1" ht="16.95" customHeight="1">
      <c r="A140" s="346"/>
      <c r="B140" s="346"/>
      <c r="C140" s="346"/>
      <c r="D140" s="58"/>
      <c r="E140" s="354"/>
      <c r="F140" s="122" t="s">
        <v>7</v>
      </c>
      <c r="G140" s="6">
        <f>G141</f>
        <v>-115074.6</v>
      </c>
      <c r="H140" s="6">
        <f>H141</f>
        <v>0</v>
      </c>
    </row>
    <row r="141" spans="1:9" s="10" customFormat="1" ht="16.95" customHeight="1">
      <c r="A141" s="346"/>
      <c r="B141" s="346"/>
      <c r="C141" s="346"/>
      <c r="D141" s="58"/>
      <c r="E141" s="354"/>
      <c r="F141" s="46" t="s">
        <v>57</v>
      </c>
      <c r="G141" s="7">
        <f t="shared" ref="G141:H143" si="34">+G142</f>
        <v>-115074.6</v>
      </c>
      <c r="H141" s="7">
        <f t="shared" si="34"/>
        <v>0</v>
      </c>
    </row>
    <row r="142" spans="1:9" s="10" customFormat="1">
      <c r="A142" s="346"/>
      <c r="B142" s="346"/>
      <c r="C142" s="346"/>
      <c r="D142" s="58"/>
      <c r="E142" s="354"/>
      <c r="F142" s="46" t="s">
        <v>58</v>
      </c>
      <c r="G142" s="7">
        <f t="shared" si="34"/>
        <v>-115074.6</v>
      </c>
      <c r="H142" s="7">
        <f t="shared" si="34"/>
        <v>0</v>
      </c>
    </row>
    <row r="143" spans="1:9" s="10" customFormat="1">
      <c r="A143" s="346"/>
      <c r="B143" s="346"/>
      <c r="C143" s="346"/>
      <c r="D143" s="58"/>
      <c r="E143" s="354"/>
      <c r="F143" s="89" t="s">
        <v>59</v>
      </c>
      <c r="G143" s="33">
        <f t="shared" si="34"/>
        <v>-115074.6</v>
      </c>
      <c r="H143" s="33">
        <f t="shared" si="34"/>
        <v>0</v>
      </c>
      <c r="I143" s="15"/>
    </row>
    <row r="144" spans="1:9" s="10" customFormat="1">
      <c r="A144" s="346"/>
      <c r="B144" s="346"/>
      <c r="C144" s="346"/>
      <c r="D144" s="58"/>
      <c r="E144" s="354"/>
      <c r="F144" s="89" t="s">
        <v>48</v>
      </c>
      <c r="G144" s="33">
        <f>+'Հավելված N 5'!E21</f>
        <v>-115074.6</v>
      </c>
      <c r="H144" s="33">
        <f>+'Հավելված N 5'!F21</f>
        <v>0</v>
      </c>
      <c r="I144" s="15"/>
    </row>
    <row r="145" spans="1:9" s="10" customFormat="1">
      <c r="A145" s="346"/>
      <c r="B145" s="346"/>
      <c r="C145" s="346"/>
      <c r="D145" s="120">
        <v>1183</v>
      </c>
      <c r="E145" s="355" t="s">
        <v>93</v>
      </c>
      <c r="F145" s="355"/>
      <c r="G145" s="2">
        <f t="shared" ref="G145:H145" si="35">+G147</f>
        <v>48041.399999999994</v>
      </c>
      <c r="H145" s="2">
        <f t="shared" si="35"/>
        <v>48041.399999999994</v>
      </c>
    </row>
    <row r="146" spans="1:9" s="10" customFormat="1" ht="16.95" customHeight="1">
      <c r="A146" s="346"/>
      <c r="B146" s="346"/>
      <c r="C146" s="346"/>
      <c r="D146" s="357"/>
      <c r="E146" s="20"/>
      <c r="F146" s="18" t="s">
        <v>6</v>
      </c>
      <c r="G146" s="2"/>
      <c r="H146" s="2"/>
    </row>
    <row r="147" spans="1:9" s="10" customFormat="1" ht="50">
      <c r="A147" s="346"/>
      <c r="B147" s="346"/>
      <c r="C147" s="346"/>
      <c r="D147" s="357"/>
      <c r="E147" s="25">
        <v>32009</v>
      </c>
      <c r="F147" s="90" t="s">
        <v>289</v>
      </c>
      <c r="G147" s="12">
        <f>+G149</f>
        <v>48041.399999999994</v>
      </c>
      <c r="H147" s="12">
        <f>+H149</f>
        <v>48041.399999999994</v>
      </c>
    </row>
    <row r="148" spans="1:9" s="10" customFormat="1" ht="18" customHeight="1">
      <c r="A148" s="346"/>
      <c r="B148" s="346"/>
      <c r="C148" s="346"/>
      <c r="D148" s="357"/>
      <c r="E148" s="353"/>
      <c r="F148" s="18" t="s">
        <v>16</v>
      </c>
      <c r="G148" s="6"/>
      <c r="H148" s="5"/>
    </row>
    <row r="149" spans="1:9" s="13" customFormat="1" ht="36.549999999999997" customHeight="1">
      <c r="A149" s="346"/>
      <c r="B149" s="346"/>
      <c r="C149" s="346"/>
      <c r="D149" s="357"/>
      <c r="E149" s="354"/>
      <c r="F149" s="21" t="s">
        <v>171</v>
      </c>
      <c r="G149" s="40">
        <f>+G151</f>
        <v>48041.399999999994</v>
      </c>
      <c r="H149" s="40">
        <f>+H151</f>
        <v>48041.399999999994</v>
      </c>
    </row>
    <row r="150" spans="1:9" s="10" customFormat="1" ht="53.2">
      <c r="A150" s="346"/>
      <c r="B150" s="346"/>
      <c r="C150" s="346"/>
      <c r="D150" s="357"/>
      <c r="E150" s="354"/>
      <c r="F150" s="18" t="s">
        <v>13</v>
      </c>
      <c r="G150" s="41"/>
      <c r="H150" s="5"/>
    </row>
    <row r="151" spans="1:9" s="10" customFormat="1" ht="16.95" customHeight="1">
      <c r="A151" s="346"/>
      <c r="B151" s="346"/>
      <c r="C151" s="346"/>
      <c r="D151" s="357"/>
      <c r="E151" s="354"/>
      <c r="F151" s="122" t="s">
        <v>7</v>
      </c>
      <c r="G151" s="6">
        <f t="shared" ref="G151:H151" si="36">G152+G156</f>
        <v>48041.399999999994</v>
      </c>
      <c r="H151" s="6">
        <f t="shared" si="36"/>
        <v>48041.399999999994</v>
      </c>
    </row>
    <row r="152" spans="1:9" s="10" customFormat="1" ht="16.95" customHeight="1">
      <c r="A152" s="346"/>
      <c r="B152" s="346"/>
      <c r="C152" s="346"/>
      <c r="D152" s="357"/>
      <c r="E152" s="354"/>
      <c r="F152" s="170" t="s">
        <v>70</v>
      </c>
      <c r="G152" s="41">
        <f t="shared" ref="G152:H154" si="37">+G153</f>
        <v>130.6</v>
      </c>
      <c r="H152" s="7">
        <f t="shared" si="37"/>
        <v>130.6</v>
      </c>
    </row>
    <row r="153" spans="1:9" s="10" customFormat="1" ht="35.5">
      <c r="A153" s="346"/>
      <c r="B153" s="346"/>
      <c r="C153" s="346"/>
      <c r="D153" s="357"/>
      <c r="E153" s="354"/>
      <c r="F153" s="170" t="s">
        <v>374</v>
      </c>
      <c r="G153" s="7">
        <f t="shared" si="37"/>
        <v>130.6</v>
      </c>
      <c r="H153" s="7">
        <f t="shared" si="37"/>
        <v>130.6</v>
      </c>
    </row>
    <row r="154" spans="1:9" s="10" customFormat="1" ht="35.5">
      <c r="A154" s="346"/>
      <c r="B154" s="346"/>
      <c r="C154" s="346"/>
      <c r="D154" s="357"/>
      <c r="E154" s="354"/>
      <c r="F154" s="127" t="s">
        <v>375</v>
      </c>
      <c r="G154" s="33">
        <f t="shared" si="37"/>
        <v>130.6</v>
      </c>
      <c r="H154" s="33">
        <f t="shared" si="37"/>
        <v>130.6</v>
      </c>
      <c r="I154" s="15"/>
    </row>
    <row r="155" spans="1:9" s="10" customFormat="1" ht="18" customHeight="1">
      <c r="A155" s="346"/>
      <c r="B155" s="346"/>
      <c r="C155" s="346"/>
      <c r="D155" s="357"/>
      <c r="E155" s="354"/>
      <c r="F155" s="127" t="s">
        <v>373</v>
      </c>
      <c r="G155" s="33">
        <f>+H155</f>
        <v>130.6</v>
      </c>
      <c r="H155" s="33">
        <f>+'Հավելված N 8'!I213</f>
        <v>130.6</v>
      </c>
      <c r="I155" s="15"/>
    </row>
    <row r="156" spans="1:9" s="10" customFormat="1" ht="16.95" customHeight="1">
      <c r="A156" s="346"/>
      <c r="B156" s="346"/>
      <c r="C156" s="346"/>
      <c r="D156" s="357"/>
      <c r="E156" s="354"/>
      <c r="F156" s="46" t="s">
        <v>109</v>
      </c>
      <c r="G156" s="41">
        <f t="shared" ref="G156:H158" si="38">+G157</f>
        <v>47910.799999999996</v>
      </c>
      <c r="H156" s="7">
        <f t="shared" si="38"/>
        <v>47910.799999999996</v>
      </c>
    </row>
    <row r="157" spans="1:9" s="10" customFormat="1" ht="18" customHeight="1">
      <c r="A157" s="346"/>
      <c r="B157" s="346"/>
      <c r="C157" s="346"/>
      <c r="D157" s="357"/>
      <c r="E157" s="354"/>
      <c r="F157" s="46" t="s">
        <v>110</v>
      </c>
      <c r="G157" s="7">
        <f t="shared" si="38"/>
        <v>47910.799999999996</v>
      </c>
      <c r="H157" s="7">
        <f t="shared" si="38"/>
        <v>47910.799999999996</v>
      </c>
    </row>
    <row r="158" spans="1:9" s="10" customFormat="1" ht="18" customHeight="1">
      <c r="A158" s="346"/>
      <c r="B158" s="346"/>
      <c r="C158" s="346"/>
      <c r="D158" s="357"/>
      <c r="E158" s="354"/>
      <c r="F158" s="89" t="s">
        <v>158</v>
      </c>
      <c r="G158" s="22">
        <f t="shared" si="38"/>
        <v>47910.799999999996</v>
      </c>
      <c r="H158" s="33">
        <f t="shared" si="38"/>
        <v>47910.799999999996</v>
      </c>
      <c r="I158" s="15"/>
    </row>
    <row r="159" spans="1:9" s="10" customFormat="1" ht="18" customHeight="1">
      <c r="A159" s="346"/>
      <c r="B159" s="346"/>
      <c r="C159" s="346"/>
      <c r="D159" s="357"/>
      <c r="E159" s="356"/>
      <c r="F159" s="89" t="s">
        <v>97</v>
      </c>
      <c r="G159" s="33">
        <f>+'Հավելված N 5'!E35</f>
        <v>47910.799999999996</v>
      </c>
      <c r="H159" s="33">
        <f>+'Հավելված N 5'!F35</f>
        <v>47910.799999999996</v>
      </c>
      <c r="I159" s="15"/>
    </row>
  </sheetData>
  <mergeCells count="38">
    <mergeCell ref="E98:E114"/>
    <mergeCell ref="D74:D114"/>
    <mergeCell ref="E124:E131"/>
    <mergeCell ref="E134:F134"/>
    <mergeCell ref="B115:B159"/>
    <mergeCell ref="C117:C159"/>
    <mergeCell ref="B67:B114"/>
    <mergeCell ref="C69:C114"/>
    <mergeCell ref="E148:E159"/>
    <mergeCell ref="E121:F121"/>
    <mergeCell ref="E145:F145"/>
    <mergeCell ref="E137:E144"/>
    <mergeCell ref="D146:D159"/>
    <mergeCell ref="E76:E96"/>
    <mergeCell ref="E73:F73"/>
    <mergeCell ref="C67:C68"/>
    <mergeCell ref="C115:C116"/>
    <mergeCell ref="D67:D72"/>
    <mergeCell ref="D44:D66"/>
    <mergeCell ref="B35:B36"/>
    <mergeCell ref="B37:B66"/>
    <mergeCell ref="C39:C66"/>
    <mergeCell ref="E46:E57"/>
    <mergeCell ref="E67:E72"/>
    <mergeCell ref="E43:F43"/>
    <mergeCell ref="F1:H1"/>
    <mergeCell ref="F2:H2"/>
    <mergeCell ref="F3:H3"/>
    <mergeCell ref="A7:H7"/>
    <mergeCell ref="A11:C11"/>
    <mergeCell ref="G11:H11"/>
    <mergeCell ref="B16:B17"/>
    <mergeCell ref="D11:E11"/>
    <mergeCell ref="F11:F12"/>
    <mergeCell ref="A16:A34"/>
    <mergeCell ref="C16:C19"/>
    <mergeCell ref="A35:A159"/>
    <mergeCell ref="C35:C38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93"/>
  <sheetViews>
    <sheetView zoomScale="85" zoomScaleNormal="85" workbookViewId="0">
      <selection activeCell="E55" sqref="E55"/>
    </sheetView>
  </sheetViews>
  <sheetFormatPr defaultColWidth="9.09765625" defaultRowHeight="17.75"/>
  <cols>
    <col min="1" max="1" width="9.09765625" style="26"/>
    <col min="2" max="2" width="9.09765625" style="26" customWidth="1"/>
    <col min="3" max="3" width="54.19921875" style="26" customWidth="1"/>
    <col min="4" max="4" width="16.3984375" style="26" customWidth="1"/>
    <col min="5" max="8" width="20.3984375" style="26" customWidth="1"/>
    <col min="9" max="9" width="18.5" style="26" bestFit="1" customWidth="1"/>
    <col min="10" max="10" width="13.69921875" style="26" bestFit="1" customWidth="1"/>
    <col min="11" max="16384" width="9.09765625" style="26"/>
  </cols>
  <sheetData>
    <row r="1" spans="1:10" s="201" customFormat="1" ht="26.6" customHeight="1">
      <c r="A1" s="199"/>
      <c r="B1" s="200"/>
      <c r="C1" s="200"/>
      <c r="D1" s="200"/>
      <c r="E1" s="199"/>
      <c r="F1" s="361" t="s">
        <v>92</v>
      </c>
      <c r="G1" s="361"/>
      <c r="H1" s="361"/>
    </row>
    <row r="2" spans="1:10">
      <c r="A2" s="202"/>
      <c r="B2" s="202"/>
      <c r="C2" s="202"/>
      <c r="D2" s="202"/>
      <c r="E2" s="203"/>
      <c r="F2" s="362" t="s">
        <v>104</v>
      </c>
      <c r="G2" s="362"/>
      <c r="H2" s="362"/>
    </row>
    <row r="3" spans="1:10">
      <c r="A3" s="202"/>
      <c r="B3" s="202"/>
      <c r="C3" s="202"/>
      <c r="D3" s="202"/>
      <c r="E3" s="203"/>
      <c r="F3" s="362" t="s">
        <v>20</v>
      </c>
      <c r="G3" s="362"/>
      <c r="H3" s="362"/>
    </row>
    <row r="4" spans="1:10">
      <c r="A4" s="204"/>
      <c r="B4" s="204"/>
      <c r="C4" s="205"/>
      <c r="D4" s="203"/>
      <c r="E4" s="203"/>
      <c r="F4" s="203"/>
      <c r="G4" s="203"/>
      <c r="H4" s="203"/>
    </row>
    <row r="5" spans="1:10" ht="37.5" customHeight="1">
      <c r="A5" s="363" t="s">
        <v>105</v>
      </c>
      <c r="B5" s="364"/>
      <c r="C5" s="364"/>
      <c r="D5" s="364"/>
      <c r="E5" s="364"/>
      <c r="F5" s="364"/>
      <c r="G5" s="364"/>
      <c r="H5" s="364"/>
    </row>
    <row r="6" spans="1:10" ht="37.5" customHeight="1">
      <c r="A6" s="364"/>
      <c r="B6" s="364"/>
      <c r="C6" s="364"/>
      <c r="D6" s="364"/>
      <c r="E6" s="364"/>
      <c r="F6" s="364"/>
      <c r="G6" s="364"/>
      <c r="H6" s="364"/>
    </row>
    <row r="7" spans="1:10">
      <c r="E7" s="203"/>
      <c r="F7" s="203"/>
      <c r="G7" s="203"/>
    </row>
    <row r="8" spans="1:10">
      <c r="A8" s="206"/>
      <c r="B8" s="206"/>
      <c r="C8" s="206"/>
      <c r="D8" s="207"/>
      <c r="E8" s="203"/>
      <c r="F8" s="203"/>
      <c r="G8" s="365" t="s">
        <v>9</v>
      </c>
      <c r="H8" s="365"/>
    </row>
    <row r="9" spans="1:10" ht="45" customHeight="1">
      <c r="A9" s="366" t="s">
        <v>37</v>
      </c>
      <c r="B9" s="367"/>
      <c r="C9" s="368" t="s">
        <v>38</v>
      </c>
      <c r="D9" s="370" t="s">
        <v>39</v>
      </c>
      <c r="E9" s="372" t="s">
        <v>56</v>
      </c>
      <c r="F9" s="373"/>
      <c r="G9" s="373"/>
      <c r="H9" s="374"/>
    </row>
    <row r="10" spans="1:10" ht="99.95">
      <c r="A10" s="186" t="s">
        <v>14</v>
      </c>
      <c r="B10" s="186" t="s">
        <v>15</v>
      </c>
      <c r="C10" s="369"/>
      <c r="D10" s="371"/>
      <c r="E10" s="190" t="s">
        <v>40</v>
      </c>
      <c r="F10" s="190" t="s">
        <v>41</v>
      </c>
      <c r="G10" s="190" t="s">
        <v>42</v>
      </c>
      <c r="H10" s="190" t="s">
        <v>43</v>
      </c>
    </row>
    <row r="11" spans="1:10">
      <c r="A11" s="186"/>
      <c r="B11" s="186"/>
      <c r="C11" s="208" t="s">
        <v>44</v>
      </c>
      <c r="D11" s="28">
        <f>SUM(E11:H11)</f>
        <v>-2505.0999999998603</v>
      </c>
      <c r="E11" s="191">
        <f>+E13</f>
        <v>285903.10000000015</v>
      </c>
      <c r="F11" s="191">
        <f>+F13</f>
        <v>47910.799999999996</v>
      </c>
      <c r="G11" s="191">
        <f>+G13</f>
        <v>-336319</v>
      </c>
      <c r="H11" s="191">
        <f>+H13</f>
        <v>0</v>
      </c>
      <c r="I11" s="209"/>
      <c r="J11" s="209"/>
    </row>
    <row r="12" spans="1:10">
      <c r="A12" s="186"/>
      <c r="B12" s="186"/>
      <c r="C12" s="208" t="s">
        <v>45</v>
      </c>
      <c r="D12" s="269"/>
      <c r="E12" s="191"/>
      <c r="F12" s="191"/>
      <c r="G12" s="191"/>
      <c r="H12" s="191"/>
      <c r="I12" s="273"/>
      <c r="J12" s="272"/>
    </row>
    <row r="13" spans="1:10" ht="33.35">
      <c r="A13" s="210"/>
      <c r="B13" s="211"/>
      <c r="C13" s="211" t="s">
        <v>17</v>
      </c>
      <c r="D13" s="28">
        <f>SUM(E13:H13)</f>
        <v>-2505.0999999998603</v>
      </c>
      <c r="E13" s="191">
        <f>+E15+E19+E23+E30+E51+E83</f>
        <v>285903.10000000015</v>
      </c>
      <c r="F13" s="191">
        <f t="shared" ref="F13:H13" si="0">+F15+F19+F23+F30+F51+F83</f>
        <v>47910.799999999996</v>
      </c>
      <c r="G13" s="191">
        <f t="shared" si="0"/>
        <v>-336319</v>
      </c>
      <c r="H13" s="191">
        <f t="shared" si="0"/>
        <v>0</v>
      </c>
      <c r="I13" s="209"/>
    </row>
    <row r="14" spans="1:10">
      <c r="A14" s="210"/>
      <c r="B14" s="210"/>
      <c r="C14" s="210" t="s">
        <v>46</v>
      </c>
      <c r="D14" s="212"/>
      <c r="E14" s="212"/>
      <c r="F14" s="212"/>
      <c r="G14" s="212"/>
      <c r="H14" s="212"/>
    </row>
    <row r="15" spans="1:10" ht="33.35">
      <c r="A15" s="68">
        <v>1045</v>
      </c>
      <c r="B15" s="68">
        <v>32005</v>
      </c>
      <c r="C15" s="90" t="s">
        <v>296</v>
      </c>
      <c r="D15" s="191">
        <f>SUM(E15:H15)</f>
        <v>-130775.9</v>
      </c>
      <c r="E15" s="28">
        <f>+E17</f>
        <v>-130775.9</v>
      </c>
      <c r="F15" s="28">
        <f t="shared" ref="F15:H15" si="1">+F17</f>
        <v>0</v>
      </c>
      <c r="G15" s="28">
        <f t="shared" si="1"/>
        <v>0</v>
      </c>
      <c r="H15" s="28">
        <f t="shared" si="1"/>
        <v>0</v>
      </c>
    </row>
    <row r="16" spans="1:10" s="198" customFormat="1">
      <c r="A16" s="192"/>
      <c r="B16" s="192"/>
      <c r="C16" s="193" t="s">
        <v>6</v>
      </c>
      <c r="D16" s="194"/>
      <c r="E16" s="195"/>
      <c r="F16" s="196"/>
      <c r="G16" s="197"/>
      <c r="H16" s="196"/>
    </row>
    <row r="17" spans="1:10" s="155" customFormat="1" ht="16.95" customHeight="1">
      <c r="A17" s="151"/>
      <c r="B17" s="151"/>
      <c r="C17" s="152" t="s">
        <v>49</v>
      </c>
      <c r="D17" s="153">
        <f>SUM(E17:H17)</f>
        <v>-130775.9</v>
      </c>
      <c r="E17" s="153">
        <f>+E18</f>
        <v>-130775.9</v>
      </c>
      <c r="F17" s="153">
        <f t="shared" ref="F17:H17" si="2">+F18</f>
        <v>0</v>
      </c>
      <c r="G17" s="153">
        <f t="shared" si="2"/>
        <v>0</v>
      </c>
      <c r="H17" s="153">
        <f t="shared" si="2"/>
        <v>0</v>
      </c>
      <c r="I17" s="154"/>
      <c r="J17" s="154"/>
    </row>
    <row r="18" spans="1:10" s="29" customFormat="1" ht="35.5">
      <c r="A18" s="159"/>
      <c r="B18" s="159"/>
      <c r="C18" s="118" t="s">
        <v>297</v>
      </c>
      <c r="D18" s="63">
        <f>+E18+F18+G18+H18</f>
        <v>-130775.9</v>
      </c>
      <c r="E18" s="63">
        <f>+'Հավելված N 8'!I197+'Հավելված N 8'!I199+'Հավելված N 8'!I200</f>
        <v>-130775.9</v>
      </c>
      <c r="F18" s="63"/>
      <c r="G18" s="63"/>
      <c r="H18" s="63"/>
      <c r="I18" s="70"/>
      <c r="J18" s="70"/>
    </row>
    <row r="19" spans="1:10" ht="50">
      <c r="A19" s="68">
        <v>1168</v>
      </c>
      <c r="B19" s="182">
        <v>32001</v>
      </c>
      <c r="C19" s="90" t="s">
        <v>153</v>
      </c>
      <c r="D19" s="163">
        <f>SUM(E19:H19)</f>
        <v>17600</v>
      </c>
      <c r="E19" s="163">
        <f>+E21</f>
        <v>0</v>
      </c>
      <c r="F19" s="163">
        <f t="shared" ref="F19:H19" si="3">+F21</f>
        <v>0</v>
      </c>
      <c r="G19" s="163">
        <f t="shared" si="3"/>
        <v>17600</v>
      </c>
      <c r="H19" s="163">
        <f t="shared" si="3"/>
        <v>0</v>
      </c>
      <c r="I19" s="164"/>
      <c r="J19" s="164"/>
    </row>
    <row r="20" spans="1:10" s="3" customFormat="1">
      <c r="A20" s="165"/>
      <c r="B20" s="165"/>
      <c r="C20" s="166" t="s">
        <v>6</v>
      </c>
      <c r="D20" s="151"/>
      <c r="E20" s="167"/>
      <c r="F20" s="167"/>
      <c r="G20" s="167"/>
      <c r="H20" s="167"/>
      <c r="I20" s="164"/>
      <c r="J20" s="164"/>
    </row>
    <row r="21" spans="1:10" s="155" customFormat="1" ht="16.95" customHeight="1">
      <c r="A21" s="168"/>
      <c r="B21" s="168"/>
      <c r="C21" s="152" t="s">
        <v>64</v>
      </c>
      <c r="D21" s="153">
        <f>SUM(E21:H21)</f>
        <v>17600</v>
      </c>
      <c r="E21" s="153">
        <f>+E22</f>
        <v>0</v>
      </c>
      <c r="F21" s="153">
        <f t="shared" ref="F21:H21" si="4">+F22</f>
        <v>0</v>
      </c>
      <c r="G21" s="153">
        <f t="shared" si="4"/>
        <v>17600</v>
      </c>
      <c r="H21" s="153">
        <f t="shared" si="4"/>
        <v>0</v>
      </c>
      <c r="I21" s="154"/>
      <c r="J21" s="154"/>
    </row>
    <row r="22" spans="1:10" s="29" customFormat="1" ht="35.5">
      <c r="A22" s="87"/>
      <c r="B22" s="87"/>
      <c r="C22" s="118" t="s">
        <v>172</v>
      </c>
      <c r="D22" s="63">
        <f t="shared" ref="D22" si="5">+E22+F22+G22+H22</f>
        <v>17600</v>
      </c>
      <c r="E22" s="63"/>
      <c r="F22" s="63"/>
      <c r="G22" s="63">
        <f>+'Հավելված N 8'!I112+'Հավելված N 8'!I113</f>
        <v>17600</v>
      </c>
      <c r="H22" s="63"/>
      <c r="I22" s="70"/>
      <c r="J22" s="70"/>
    </row>
    <row r="23" spans="1:10" ht="56.45" customHeight="1">
      <c r="A23" s="68">
        <v>1183</v>
      </c>
      <c r="B23" s="68">
        <v>32009</v>
      </c>
      <c r="C23" s="90" t="s">
        <v>289</v>
      </c>
      <c r="D23" s="163">
        <f>SUM(E23:H23)</f>
        <v>47910.799999999996</v>
      </c>
      <c r="E23" s="163">
        <f>+E25+E27</f>
        <v>0</v>
      </c>
      <c r="F23" s="163">
        <f t="shared" ref="F23:H23" si="6">+F25+F27</f>
        <v>47910.799999999996</v>
      </c>
      <c r="G23" s="163">
        <f t="shared" si="6"/>
        <v>0</v>
      </c>
      <c r="H23" s="163">
        <f t="shared" si="6"/>
        <v>0</v>
      </c>
      <c r="I23" s="164"/>
      <c r="J23" s="164"/>
    </row>
    <row r="24" spans="1:10" s="3" customFormat="1">
      <c r="A24" s="165"/>
      <c r="B24" s="165"/>
      <c r="C24" s="166" t="s">
        <v>6</v>
      </c>
      <c r="D24" s="151"/>
      <c r="E24" s="167"/>
      <c r="F24" s="167"/>
      <c r="G24" s="167"/>
      <c r="H24" s="167"/>
      <c r="I24" s="164"/>
      <c r="J24" s="164"/>
    </row>
    <row r="25" spans="1:10" s="155" customFormat="1" ht="16.95" customHeight="1">
      <c r="A25" s="168"/>
      <c r="B25" s="168"/>
      <c r="C25" s="152" t="s">
        <v>50</v>
      </c>
      <c r="D25" s="153">
        <f>SUM(E25:H25)</f>
        <v>40516.1</v>
      </c>
      <c r="E25" s="153">
        <f>+E26</f>
        <v>0</v>
      </c>
      <c r="F25" s="153">
        <f t="shared" ref="F25:H25" si="7">+F26</f>
        <v>40516.1</v>
      </c>
      <c r="G25" s="153">
        <f t="shared" si="7"/>
        <v>0</v>
      </c>
      <c r="H25" s="153">
        <f t="shared" si="7"/>
        <v>0</v>
      </c>
      <c r="I25" s="154"/>
      <c r="J25" s="154"/>
    </row>
    <row r="26" spans="1:10" s="29" customFormat="1">
      <c r="A26" s="87"/>
      <c r="B26" s="87"/>
      <c r="C26" s="176" t="s">
        <v>290</v>
      </c>
      <c r="D26" s="63">
        <f t="shared" ref="D26" si="8">+E26+F26+G26+H26</f>
        <v>40516.1</v>
      </c>
      <c r="E26" s="63"/>
      <c r="F26" s="63">
        <f>+'Հավելված N 8'!I203+'Հավելված N 8'!I207+'Հավելված N 8'!I210</f>
        <v>40516.1</v>
      </c>
      <c r="G26" s="63"/>
      <c r="H26" s="63"/>
      <c r="I26" s="70"/>
      <c r="J26" s="70"/>
    </row>
    <row r="27" spans="1:10" s="155" customFormat="1" ht="16.95" customHeight="1">
      <c r="A27" s="168"/>
      <c r="B27" s="168"/>
      <c r="C27" s="152" t="s">
        <v>73</v>
      </c>
      <c r="D27" s="153">
        <f>SUM(E27:H27)</f>
        <v>7394.7</v>
      </c>
      <c r="E27" s="153">
        <f>+E28+E29</f>
        <v>0</v>
      </c>
      <c r="F27" s="153">
        <f t="shared" ref="F27:H27" si="9">+F28+F29</f>
        <v>7394.7</v>
      </c>
      <c r="G27" s="153">
        <f t="shared" si="9"/>
        <v>0</v>
      </c>
      <c r="H27" s="153">
        <f t="shared" si="9"/>
        <v>0</v>
      </c>
      <c r="I27" s="154"/>
      <c r="J27" s="154"/>
    </row>
    <row r="28" spans="1:10" s="29" customFormat="1">
      <c r="A28" s="358"/>
      <c r="B28" s="358"/>
      <c r="C28" s="176" t="s">
        <v>293</v>
      </c>
      <c r="D28" s="63">
        <f t="shared" ref="D28" si="10">+E28+F28+G28+H28</f>
        <v>3602.9</v>
      </c>
      <c r="E28" s="63"/>
      <c r="F28" s="63">
        <f>+'Հավելված N 8'!I204+'Հավելված N 8'!I208+'Հավելված N 8'!I211</f>
        <v>3602.9</v>
      </c>
      <c r="G28" s="63"/>
      <c r="H28" s="63"/>
      <c r="I28" s="70"/>
      <c r="J28" s="70"/>
    </row>
    <row r="29" spans="1:10" s="29" customFormat="1">
      <c r="A29" s="360"/>
      <c r="B29" s="360"/>
      <c r="C29" s="176" t="s">
        <v>265</v>
      </c>
      <c r="D29" s="63">
        <f t="shared" ref="D29" si="11">+E29+F29+G29+H29</f>
        <v>3791.7999999999997</v>
      </c>
      <c r="E29" s="63"/>
      <c r="F29" s="63">
        <f>+'Հավելված N 8'!I205+'Հավելված N 8'!I209+'Հավելված N 8'!I212</f>
        <v>3791.7999999999997</v>
      </c>
      <c r="G29" s="63"/>
      <c r="H29" s="63"/>
      <c r="I29" s="70"/>
      <c r="J29" s="70"/>
    </row>
    <row r="30" spans="1:10">
      <c r="A30" s="68">
        <v>1236</v>
      </c>
      <c r="B30" s="182">
        <v>32001</v>
      </c>
      <c r="C30" s="85" t="s">
        <v>174</v>
      </c>
      <c r="D30" s="163">
        <f>SUM(E30:H30)</f>
        <v>734826.80000000016</v>
      </c>
      <c r="E30" s="163">
        <f>+E32+E33+E38+E40+E43+E45+E47+E49</f>
        <v>718826.80000000016</v>
      </c>
      <c r="F30" s="163">
        <f t="shared" ref="F30:H30" si="12">+F32+F33+F38+F40+F43+F45+F47+F49</f>
        <v>0</v>
      </c>
      <c r="G30" s="163">
        <f t="shared" si="12"/>
        <v>16000</v>
      </c>
      <c r="H30" s="163">
        <f t="shared" si="12"/>
        <v>0</v>
      </c>
      <c r="I30" s="164"/>
      <c r="J30" s="164"/>
    </row>
    <row r="31" spans="1:10" s="3" customFormat="1">
      <c r="A31" s="165"/>
      <c r="B31" s="165"/>
      <c r="C31" s="166" t="s">
        <v>6</v>
      </c>
      <c r="D31" s="453"/>
      <c r="E31" s="167"/>
      <c r="F31" s="167"/>
      <c r="G31" s="167"/>
      <c r="H31" s="167"/>
      <c r="I31" s="164"/>
      <c r="J31" s="164"/>
    </row>
    <row r="32" spans="1:10" s="155" customFormat="1" ht="72.55" customHeight="1">
      <c r="A32" s="168"/>
      <c r="B32" s="168"/>
      <c r="C32" s="152" t="s">
        <v>419</v>
      </c>
      <c r="D32" s="213">
        <f>SUM(E32:H32)</f>
        <v>16000</v>
      </c>
      <c r="E32" s="213">
        <v>0</v>
      </c>
      <c r="F32" s="213">
        <v>0</v>
      </c>
      <c r="G32" s="213">
        <f>+'Հավելված N 8'!I143</f>
        <v>16000</v>
      </c>
      <c r="H32" s="213">
        <v>0</v>
      </c>
      <c r="I32" s="154"/>
      <c r="J32" s="154"/>
    </row>
    <row r="33" spans="1:10" s="155" customFormat="1" ht="16.95" customHeight="1">
      <c r="A33" s="168"/>
      <c r="B33" s="168"/>
      <c r="C33" s="152" t="s">
        <v>214</v>
      </c>
      <c r="D33" s="153">
        <f>SUM(E33:H33)</f>
        <v>624392.80000000005</v>
      </c>
      <c r="E33" s="153">
        <f>SUM(E34:E37)</f>
        <v>624392.80000000005</v>
      </c>
      <c r="F33" s="153">
        <f t="shared" ref="F32:H33" si="13">SUM(F34:F37)</f>
        <v>0</v>
      </c>
      <c r="G33" s="153">
        <f t="shared" si="13"/>
        <v>0</v>
      </c>
      <c r="H33" s="153">
        <f t="shared" si="13"/>
        <v>0</v>
      </c>
      <c r="I33" s="154"/>
      <c r="J33" s="154"/>
    </row>
    <row r="34" spans="1:10" s="29" customFormat="1" ht="35.5">
      <c r="A34" s="358"/>
      <c r="B34" s="358"/>
      <c r="C34" s="118" t="s">
        <v>209</v>
      </c>
      <c r="D34" s="63">
        <f t="shared" ref="D34" si="14">+E34+F34+G34+H34</f>
        <v>152325.80000000002</v>
      </c>
      <c r="E34" s="304">
        <f>+'Հավելված N 8'!I123+'Հավելված N 8'!I134</f>
        <v>152325.80000000002</v>
      </c>
      <c r="F34" s="63"/>
      <c r="G34" s="63"/>
      <c r="H34" s="63"/>
      <c r="I34" s="70"/>
      <c r="J34" s="70"/>
    </row>
    <row r="35" spans="1:10" s="29" customFormat="1" ht="35.5">
      <c r="A35" s="359"/>
      <c r="B35" s="359"/>
      <c r="C35" s="118" t="s">
        <v>210</v>
      </c>
      <c r="D35" s="63">
        <f t="shared" ref="D35:D39" si="15">+E35+F35+G35+H35</f>
        <v>152751.9</v>
      </c>
      <c r="E35" s="63">
        <f>+'Հավելված N 8'!I124+'Հավելված N 8'!I135</f>
        <v>152751.9</v>
      </c>
      <c r="F35" s="63"/>
      <c r="G35" s="63"/>
      <c r="H35" s="63"/>
      <c r="I35" s="70"/>
      <c r="J35" s="70"/>
    </row>
    <row r="36" spans="1:10" s="29" customFormat="1" ht="35.5">
      <c r="A36" s="359"/>
      <c r="B36" s="359"/>
      <c r="C36" s="118" t="s">
        <v>211</v>
      </c>
      <c r="D36" s="63">
        <f t="shared" si="15"/>
        <v>166743.5</v>
      </c>
      <c r="E36" s="63">
        <f>+'Հավելված N 8'!I125+'Հավելված N 8'!I136</f>
        <v>166743.5</v>
      </c>
      <c r="F36" s="63"/>
      <c r="G36" s="63"/>
      <c r="H36" s="63"/>
      <c r="I36" s="70"/>
      <c r="J36" s="70"/>
    </row>
    <row r="37" spans="1:10" s="29" customFormat="1" ht="35.5">
      <c r="A37" s="360"/>
      <c r="B37" s="360"/>
      <c r="C37" s="118" t="s">
        <v>212</v>
      </c>
      <c r="D37" s="63">
        <f t="shared" si="15"/>
        <v>152571.6</v>
      </c>
      <c r="E37" s="63">
        <f>+'Հավելված N 8'!I126+'Հավելված N 8'!I137</f>
        <v>152571.6</v>
      </c>
      <c r="F37" s="63"/>
      <c r="G37" s="63"/>
      <c r="H37" s="63"/>
      <c r="I37" s="70"/>
      <c r="J37" s="70"/>
    </row>
    <row r="38" spans="1:10" s="155" customFormat="1" ht="16.95" customHeight="1">
      <c r="A38" s="168"/>
      <c r="B38" s="168"/>
      <c r="C38" s="152" t="s">
        <v>215</v>
      </c>
      <c r="D38" s="153">
        <f>SUM(E38:H38)</f>
        <v>150125.80000000002</v>
      </c>
      <c r="E38" s="153">
        <f>+E39</f>
        <v>150125.80000000002</v>
      </c>
      <c r="F38" s="153">
        <f t="shared" ref="F38" si="16">+F39</f>
        <v>0</v>
      </c>
      <c r="G38" s="153">
        <f t="shared" ref="G38" si="17">+G39</f>
        <v>0</v>
      </c>
      <c r="H38" s="153">
        <f t="shared" ref="H38" si="18">+H39</f>
        <v>0</v>
      </c>
      <c r="I38" s="154"/>
      <c r="J38" s="154"/>
    </row>
    <row r="39" spans="1:10" s="29" customFormat="1" ht="35.5">
      <c r="A39" s="87"/>
      <c r="B39" s="87"/>
      <c r="C39" s="118" t="s">
        <v>213</v>
      </c>
      <c r="D39" s="63">
        <f t="shared" si="15"/>
        <v>150125.80000000002</v>
      </c>
      <c r="E39" s="63">
        <f>+'Հավելված N 8'!I127+'Հավելված N 8'!I138</f>
        <v>150125.80000000002</v>
      </c>
      <c r="F39" s="63"/>
      <c r="G39" s="63"/>
      <c r="H39" s="63"/>
      <c r="I39" s="70"/>
      <c r="J39" s="70"/>
    </row>
    <row r="40" spans="1:10" s="155" customFormat="1" ht="16.95" customHeight="1">
      <c r="A40" s="168"/>
      <c r="B40" s="168"/>
      <c r="C40" s="152" t="s">
        <v>49</v>
      </c>
      <c r="D40" s="153">
        <f>SUM(E40:H40)</f>
        <v>63730.200000000041</v>
      </c>
      <c r="E40" s="153">
        <f>SUM(E41:E42)</f>
        <v>63730.200000000041</v>
      </c>
      <c r="F40" s="153">
        <f t="shared" ref="F40:H40" si="19">SUM(F41:F42)</f>
        <v>0</v>
      </c>
      <c r="G40" s="153">
        <f t="shared" si="19"/>
        <v>0</v>
      </c>
      <c r="H40" s="153">
        <f t="shared" si="19"/>
        <v>0</v>
      </c>
      <c r="I40" s="154"/>
      <c r="J40" s="154"/>
    </row>
    <row r="41" spans="1:10" s="29" customFormat="1" ht="53.2">
      <c r="A41" s="358"/>
      <c r="B41" s="358"/>
      <c r="C41" s="119" t="s">
        <v>181</v>
      </c>
      <c r="D41" s="63">
        <f t="shared" ref="D41" si="20">+E41+F41+G41+H41</f>
        <v>198074.40000000002</v>
      </c>
      <c r="E41" s="63">
        <f>+'Հավելված N 8'!I117+'Հավելված N 8'!I129+'Հավելված N 8'!I139</f>
        <v>198074.40000000002</v>
      </c>
      <c r="F41" s="63"/>
      <c r="G41" s="63"/>
      <c r="H41" s="63"/>
      <c r="I41" s="70"/>
      <c r="J41" s="70"/>
    </row>
    <row r="42" spans="1:10" s="29" customFormat="1" ht="53.2">
      <c r="A42" s="360"/>
      <c r="B42" s="360"/>
      <c r="C42" s="119" t="s">
        <v>183</v>
      </c>
      <c r="D42" s="63">
        <f t="shared" ref="D42" si="21">+E42+F42+G42+H42</f>
        <v>-134344.19999999998</v>
      </c>
      <c r="E42" s="63">
        <f>+'Հավելված N 8'!I118+'Հավելված N 8'!I130</f>
        <v>-134344.19999999998</v>
      </c>
      <c r="F42" s="63"/>
      <c r="G42" s="63"/>
      <c r="H42" s="63"/>
      <c r="I42" s="70"/>
      <c r="J42" s="70"/>
    </row>
    <row r="43" spans="1:10" s="155" customFormat="1" ht="16.95" customHeight="1">
      <c r="A43" s="168"/>
      <c r="B43" s="168"/>
      <c r="C43" s="152" t="s">
        <v>189</v>
      </c>
      <c r="D43" s="153">
        <f>SUM(E43:H43)</f>
        <v>11947.4</v>
      </c>
      <c r="E43" s="153">
        <f>+E44</f>
        <v>11947.4</v>
      </c>
      <c r="F43" s="153">
        <f t="shared" ref="F43:H43" si="22">+F44</f>
        <v>0</v>
      </c>
      <c r="G43" s="153">
        <f t="shared" si="22"/>
        <v>0</v>
      </c>
      <c r="H43" s="153">
        <f t="shared" si="22"/>
        <v>0</v>
      </c>
      <c r="I43" s="154"/>
      <c r="J43" s="154"/>
    </row>
    <row r="44" spans="1:10" s="29" customFormat="1" ht="53.2">
      <c r="A44" s="87"/>
      <c r="B44" s="87"/>
      <c r="C44" s="119" t="s">
        <v>185</v>
      </c>
      <c r="D44" s="63">
        <f t="shared" ref="D44" si="23">+E44+F44+G44+H44</f>
        <v>11947.4</v>
      </c>
      <c r="E44" s="63">
        <f>+'Հավելված N 8'!I119</f>
        <v>11947.4</v>
      </c>
      <c r="F44" s="63"/>
      <c r="G44" s="63"/>
      <c r="H44" s="63"/>
      <c r="I44" s="70"/>
      <c r="J44" s="70"/>
    </row>
    <row r="45" spans="1:10" s="155" customFormat="1" ht="16.95" customHeight="1">
      <c r="A45" s="168"/>
      <c r="B45" s="168"/>
      <c r="C45" s="152" t="s">
        <v>64</v>
      </c>
      <c r="D45" s="153">
        <f>SUM(E45:H45)</f>
        <v>37244.1</v>
      </c>
      <c r="E45" s="153">
        <f>+E46</f>
        <v>37244.1</v>
      </c>
      <c r="F45" s="153">
        <f t="shared" ref="F45" si="24">+F46</f>
        <v>0</v>
      </c>
      <c r="G45" s="153">
        <f t="shared" ref="G45" si="25">+G46</f>
        <v>0</v>
      </c>
      <c r="H45" s="153">
        <f t="shared" ref="H45" si="26">+H46</f>
        <v>0</v>
      </c>
      <c r="I45" s="154"/>
      <c r="J45" s="154"/>
    </row>
    <row r="46" spans="1:10" s="29" customFormat="1" ht="53.2">
      <c r="A46" s="87"/>
      <c r="B46" s="87"/>
      <c r="C46" s="118" t="s">
        <v>188</v>
      </c>
      <c r="D46" s="63">
        <f t="shared" ref="D46" si="27">+E46+F46+G46+H46</f>
        <v>37244.1</v>
      </c>
      <c r="E46" s="63">
        <f>+'Հավելված N 8'!I120+'Հավելված N 8'!I131+'Հավելված N 8'!I140</f>
        <v>37244.1</v>
      </c>
      <c r="F46" s="63"/>
      <c r="G46" s="63"/>
      <c r="H46" s="63"/>
      <c r="I46" s="70"/>
      <c r="J46" s="70"/>
    </row>
    <row r="47" spans="1:10" s="155" customFormat="1" ht="16.95" customHeight="1">
      <c r="A47" s="168"/>
      <c r="B47" s="168"/>
      <c r="C47" s="152" t="s">
        <v>63</v>
      </c>
      <c r="D47" s="153">
        <f>SUM(E47:H47)</f>
        <v>2830.5</v>
      </c>
      <c r="E47" s="153">
        <f>+E48</f>
        <v>2830.5</v>
      </c>
      <c r="F47" s="153">
        <f t="shared" ref="F47" si="28">+F48</f>
        <v>0</v>
      </c>
      <c r="G47" s="153">
        <f t="shared" ref="G47" si="29">+G48</f>
        <v>0</v>
      </c>
      <c r="H47" s="153">
        <f t="shared" ref="H47" si="30">+H48</f>
        <v>0</v>
      </c>
      <c r="I47" s="154"/>
      <c r="J47" s="154"/>
    </row>
    <row r="48" spans="1:10" s="29" customFormat="1" ht="53.2">
      <c r="A48" s="87"/>
      <c r="B48" s="87"/>
      <c r="C48" s="118" t="s">
        <v>193</v>
      </c>
      <c r="D48" s="63">
        <f t="shared" ref="D48" si="31">+E48+F48+G48+H48</f>
        <v>2830.5</v>
      </c>
      <c r="E48" s="63">
        <f>+'Հավելված N 8'!I121+'Հավելված N 8'!I132+'Հավելված N 8'!I141</f>
        <v>2830.5</v>
      </c>
      <c r="F48" s="63"/>
      <c r="G48" s="63"/>
      <c r="H48" s="63"/>
      <c r="I48" s="70"/>
      <c r="J48" s="70"/>
    </row>
    <row r="49" spans="1:10" s="155" customFormat="1" ht="16.95" customHeight="1">
      <c r="A49" s="168"/>
      <c r="B49" s="168"/>
      <c r="C49" s="152" t="s">
        <v>198</v>
      </c>
      <c r="D49" s="153">
        <f>SUM(E49:H49)</f>
        <v>-171444.00000000003</v>
      </c>
      <c r="E49" s="153">
        <f>+E50</f>
        <v>-171444.00000000003</v>
      </c>
      <c r="F49" s="153">
        <f t="shared" ref="F49" si="32">+F50</f>
        <v>0</v>
      </c>
      <c r="G49" s="153">
        <f t="shared" ref="G49" si="33">+G50</f>
        <v>0</v>
      </c>
      <c r="H49" s="153">
        <f t="shared" ref="H49" si="34">+H50</f>
        <v>0</v>
      </c>
      <c r="I49" s="154"/>
      <c r="J49" s="154"/>
    </row>
    <row r="50" spans="1:10" s="29" customFormat="1" ht="53.2">
      <c r="A50" s="87"/>
      <c r="B50" s="87"/>
      <c r="C50" s="118" t="s">
        <v>197</v>
      </c>
      <c r="D50" s="63">
        <f t="shared" ref="D50" si="35">+E50+F50+G50+H50</f>
        <v>-171444.00000000003</v>
      </c>
      <c r="E50" s="63">
        <f>+'Հավելված N 8'!I122+'Հավելված N 8'!I133+'Հավելված N 8'!I142</f>
        <v>-171444.00000000003</v>
      </c>
      <c r="F50" s="63"/>
      <c r="G50" s="63"/>
      <c r="H50" s="63"/>
      <c r="I50" s="70"/>
      <c r="J50" s="70"/>
    </row>
    <row r="51" spans="1:10" ht="33.35">
      <c r="A51" s="68">
        <v>1236</v>
      </c>
      <c r="B51" s="182">
        <v>32003</v>
      </c>
      <c r="C51" s="85" t="s">
        <v>222</v>
      </c>
      <c r="D51" s="163">
        <f>SUM(E51:H51)</f>
        <v>-940853.7</v>
      </c>
      <c r="E51" s="163">
        <f>+E53+E54+E61+E63+E72+E75+E77+E79+E81</f>
        <v>-612534.69999999995</v>
      </c>
      <c r="F51" s="163">
        <f t="shared" ref="F51:H51" si="36">+F53+F54+F61+F63+F72+F75+F77+F79+F81</f>
        <v>0</v>
      </c>
      <c r="G51" s="163">
        <f t="shared" si="36"/>
        <v>-328319</v>
      </c>
      <c r="H51" s="163">
        <f t="shared" si="36"/>
        <v>0</v>
      </c>
      <c r="I51" s="164"/>
      <c r="J51" s="164"/>
    </row>
    <row r="52" spans="1:10" s="3" customFormat="1">
      <c r="A52" s="165"/>
      <c r="B52" s="165"/>
      <c r="C52" s="166" t="s">
        <v>6</v>
      </c>
      <c r="D52" s="151"/>
      <c r="E52" s="167"/>
      <c r="F52" s="167"/>
      <c r="G52" s="167"/>
      <c r="H52" s="167"/>
      <c r="I52" s="164"/>
      <c r="J52" s="164"/>
    </row>
    <row r="53" spans="1:10" s="155" customFormat="1" ht="99.95">
      <c r="A53" s="151"/>
      <c r="B53" s="151"/>
      <c r="C53" s="152" t="s">
        <v>298</v>
      </c>
      <c r="D53" s="213">
        <f>SUM(E53:H53)</f>
        <v>-417895</v>
      </c>
      <c r="E53" s="213">
        <v>0</v>
      </c>
      <c r="F53" s="213">
        <v>0</v>
      </c>
      <c r="G53" s="213">
        <f>+'Հավելված N 8'!I156+'Հավելված N 8'!I176+'Հավելված N 8'!I157+'Հավելված N 8'!I177+'Հավելված N 8'!I158+'Հավելված N 8'!I178+'Հավելված N 8'!I159+'Հավելված N 8'!I179+'Հավելված N 8'!I16</f>
        <v>-417895</v>
      </c>
      <c r="H53" s="213">
        <v>0</v>
      </c>
      <c r="I53" s="154"/>
      <c r="J53" s="154"/>
    </row>
    <row r="54" spans="1:10" s="155" customFormat="1" ht="16.95" customHeight="1">
      <c r="A54" s="151"/>
      <c r="B54" s="151"/>
      <c r="C54" s="152" t="s">
        <v>50</v>
      </c>
      <c r="D54" s="153">
        <f>SUM(E54:H54)</f>
        <v>-222039.69999999998</v>
      </c>
      <c r="E54" s="153">
        <f>SUM(E55:E60)</f>
        <v>-254999.69999999998</v>
      </c>
      <c r="F54" s="153">
        <f t="shared" ref="F54:H54" si="37">SUM(F55:F60)</f>
        <v>0</v>
      </c>
      <c r="G54" s="153">
        <f>SUM(G55:G60)</f>
        <v>32960</v>
      </c>
      <c r="H54" s="153">
        <f t="shared" si="37"/>
        <v>0</v>
      </c>
      <c r="I54" s="154"/>
      <c r="J54" s="154"/>
    </row>
    <row r="55" spans="1:10" s="29" customFormat="1">
      <c r="A55" s="375"/>
      <c r="B55" s="375"/>
      <c r="C55" s="118" t="s">
        <v>221</v>
      </c>
      <c r="D55" s="63">
        <f t="shared" ref="D55" si="38">+E55+F55+G55+H55</f>
        <v>-249999.69999999998</v>
      </c>
      <c r="E55" s="63">
        <f>+'Հավելված N 8'!I148+'Հավելված N 8'!I152+'Հավելված N 8'!I154</f>
        <v>-254999.69999999998</v>
      </c>
      <c r="F55" s="63"/>
      <c r="G55" s="63">
        <f>+'Հավելված N 8'!I155+'Հավելված N 8'!I175</f>
        <v>5000</v>
      </c>
      <c r="H55" s="63"/>
      <c r="I55" s="70"/>
      <c r="J55" s="70"/>
    </row>
    <row r="56" spans="1:10" s="29" customFormat="1">
      <c r="A56" s="376"/>
      <c r="B56" s="376"/>
      <c r="C56" s="118" t="s">
        <v>253</v>
      </c>
      <c r="D56" s="63">
        <f t="shared" ref="D56" si="39">+E56+F56+G56+H56</f>
        <v>5300</v>
      </c>
      <c r="E56" s="63"/>
      <c r="F56" s="63"/>
      <c r="G56" s="63">
        <f>+'Հավելված N 8'!I160</f>
        <v>5300</v>
      </c>
      <c r="H56" s="63"/>
      <c r="I56" s="70"/>
      <c r="J56" s="70"/>
    </row>
    <row r="57" spans="1:10" s="29" customFormat="1" ht="35.5">
      <c r="A57" s="376"/>
      <c r="B57" s="376"/>
      <c r="C57" s="118" t="s">
        <v>254</v>
      </c>
      <c r="D57" s="63">
        <f t="shared" ref="D57:D60" si="40">+E57+F57+G57+H57</f>
        <v>4160</v>
      </c>
      <c r="E57" s="63"/>
      <c r="F57" s="63"/>
      <c r="G57" s="63">
        <f>+'Հավելված N 8'!I161</f>
        <v>4160</v>
      </c>
      <c r="H57" s="63"/>
      <c r="I57" s="70"/>
      <c r="J57" s="70"/>
    </row>
    <row r="58" spans="1:10" s="29" customFormat="1" ht="35.5">
      <c r="A58" s="376"/>
      <c r="B58" s="376"/>
      <c r="C58" s="118" t="s">
        <v>255</v>
      </c>
      <c r="D58" s="63">
        <f t="shared" si="40"/>
        <v>6800</v>
      </c>
      <c r="E58" s="63"/>
      <c r="F58" s="63"/>
      <c r="G58" s="63">
        <f>+'Հավելված N 8'!I162</f>
        <v>6800</v>
      </c>
      <c r="H58" s="63"/>
      <c r="I58" s="70"/>
      <c r="J58" s="70"/>
    </row>
    <row r="59" spans="1:10" s="29" customFormat="1" ht="35.5">
      <c r="A59" s="376"/>
      <c r="B59" s="376"/>
      <c r="C59" s="118" t="s">
        <v>257</v>
      </c>
      <c r="D59" s="63">
        <f t="shared" si="40"/>
        <v>6900</v>
      </c>
      <c r="E59" s="63"/>
      <c r="F59" s="63"/>
      <c r="G59" s="63">
        <f>+'Հավելված N 8'!I163</f>
        <v>6900</v>
      </c>
      <c r="H59" s="63"/>
      <c r="I59" s="70"/>
      <c r="J59" s="70"/>
    </row>
    <row r="60" spans="1:10" s="29" customFormat="1" ht="35.5">
      <c r="A60" s="377"/>
      <c r="B60" s="377"/>
      <c r="C60" s="118" t="s">
        <v>256</v>
      </c>
      <c r="D60" s="63">
        <f t="shared" si="40"/>
        <v>4800</v>
      </c>
      <c r="E60" s="63"/>
      <c r="F60" s="63"/>
      <c r="G60" s="63">
        <f>+'Հավելված N 8'!I164</f>
        <v>4800</v>
      </c>
      <c r="H60" s="63"/>
      <c r="I60" s="70"/>
      <c r="J60" s="70"/>
    </row>
    <row r="61" spans="1:10" s="155" customFormat="1" ht="16.95" customHeight="1">
      <c r="A61" s="151"/>
      <c r="B61" s="151"/>
      <c r="C61" s="152" t="s">
        <v>215</v>
      </c>
      <c r="D61" s="153">
        <f>SUM(E61:H61)</f>
        <v>-500</v>
      </c>
      <c r="E61" s="153">
        <f>+E62</f>
        <v>0</v>
      </c>
      <c r="F61" s="153">
        <f t="shared" ref="F61:H61" si="41">+F62</f>
        <v>0</v>
      </c>
      <c r="G61" s="153">
        <f t="shared" si="41"/>
        <v>-500</v>
      </c>
      <c r="H61" s="153">
        <f t="shared" si="41"/>
        <v>0</v>
      </c>
      <c r="I61" s="154"/>
      <c r="J61" s="154"/>
    </row>
    <row r="62" spans="1:10" s="29" customFormat="1">
      <c r="A62" s="150"/>
      <c r="B62" s="150"/>
      <c r="C62" s="118" t="s">
        <v>226</v>
      </c>
      <c r="D62" s="63">
        <f t="shared" ref="D62:D82" si="42">+E62+F62+G62+H62</f>
        <v>-500</v>
      </c>
      <c r="E62" s="63"/>
      <c r="F62" s="63"/>
      <c r="G62" s="63">
        <f>+'Հավելված N 8'!I180</f>
        <v>-500</v>
      </c>
      <c r="H62" s="63"/>
      <c r="I62" s="70"/>
      <c r="J62" s="70"/>
    </row>
    <row r="63" spans="1:10" s="155" customFormat="1" ht="16.95" customHeight="1">
      <c r="A63" s="151"/>
      <c r="B63" s="151"/>
      <c r="C63" s="152" t="s">
        <v>49</v>
      </c>
      <c r="D63" s="153">
        <f>SUM(E63:H63)</f>
        <v>40804</v>
      </c>
      <c r="E63" s="153">
        <f>SUM(E64:E71)</f>
        <v>0</v>
      </c>
      <c r="F63" s="153">
        <f t="shared" ref="F63:H63" si="43">SUM(F64:F71)</f>
        <v>0</v>
      </c>
      <c r="G63" s="153">
        <f t="shared" si="43"/>
        <v>40804</v>
      </c>
      <c r="H63" s="153">
        <f t="shared" si="43"/>
        <v>0</v>
      </c>
      <c r="I63" s="154"/>
      <c r="J63" s="154"/>
    </row>
    <row r="64" spans="1:10" s="29" customFormat="1" ht="35.5">
      <c r="A64" s="375"/>
      <c r="B64" s="375"/>
      <c r="C64" s="118" t="s">
        <v>227</v>
      </c>
      <c r="D64" s="63">
        <f t="shared" si="42"/>
        <v>-500</v>
      </c>
      <c r="E64" s="63"/>
      <c r="F64" s="63"/>
      <c r="G64" s="63">
        <f>+'Հավելված N 8'!I181</f>
        <v>-500</v>
      </c>
      <c r="H64" s="63"/>
      <c r="I64" s="70"/>
      <c r="J64" s="70"/>
    </row>
    <row r="65" spans="1:10" s="29" customFormat="1">
      <c r="A65" s="376"/>
      <c r="B65" s="376"/>
      <c r="C65" s="118" t="s">
        <v>263</v>
      </c>
      <c r="D65" s="63">
        <f t="shared" ref="D65:D71" si="44">+E65+F65+G65+H65</f>
        <v>7680</v>
      </c>
      <c r="E65" s="63"/>
      <c r="F65" s="63"/>
      <c r="G65" s="63">
        <f>+'Հավելված N 8'!I165</f>
        <v>7680</v>
      </c>
      <c r="H65" s="63"/>
      <c r="I65" s="70"/>
      <c r="J65" s="70"/>
    </row>
    <row r="66" spans="1:10" s="29" customFormat="1">
      <c r="A66" s="376"/>
      <c r="B66" s="376"/>
      <c r="C66" s="118" t="s">
        <v>258</v>
      </c>
      <c r="D66" s="63">
        <f t="shared" si="44"/>
        <v>6780</v>
      </c>
      <c r="E66" s="63"/>
      <c r="F66" s="63"/>
      <c r="G66" s="63">
        <f>+'Հավելված N 8'!I166</f>
        <v>6780</v>
      </c>
      <c r="H66" s="63"/>
      <c r="I66" s="70"/>
      <c r="J66" s="70"/>
    </row>
    <row r="67" spans="1:10" s="29" customFormat="1">
      <c r="A67" s="376"/>
      <c r="B67" s="376"/>
      <c r="C67" s="118" t="s">
        <v>260</v>
      </c>
      <c r="D67" s="63">
        <f t="shared" si="44"/>
        <v>4800</v>
      </c>
      <c r="E67" s="63"/>
      <c r="F67" s="63"/>
      <c r="G67" s="63">
        <f>+'Հավելված N 8'!I167</f>
        <v>4800</v>
      </c>
      <c r="H67" s="63"/>
      <c r="I67" s="70"/>
      <c r="J67" s="70"/>
    </row>
    <row r="68" spans="1:10" s="29" customFormat="1" ht="35.5">
      <c r="A68" s="376"/>
      <c r="B68" s="376"/>
      <c r="C68" s="118" t="s">
        <v>262</v>
      </c>
      <c r="D68" s="63">
        <f t="shared" si="44"/>
        <v>7584</v>
      </c>
      <c r="E68" s="63"/>
      <c r="F68" s="63"/>
      <c r="G68" s="63">
        <f>+'Հավելված N 8'!I168</f>
        <v>7584</v>
      </c>
      <c r="H68" s="63"/>
      <c r="I68" s="70"/>
      <c r="J68" s="70"/>
    </row>
    <row r="69" spans="1:10" s="29" customFormat="1" ht="35.5">
      <c r="A69" s="376"/>
      <c r="B69" s="376"/>
      <c r="C69" s="118" t="s">
        <v>261</v>
      </c>
      <c r="D69" s="63">
        <f t="shared" si="44"/>
        <v>4500</v>
      </c>
      <c r="E69" s="63"/>
      <c r="F69" s="63"/>
      <c r="G69" s="63">
        <f>+'Հավելված N 8'!I169</f>
        <v>4500</v>
      </c>
      <c r="H69" s="63"/>
      <c r="I69" s="70"/>
      <c r="J69" s="70"/>
    </row>
    <row r="70" spans="1:10" s="29" customFormat="1">
      <c r="A70" s="376"/>
      <c r="B70" s="376"/>
      <c r="C70" s="118" t="s">
        <v>264</v>
      </c>
      <c r="D70" s="63">
        <f t="shared" si="44"/>
        <v>5160</v>
      </c>
      <c r="E70" s="63"/>
      <c r="F70" s="63"/>
      <c r="G70" s="63">
        <f>+'Հավելված N 8'!I170</f>
        <v>5160</v>
      </c>
      <c r="H70" s="63"/>
      <c r="I70" s="70"/>
      <c r="J70" s="70"/>
    </row>
    <row r="71" spans="1:10" s="29" customFormat="1">
      <c r="A71" s="377"/>
      <c r="B71" s="377"/>
      <c r="C71" s="118" t="s">
        <v>259</v>
      </c>
      <c r="D71" s="63">
        <f t="shared" si="44"/>
        <v>4800</v>
      </c>
      <c r="E71" s="63"/>
      <c r="F71" s="63"/>
      <c r="G71" s="63">
        <f>+'Հավելված N 8'!I171</f>
        <v>4800</v>
      </c>
      <c r="H71" s="63"/>
      <c r="I71" s="70"/>
      <c r="J71" s="70"/>
    </row>
    <row r="72" spans="1:10" s="155" customFormat="1" ht="16.95" customHeight="1">
      <c r="A72" s="151"/>
      <c r="B72" s="151"/>
      <c r="C72" s="152" t="s">
        <v>73</v>
      </c>
      <c r="D72" s="153">
        <f>SUM(E72:H72)</f>
        <v>9420</v>
      </c>
      <c r="E72" s="153">
        <f>SUM(E73:E74)</f>
        <v>0</v>
      </c>
      <c r="F72" s="153">
        <f t="shared" ref="F72:H72" si="45">SUM(F73:F74)</f>
        <v>0</v>
      </c>
      <c r="G72" s="153">
        <f t="shared" si="45"/>
        <v>9420</v>
      </c>
      <c r="H72" s="153">
        <f t="shared" si="45"/>
        <v>0</v>
      </c>
      <c r="I72" s="154"/>
      <c r="J72" s="154"/>
    </row>
    <row r="73" spans="1:10" s="29" customFormat="1">
      <c r="A73" s="375"/>
      <c r="B73" s="375"/>
      <c r="C73" s="118" t="s">
        <v>266</v>
      </c>
      <c r="D73" s="63">
        <f>+E73+F73+G73+H73</f>
        <v>5640</v>
      </c>
      <c r="E73" s="63"/>
      <c r="F73" s="63"/>
      <c r="G73" s="63">
        <f>+'Հավելված N 8'!I172</f>
        <v>5640</v>
      </c>
      <c r="H73" s="63"/>
      <c r="I73" s="70"/>
      <c r="J73" s="70"/>
    </row>
    <row r="74" spans="1:10" s="29" customFormat="1">
      <c r="A74" s="377"/>
      <c r="B74" s="377"/>
      <c r="C74" s="118" t="s">
        <v>265</v>
      </c>
      <c r="D74" s="63">
        <f>+E74+F74+G74+H74</f>
        <v>3780</v>
      </c>
      <c r="E74" s="63"/>
      <c r="F74" s="63"/>
      <c r="G74" s="63">
        <f>+'Հավելված N 8'!I173</f>
        <v>3780</v>
      </c>
      <c r="H74" s="63"/>
      <c r="I74" s="70"/>
      <c r="J74" s="70"/>
    </row>
    <row r="75" spans="1:10" s="155" customFormat="1" ht="16.95" customHeight="1">
      <c r="A75" s="151"/>
      <c r="B75" s="151"/>
      <c r="C75" s="152" t="s">
        <v>64</v>
      </c>
      <c r="D75" s="153">
        <f>SUM(E75:H75)</f>
        <v>7392</v>
      </c>
      <c r="E75" s="153">
        <f>+E76</f>
        <v>0</v>
      </c>
      <c r="F75" s="153">
        <f t="shared" ref="F75:H75" si="46">+F76</f>
        <v>0</v>
      </c>
      <c r="G75" s="153">
        <f t="shared" si="46"/>
        <v>7392</v>
      </c>
      <c r="H75" s="153">
        <f t="shared" si="46"/>
        <v>0</v>
      </c>
      <c r="I75" s="154"/>
      <c r="J75" s="154"/>
    </row>
    <row r="76" spans="1:10" s="29" customFormat="1">
      <c r="A76" s="150"/>
      <c r="B76" s="150"/>
      <c r="C76" s="118" t="s">
        <v>267</v>
      </c>
      <c r="D76" s="63">
        <f t="shared" ref="D76" si="47">+E76+F76+G76+H76</f>
        <v>7392</v>
      </c>
      <c r="E76" s="63"/>
      <c r="F76" s="63"/>
      <c r="G76" s="63">
        <f>+'Հավելված N 8'!I174</f>
        <v>7392</v>
      </c>
      <c r="H76" s="63"/>
      <c r="I76" s="70"/>
      <c r="J76" s="70"/>
    </row>
    <row r="77" spans="1:10" s="155" customFormat="1" ht="16.95" customHeight="1">
      <c r="A77" s="151"/>
      <c r="B77" s="151"/>
      <c r="C77" s="152" t="s">
        <v>232</v>
      </c>
      <c r="D77" s="153">
        <f>SUM(E77:H77)</f>
        <v>2489.6</v>
      </c>
      <c r="E77" s="153">
        <f>+E78</f>
        <v>2489.6</v>
      </c>
      <c r="F77" s="153">
        <f t="shared" ref="F77" si="48">+F78</f>
        <v>0</v>
      </c>
      <c r="G77" s="153">
        <f t="shared" ref="G77" si="49">+G78</f>
        <v>0</v>
      </c>
      <c r="H77" s="153">
        <f t="shared" ref="H77" si="50">+H78</f>
        <v>0</v>
      </c>
      <c r="I77" s="154"/>
      <c r="J77" s="154"/>
    </row>
    <row r="78" spans="1:10" s="29" customFormat="1">
      <c r="A78" s="150"/>
      <c r="B78" s="150"/>
      <c r="C78" s="118" t="s">
        <v>233</v>
      </c>
      <c r="D78" s="63">
        <f t="shared" ref="D78" si="51">+E78+F78+G78+H78</f>
        <v>2489.6</v>
      </c>
      <c r="E78" s="63">
        <f>+'Հավելված N 8'!I149</f>
        <v>2489.6</v>
      </c>
      <c r="F78" s="63"/>
      <c r="G78" s="63"/>
      <c r="H78" s="63"/>
      <c r="I78" s="70"/>
      <c r="J78" s="70"/>
    </row>
    <row r="79" spans="1:10" s="155" customFormat="1" ht="16.95" customHeight="1">
      <c r="A79" s="151"/>
      <c r="B79" s="151"/>
      <c r="C79" s="152" t="s">
        <v>236</v>
      </c>
      <c r="D79" s="153">
        <f>SUM(E79:H79)</f>
        <v>-360024.6</v>
      </c>
      <c r="E79" s="153">
        <f>+E80</f>
        <v>-360024.6</v>
      </c>
      <c r="F79" s="153">
        <f t="shared" ref="F79" si="52">+F80</f>
        <v>0</v>
      </c>
      <c r="G79" s="153">
        <f t="shared" ref="G79" si="53">+G80</f>
        <v>0</v>
      </c>
      <c r="H79" s="153">
        <f t="shared" ref="H79" si="54">+H80</f>
        <v>0</v>
      </c>
      <c r="I79" s="154"/>
      <c r="J79" s="154"/>
    </row>
    <row r="80" spans="1:10" s="29" customFormat="1">
      <c r="A80" s="150"/>
      <c r="B80" s="150"/>
      <c r="C80" s="118" t="s">
        <v>237</v>
      </c>
      <c r="D80" s="63">
        <f t="shared" ref="D80" si="55">+E80+F80+G80+H80</f>
        <v>-360024.6</v>
      </c>
      <c r="E80" s="63">
        <f>+'Հավելված N 8'!I150+'Հավելված N 8'!I153</f>
        <v>-360024.6</v>
      </c>
      <c r="F80" s="63"/>
      <c r="G80" s="63"/>
      <c r="H80" s="63"/>
      <c r="I80" s="70"/>
      <c r="J80" s="70"/>
    </row>
    <row r="81" spans="1:10" s="155" customFormat="1" ht="16.95" customHeight="1">
      <c r="A81" s="151"/>
      <c r="B81" s="151"/>
      <c r="C81" s="152" t="s">
        <v>229</v>
      </c>
      <c r="D81" s="153">
        <f>SUM(E81:H81)</f>
        <v>-500</v>
      </c>
      <c r="E81" s="153">
        <f>+E82</f>
        <v>0</v>
      </c>
      <c r="F81" s="153">
        <f t="shared" ref="F81" si="56">+F82</f>
        <v>0</v>
      </c>
      <c r="G81" s="153">
        <f t="shared" ref="G81" si="57">+G82</f>
        <v>-500</v>
      </c>
      <c r="H81" s="153">
        <f t="shared" ref="H81" si="58">+H82</f>
        <v>0</v>
      </c>
      <c r="I81" s="154"/>
      <c r="J81" s="154"/>
    </row>
    <row r="82" spans="1:10" s="29" customFormat="1">
      <c r="A82" s="150"/>
      <c r="B82" s="150"/>
      <c r="C82" s="118" t="s">
        <v>228</v>
      </c>
      <c r="D82" s="63">
        <f t="shared" si="42"/>
        <v>-500</v>
      </c>
      <c r="E82" s="63"/>
      <c r="F82" s="63"/>
      <c r="G82" s="63">
        <f>+'Հավելված N 8'!I182</f>
        <v>-500</v>
      </c>
      <c r="H82" s="63"/>
      <c r="I82" s="70"/>
      <c r="J82" s="70"/>
    </row>
    <row r="83" spans="1:10">
      <c r="A83" s="68">
        <v>1236</v>
      </c>
      <c r="B83" s="182">
        <v>32005</v>
      </c>
      <c r="C83" s="90" t="s">
        <v>271</v>
      </c>
      <c r="D83" s="163">
        <f>SUM(E83:H83)</f>
        <v>268786.89999999997</v>
      </c>
      <c r="E83" s="163">
        <f>+E85+E86+E88+E90+E92</f>
        <v>310386.89999999997</v>
      </c>
      <c r="F83" s="163">
        <f t="shared" ref="F83:H83" si="59">+F85+F86+F88+F90+F92</f>
        <v>0</v>
      </c>
      <c r="G83" s="163">
        <f t="shared" si="59"/>
        <v>-41600</v>
      </c>
      <c r="H83" s="163">
        <f t="shared" si="59"/>
        <v>0</v>
      </c>
      <c r="I83" s="164"/>
      <c r="J83" s="164"/>
    </row>
    <row r="84" spans="1:10" s="3" customFormat="1">
      <c r="A84" s="165"/>
      <c r="B84" s="165"/>
      <c r="C84" s="166" t="s">
        <v>6</v>
      </c>
      <c r="D84" s="151"/>
      <c r="E84" s="167"/>
      <c r="F84" s="167"/>
      <c r="G84" s="167"/>
      <c r="H84" s="167"/>
      <c r="I84" s="164"/>
      <c r="J84" s="164"/>
    </row>
    <row r="85" spans="1:10" s="155" customFormat="1" ht="99.95">
      <c r="A85" s="151"/>
      <c r="B85" s="151"/>
      <c r="C85" s="162" t="s">
        <v>368</v>
      </c>
      <c r="D85" s="213">
        <f>SUM(E85:H85)</f>
        <v>-39600</v>
      </c>
      <c r="E85" s="213">
        <v>0</v>
      </c>
      <c r="F85" s="213">
        <v>0</v>
      </c>
      <c r="G85" s="213">
        <f>+'Հավելված N 8'!I90</f>
        <v>-39600</v>
      </c>
      <c r="H85" s="213">
        <v>0</v>
      </c>
      <c r="I85" s="154"/>
      <c r="J85" s="154"/>
    </row>
    <row r="86" spans="1:10" s="155" customFormat="1" ht="16.95" customHeight="1">
      <c r="A86" s="151"/>
      <c r="B86" s="151"/>
      <c r="C86" s="152" t="s">
        <v>214</v>
      </c>
      <c r="D86" s="153">
        <f>SUM(E86:H86)</f>
        <v>309886.89999999997</v>
      </c>
      <c r="E86" s="153">
        <f>+E87</f>
        <v>310386.89999999997</v>
      </c>
      <c r="F86" s="153">
        <f t="shared" ref="F86:H86" si="60">+F87</f>
        <v>0</v>
      </c>
      <c r="G86" s="153">
        <f t="shared" si="60"/>
        <v>-500</v>
      </c>
      <c r="H86" s="153">
        <f t="shared" si="60"/>
        <v>0</v>
      </c>
      <c r="I86" s="154"/>
      <c r="J86" s="154"/>
    </row>
    <row r="87" spans="1:10" s="29" customFormat="1">
      <c r="A87" s="150"/>
      <c r="B87" s="150"/>
      <c r="C87" s="118" t="s">
        <v>272</v>
      </c>
      <c r="D87" s="63">
        <f t="shared" ref="D87" si="61">+E87+F87+G87+H87</f>
        <v>309886.89999999997</v>
      </c>
      <c r="E87" s="63">
        <f>+'Հավելված N 8'!I186+'Հավելված N 8'!I188+'Հավելված N 8'!I189</f>
        <v>310386.89999999997</v>
      </c>
      <c r="F87" s="63"/>
      <c r="G87" s="63">
        <f>+'Հավելված N 8'!I190</f>
        <v>-500</v>
      </c>
      <c r="H87" s="63"/>
      <c r="I87" s="70"/>
      <c r="J87" s="70"/>
    </row>
    <row r="88" spans="1:10" s="155" customFormat="1" ht="16.95" customHeight="1">
      <c r="A88" s="151"/>
      <c r="B88" s="151"/>
      <c r="C88" s="152" t="s">
        <v>73</v>
      </c>
      <c r="D88" s="153">
        <f>SUM(E88:H88)</f>
        <v>-500</v>
      </c>
      <c r="E88" s="153">
        <f>+E89</f>
        <v>0</v>
      </c>
      <c r="F88" s="153">
        <f t="shared" ref="F88" si="62">+F89</f>
        <v>0</v>
      </c>
      <c r="G88" s="153">
        <f t="shared" ref="G88" si="63">+G89</f>
        <v>-500</v>
      </c>
      <c r="H88" s="153">
        <f t="shared" ref="H88" si="64">+H89</f>
        <v>0</v>
      </c>
      <c r="I88" s="154"/>
      <c r="J88" s="154"/>
    </row>
    <row r="89" spans="1:10" s="29" customFormat="1">
      <c r="A89" s="150"/>
      <c r="B89" s="150"/>
      <c r="C89" s="118" t="s">
        <v>276</v>
      </c>
      <c r="D89" s="63">
        <f t="shared" ref="D89:D93" si="65">+E89+F89+G89+H89</f>
        <v>-500</v>
      </c>
      <c r="E89" s="63"/>
      <c r="F89" s="63"/>
      <c r="G89" s="63">
        <f>+'Հավելված N 8'!I191</f>
        <v>-500</v>
      </c>
      <c r="H89" s="63"/>
      <c r="I89" s="70"/>
      <c r="J89" s="70"/>
    </row>
    <row r="90" spans="1:10" s="155" customFormat="1" ht="16.95" customHeight="1">
      <c r="A90" s="151"/>
      <c r="B90" s="151"/>
      <c r="C90" s="152" t="s">
        <v>63</v>
      </c>
      <c r="D90" s="153">
        <f>SUM(E90:H90)</f>
        <v>-500</v>
      </c>
      <c r="E90" s="153">
        <f>+E91</f>
        <v>0</v>
      </c>
      <c r="F90" s="153">
        <f t="shared" ref="F90" si="66">+F91</f>
        <v>0</v>
      </c>
      <c r="G90" s="153">
        <f t="shared" ref="G90" si="67">+G91</f>
        <v>-500</v>
      </c>
      <c r="H90" s="153">
        <f t="shared" ref="H90" si="68">+H91</f>
        <v>0</v>
      </c>
      <c r="I90" s="154"/>
      <c r="J90" s="154"/>
    </row>
    <row r="91" spans="1:10" s="29" customFormat="1">
      <c r="A91" s="150"/>
      <c r="B91" s="150"/>
      <c r="C91" s="118" t="s">
        <v>277</v>
      </c>
      <c r="D91" s="63">
        <f t="shared" si="65"/>
        <v>-500</v>
      </c>
      <c r="E91" s="63"/>
      <c r="F91" s="63"/>
      <c r="G91" s="63">
        <f>+'Հավելված N 8'!I192</f>
        <v>-500</v>
      </c>
      <c r="H91" s="63"/>
      <c r="I91" s="70"/>
      <c r="J91" s="70"/>
    </row>
    <row r="92" spans="1:10" s="155" customFormat="1" ht="16.95" customHeight="1">
      <c r="A92" s="151"/>
      <c r="B92" s="151"/>
      <c r="C92" s="152" t="s">
        <v>279</v>
      </c>
      <c r="D92" s="153">
        <f>SUM(E92:H92)</f>
        <v>-500</v>
      </c>
      <c r="E92" s="153">
        <f>+E93</f>
        <v>0</v>
      </c>
      <c r="F92" s="153">
        <f t="shared" ref="F92" si="69">+F93</f>
        <v>0</v>
      </c>
      <c r="G92" s="153">
        <f t="shared" ref="G92" si="70">+G93</f>
        <v>-500</v>
      </c>
      <c r="H92" s="153">
        <f t="shared" ref="H92" si="71">+H93</f>
        <v>0</v>
      </c>
      <c r="I92" s="154"/>
      <c r="J92" s="154"/>
    </row>
    <row r="93" spans="1:10" s="29" customFormat="1">
      <c r="A93" s="150"/>
      <c r="B93" s="150"/>
      <c r="C93" s="118" t="s">
        <v>278</v>
      </c>
      <c r="D93" s="63">
        <f t="shared" si="65"/>
        <v>-500</v>
      </c>
      <c r="E93" s="63"/>
      <c r="F93" s="63"/>
      <c r="G93" s="63">
        <f>+'Հավելված N 8'!I193</f>
        <v>-500</v>
      </c>
      <c r="H93" s="63"/>
      <c r="I93" s="70"/>
      <c r="J93" s="70"/>
    </row>
  </sheetData>
  <mergeCells count="21">
    <mergeCell ref="B55:B60"/>
    <mergeCell ref="A55:A60"/>
    <mergeCell ref="B64:B71"/>
    <mergeCell ref="A64:A71"/>
    <mergeCell ref="B73:B74"/>
    <mergeCell ref="A73:A74"/>
    <mergeCell ref="B34:B37"/>
    <mergeCell ref="A34:A37"/>
    <mergeCell ref="B41:B42"/>
    <mergeCell ref="A41:A42"/>
    <mergeCell ref="F1:H1"/>
    <mergeCell ref="F2:H2"/>
    <mergeCell ref="F3:H3"/>
    <mergeCell ref="A5:H6"/>
    <mergeCell ref="G8:H8"/>
    <mergeCell ref="A9:B9"/>
    <mergeCell ref="C9:C10"/>
    <mergeCell ref="D9:D10"/>
    <mergeCell ref="E9:H9"/>
    <mergeCell ref="B28:B29"/>
    <mergeCell ref="A28:A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G121"/>
  <sheetViews>
    <sheetView topLeftCell="A7" zoomScale="85" zoomScaleNormal="85" workbookViewId="0">
      <selection activeCell="E12" sqref="E12"/>
    </sheetView>
  </sheetViews>
  <sheetFormatPr defaultColWidth="9.09765625" defaultRowHeight="17.75"/>
  <cols>
    <col min="1" max="3" width="9.09765625" style="62"/>
    <col min="4" max="4" width="54.19921875" style="62" customWidth="1"/>
    <col min="5" max="6" width="22.3984375" style="62" customWidth="1"/>
    <col min="7" max="7" width="12.796875" style="62" bestFit="1" customWidth="1"/>
    <col min="8" max="16384" width="9.09765625" style="62"/>
  </cols>
  <sheetData>
    <row r="1" spans="2:6" s="183" customFormat="1" ht="25.55" customHeight="1">
      <c r="E1" s="378" t="s">
        <v>402</v>
      </c>
      <c r="F1" s="378"/>
    </row>
    <row r="2" spans="2:6" s="66" customFormat="1" ht="17.899999999999999" customHeight="1">
      <c r="D2" s="337" t="s">
        <v>99</v>
      </c>
      <c r="E2" s="337"/>
      <c r="F2" s="337"/>
    </row>
    <row r="3" spans="2:6" s="66" customFormat="1">
      <c r="D3" s="184"/>
      <c r="E3" s="379" t="s">
        <v>20</v>
      </c>
      <c r="F3" s="379"/>
    </row>
    <row r="4" spans="2:6" s="66" customFormat="1" ht="13.7" customHeight="1">
      <c r="D4" s="184"/>
      <c r="E4" s="184"/>
      <c r="F4" s="184"/>
    </row>
    <row r="5" spans="2:6" s="66" customFormat="1" ht="13.7" customHeight="1">
      <c r="D5" s="184"/>
      <c r="E5" s="184"/>
      <c r="F5" s="184"/>
    </row>
    <row r="6" spans="2:6" s="66" customFormat="1" ht="85.7" customHeight="1">
      <c r="B6" s="380" t="s">
        <v>106</v>
      </c>
      <c r="C6" s="380"/>
      <c r="D6" s="380"/>
      <c r="E6" s="380"/>
      <c r="F6" s="380"/>
    </row>
    <row r="7" spans="2:6" s="66" customFormat="1"/>
    <row r="8" spans="2:6" s="66" customFormat="1">
      <c r="E8" s="185"/>
      <c r="F8" s="185" t="s">
        <v>9</v>
      </c>
    </row>
    <row r="9" spans="2:6" s="66" customFormat="1" ht="68.95" customHeight="1">
      <c r="B9" s="366" t="s">
        <v>37</v>
      </c>
      <c r="C9" s="367"/>
      <c r="D9" s="368" t="s">
        <v>38</v>
      </c>
      <c r="E9" s="381" t="s">
        <v>56</v>
      </c>
      <c r="F9" s="374"/>
    </row>
    <row r="10" spans="2:6" s="66" customFormat="1" ht="88.25" customHeight="1">
      <c r="B10" s="186" t="s">
        <v>14</v>
      </c>
      <c r="C10" s="186" t="s">
        <v>15</v>
      </c>
      <c r="D10" s="369"/>
      <c r="E10" s="187" t="s">
        <v>2</v>
      </c>
      <c r="F10" s="187" t="s">
        <v>3</v>
      </c>
    </row>
    <row r="11" spans="2:6" s="66" customFormat="1" ht="33.35">
      <c r="B11" s="186"/>
      <c r="C11" s="186"/>
      <c r="D11" s="188" t="s">
        <v>17</v>
      </c>
      <c r="E11" s="28">
        <f>+E13+E19+E27+E33+E42+E65+E68+E107</f>
        <v>-17379.399999999965</v>
      </c>
      <c r="F11" s="28">
        <f>+F13+F19+F27+F33+F42+F65+F68+F107</f>
        <v>-2505.0999999998021</v>
      </c>
    </row>
    <row r="12" spans="2:6" s="66" customFormat="1">
      <c r="B12" s="186"/>
      <c r="C12" s="186"/>
      <c r="D12" s="189" t="s">
        <v>47</v>
      </c>
      <c r="E12" s="285"/>
      <c r="F12" s="285"/>
    </row>
    <row r="13" spans="2:6" s="66" customFormat="1" ht="33.35">
      <c r="B13" s="68">
        <v>1045</v>
      </c>
      <c r="C13" s="68">
        <v>32005</v>
      </c>
      <c r="D13" s="90" t="s">
        <v>296</v>
      </c>
      <c r="E13" s="282">
        <f t="shared" ref="E13:F13" si="0">+E15</f>
        <v>-84576.900000000009</v>
      </c>
      <c r="F13" s="282">
        <f t="shared" si="0"/>
        <v>-130775.9</v>
      </c>
    </row>
    <row r="14" spans="2:6" s="66" customFormat="1">
      <c r="B14" s="79"/>
      <c r="C14" s="79"/>
      <c r="D14" s="82" t="s">
        <v>16</v>
      </c>
      <c r="E14" s="286"/>
      <c r="F14" s="286"/>
    </row>
    <row r="15" spans="2:6" s="66" customFormat="1">
      <c r="B15" s="51"/>
      <c r="C15" s="51"/>
      <c r="D15" s="52" t="s">
        <v>171</v>
      </c>
      <c r="E15" s="288">
        <f t="shared" ref="E15:F15" si="1">+E17</f>
        <v>-84576.900000000009</v>
      </c>
      <c r="F15" s="288">
        <f t="shared" si="1"/>
        <v>-130775.9</v>
      </c>
    </row>
    <row r="16" spans="2:6" s="66" customFormat="1">
      <c r="B16" s="67"/>
      <c r="C16" s="67"/>
      <c r="D16" s="64" t="s">
        <v>103</v>
      </c>
      <c r="E16" s="289"/>
      <c r="F16" s="287"/>
    </row>
    <row r="17" spans="2:6" s="84" customFormat="1">
      <c r="B17" s="83"/>
      <c r="C17" s="83"/>
      <c r="D17" s="162" t="s">
        <v>49</v>
      </c>
      <c r="E17" s="290">
        <f t="shared" ref="E17" si="2">+E18</f>
        <v>-84576.900000000009</v>
      </c>
      <c r="F17" s="290">
        <f t="shared" ref="F17" si="3">+F18</f>
        <v>-130775.9</v>
      </c>
    </row>
    <row r="18" spans="2:6" s="66" customFormat="1" ht="35.5">
      <c r="B18" s="132"/>
      <c r="C18" s="132"/>
      <c r="D18" s="118" t="s">
        <v>297</v>
      </c>
      <c r="E18" s="284">
        <f>-43184.9-2159.2-37869.5-1136.1-227.2</f>
        <v>-84576.900000000009</v>
      </c>
      <c r="F18" s="284">
        <f>+'Հավելված N 4'!D18</f>
        <v>-130775.9</v>
      </c>
    </row>
    <row r="19" spans="2:6" s="66" customFormat="1">
      <c r="B19" s="68">
        <v>1163</v>
      </c>
      <c r="C19" s="68">
        <v>32001</v>
      </c>
      <c r="D19" s="90" t="s">
        <v>280</v>
      </c>
      <c r="E19" s="282">
        <f t="shared" ref="E19:F19" si="4">+E21</f>
        <v>-115074.6</v>
      </c>
      <c r="F19" s="282">
        <f t="shared" si="4"/>
        <v>0</v>
      </c>
    </row>
    <row r="20" spans="2:6" s="66" customFormat="1">
      <c r="B20" s="79"/>
      <c r="C20" s="79"/>
      <c r="D20" s="82" t="s">
        <v>16</v>
      </c>
      <c r="E20" s="286"/>
      <c r="F20" s="286"/>
    </row>
    <row r="21" spans="2:6" s="66" customFormat="1">
      <c r="B21" s="51"/>
      <c r="C21" s="51"/>
      <c r="D21" s="52" t="s">
        <v>171</v>
      </c>
      <c r="E21" s="288">
        <f>+E23+E25</f>
        <v>-115074.6</v>
      </c>
      <c r="F21" s="288">
        <f>+F23+F25</f>
        <v>0</v>
      </c>
    </row>
    <row r="22" spans="2:6" s="66" customFormat="1">
      <c r="B22" s="67"/>
      <c r="C22" s="67"/>
      <c r="D22" s="64" t="s">
        <v>103</v>
      </c>
      <c r="E22" s="289"/>
      <c r="F22" s="289"/>
    </row>
    <row r="23" spans="2:6" s="66" customFormat="1">
      <c r="B23" s="51"/>
      <c r="C23" s="51"/>
      <c r="D23" s="162" t="s">
        <v>50</v>
      </c>
      <c r="E23" s="291">
        <f t="shared" ref="E23:F23" si="5">+E24</f>
        <v>-80552.200000000012</v>
      </c>
      <c r="F23" s="291">
        <f t="shared" si="5"/>
        <v>0</v>
      </c>
    </row>
    <row r="24" spans="2:6" s="66" customFormat="1" ht="53.2">
      <c r="B24" s="133"/>
      <c r="C24" s="133"/>
      <c r="D24" s="118" t="s">
        <v>281</v>
      </c>
      <c r="E24" s="219">
        <f>-77753.1-2332.6-466.5</f>
        <v>-80552.200000000012</v>
      </c>
      <c r="F24" s="284">
        <v>0</v>
      </c>
    </row>
    <row r="25" spans="2:6" s="66" customFormat="1">
      <c r="B25" s="51"/>
      <c r="C25" s="51"/>
      <c r="D25" s="162" t="s">
        <v>214</v>
      </c>
      <c r="E25" s="291">
        <f>+E26</f>
        <v>-34522.400000000001</v>
      </c>
      <c r="F25" s="291">
        <f t="shared" ref="F25" si="6">+F26</f>
        <v>0</v>
      </c>
    </row>
    <row r="26" spans="2:6" s="66" customFormat="1" ht="35.5">
      <c r="B26" s="133"/>
      <c r="C26" s="133"/>
      <c r="D26" s="118" t="s">
        <v>282</v>
      </c>
      <c r="E26" s="219">
        <f>-33322.8-999.7-199.9</f>
        <v>-34522.400000000001</v>
      </c>
      <c r="F26" s="284">
        <v>0</v>
      </c>
    </row>
    <row r="27" spans="2:6" s="98" customFormat="1" ht="50">
      <c r="B27" s="135">
        <v>1168</v>
      </c>
      <c r="C27" s="135">
        <v>32001</v>
      </c>
      <c r="D27" s="136" t="s">
        <v>153</v>
      </c>
      <c r="E27" s="292">
        <f>+E29</f>
        <v>0</v>
      </c>
      <c r="F27" s="292">
        <f>+F29</f>
        <v>17600</v>
      </c>
    </row>
    <row r="28" spans="2:6" s="98" customFormat="1">
      <c r="B28" s="138"/>
      <c r="C28" s="138"/>
      <c r="D28" s="139" t="s">
        <v>16</v>
      </c>
      <c r="E28" s="293"/>
      <c r="F28" s="293"/>
    </row>
    <row r="29" spans="2:6" s="98" customFormat="1">
      <c r="B29" s="140"/>
      <c r="C29" s="140"/>
      <c r="D29" s="141" t="s">
        <v>171</v>
      </c>
      <c r="E29" s="294">
        <f>+E31</f>
        <v>0</v>
      </c>
      <c r="F29" s="294">
        <f>+F31</f>
        <v>17600</v>
      </c>
    </row>
    <row r="30" spans="2:6" s="98" customFormat="1">
      <c r="B30" s="142"/>
      <c r="C30" s="142"/>
      <c r="D30" s="143" t="s">
        <v>103</v>
      </c>
      <c r="E30" s="295"/>
      <c r="F30" s="295"/>
    </row>
    <row r="31" spans="2:6" s="98" customFormat="1">
      <c r="B31" s="140"/>
      <c r="C31" s="140"/>
      <c r="D31" s="144" t="s">
        <v>64</v>
      </c>
      <c r="E31" s="296">
        <f>+E32</f>
        <v>0</v>
      </c>
      <c r="F31" s="296">
        <f>+F32</f>
        <v>17600</v>
      </c>
    </row>
    <row r="32" spans="2:6" s="98" customFormat="1" ht="35.5">
      <c r="B32" s="145"/>
      <c r="C32" s="145"/>
      <c r="D32" s="146" t="str">
        <f>+'Հավելված N 4'!C22</f>
        <v>«Վանաձորի Հ. Աբելյանի անվան պետական դրամատիկական թատրոն» ՊՈԱԿ</v>
      </c>
      <c r="E32" s="297">
        <v>0</v>
      </c>
      <c r="F32" s="298">
        <f>+'Հավելված N 4'!D22</f>
        <v>17600</v>
      </c>
    </row>
    <row r="33" spans="2:6" s="66" customFormat="1" ht="50">
      <c r="B33" s="68">
        <v>1183</v>
      </c>
      <c r="C33" s="68">
        <v>32009</v>
      </c>
      <c r="D33" s="90" t="s">
        <v>289</v>
      </c>
      <c r="E33" s="282">
        <f t="shared" ref="E33:F33" si="7">+E35</f>
        <v>47910.799999999996</v>
      </c>
      <c r="F33" s="282">
        <f t="shared" si="7"/>
        <v>47910.799999999996</v>
      </c>
    </row>
    <row r="34" spans="2:6" s="66" customFormat="1">
      <c r="B34" s="79"/>
      <c r="C34" s="79"/>
      <c r="D34" s="82" t="s">
        <v>16</v>
      </c>
      <c r="E34" s="286"/>
      <c r="F34" s="286"/>
    </row>
    <row r="35" spans="2:6" s="66" customFormat="1">
      <c r="B35" s="51"/>
      <c r="C35" s="51"/>
      <c r="D35" s="52" t="s">
        <v>171</v>
      </c>
      <c r="E35" s="288">
        <f t="shared" ref="E35:F35" si="8">+E37+E39</f>
        <v>47910.799999999996</v>
      </c>
      <c r="F35" s="288">
        <f t="shared" si="8"/>
        <v>47910.799999999996</v>
      </c>
    </row>
    <row r="36" spans="2:6" s="66" customFormat="1">
      <c r="B36" s="67"/>
      <c r="C36" s="67"/>
      <c r="D36" s="64" t="s">
        <v>103</v>
      </c>
      <c r="E36" s="289"/>
      <c r="F36" s="289"/>
    </row>
    <row r="37" spans="2:6" s="66" customFormat="1">
      <c r="B37" s="51"/>
      <c r="C37" s="51"/>
      <c r="D37" s="80" t="s">
        <v>50</v>
      </c>
      <c r="E37" s="291">
        <f t="shared" ref="E37:F37" si="9">+E38</f>
        <v>40516.1</v>
      </c>
      <c r="F37" s="291">
        <f t="shared" si="9"/>
        <v>40516.1</v>
      </c>
    </row>
    <row r="38" spans="2:6" s="66" customFormat="1">
      <c r="B38" s="133"/>
      <c r="C38" s="133"/>
      <c r="D38" s="81" t="str">
        <f>+'Հավելված N 4'!C26</f>
        <v>«Երևանի հ. 37 հիմնական դպրոց» ՊՈԱԿ</v>
      </c>
      <c r="E38" s="219">
        <f>+F38</f>
        <v>40516.1</v>
      </c>
      <c r="F38" s="284">
        <f>+'Հավելված N 4'!D26</f>
        <v>40516.1</v>
      </c>
    </row>
    <row r="39" spans="2:6" s="66" customFormat="1">
      <c r="B39" s="51"/>
      <c r="C39" s="51"/>
      <c r="D39" s="80" t="s">
        <v>73</v>
      </c>
      <c r="E39" s="291">
        <f t="shared" ref="E39:F39" si="10">+E40+E41</f>
        <v>7394.7</v>
      </c>
      <c r="F39" s="291">
        <f t="shared" si="10"/>
        <v>7394.7</v>
      </c>
    </row>
    <row r="40" spans="2:6" s="66" customFormat="1">
      <c r="B40" s="388"/>
      <c r="C40" s="388"/>
      <c r="D40" s="81" t="str">
        <f>+'Հավելված N 4'!C28</f>
        <v>«Ակունք գյուղի միջնակարգ դպրոց» ՊՈԱԿ</v>
      </c>
      <c r="E40" s="219">
        <f>+F40</f>
        <v>3602.9</v>
      </c>
      <c r="F40" s="284">
        <f>+'Հավելված N 4'!D28</f>
        <v>3602.9</v>
      </c>
    </row>
    <row r="41" spans="2:6" s="66" customFormat="1">
      <c r="B41" s="389"/>
      <c r="C41" s="389"/>
      <c r="D41" s="81" t="str">
        <f>+'Հավելված N 4'!C29</f>
        <v>«Վ․ Գետաշենի թիվ 2 միջնակարգ դպրոց» ՊՈԱԿ</v>
      </c>
      <c r="E41" s="219">
        <f>+F41</f>
        <v>3791.7999999999997</v>
      </c>
      <c r="F41" s="284">
        <f>+'Հավելված N 4'!D29</f>
        <v>3791.7999999999997</v>
      </c>
    </row>
    <row r="42" spans="2:6">
      <c r="B42" s="68">
        <v>1236</v>
      </c>
      <c r="C42" s="68">
        <v>32001</v>
      </c>
      <c r="D42" s="85" t="s">
        <v>174</v>
      </c>
      <c r="E42" s="282">
        <f t="shared" ref="E42:F42" si="11">+E44</f>
        <v>542687.70000000007</v>
      </c>
      <c r="F42" s="282">
        <f t="shared" si="11"/>
        <v>734826.80000000016</v>
      </c>
    </row>
    <row r="43" spans="2:6">
      <c r="B43" s="79"/>
      <c r="C43" s="79"/>
      <c r="D43" s="82" t="s">
        <v>16</v>
      </c>
      <c r="E43" s="286"/>
      <c r="F43" s="286"/>
    </row>
    <row r="44" spans="2:6">
      <c r="B44" s="51"/>
      <c r="C44" s="51"/>
      <c r="D44" s="52" t="s">
        <v>171</v>
      </c>
      <c r="E44" s="288">
        <f>+E46+E47+E52+E54+E57+E59+E61+E63</f>
        <v>542687.70000000007</v>
      </c>
      <c r="F44" s="288">
        <f>+F46+F47+F52+F54+F57+F59+F61+F63</f>
        <v>734826.80000000016</v>
      </c>
    </row>
    <row r="45" spans="2:6">
      <c r="B45" s="67"/>
      <c r="C45" s="67"/>
      <c r="D45" s="64" t="s">
        <v>103</v>
      </c>
      <c r="E45" s="289"/>
      <c r="F45" s="289"/>
    </row>
    <row r="46" spans="2:6" ht="66.650000000000006">
      <c r="B46" s="51"/>
      <c r="C46" s="51"/>
      <c r="D46" s="80" t="str">
        <f>+'Հավելված N 4'!C32</f>
        <v>«Մոդուլային» տիպի 144 տեղ հզորությամբ մսուր-մանկապարտեզների նախագծանախահաշվային փաստաթղթերում փոփոխություններ և լրացումներ</v>
      </c>
      <c r="E46" s="291">
        <f>+F46</f>
        <v>16000</v>
      </c>
      <c r="F46" s="291">
        <f>+'Հավելված N 4'!D32</f>
        <v>16000</v>
      </c>
    </row>
    <row r="47" spans="2:6">
      <c r="B47" s="51"/>
      <c r="C47" s="51"/>
      <c r="D47" s="80" t="s">
        <v>214</v>
      </c>
      <c r="E47" s="291">
        <f t="shared" ref="E46:F47" si="12">SUM(E48:E51)</f>
        <v>415965.6</v>
      </c>
      <c r="F47" s="291">
        <f t="shared" si="12"/>
        <v>624392.80000000005</v>
      </c>
    </row>
    <row r="48" spans="2:6" s="98" customFormat="1" ht="35.5">
      <c r="B48" s="382"/>
      <c r="C48" s="382"/>
      <c r="D48" s="81" t="str">
        <f>+'Հավելված N 4'!C34</f>
        <v>Ապարան համայնքի Մելիքգյուղ բնակավայրում 75 տեղ հզորությամբ մանկապարտեզ</v>
      </c>
      <c r="E48" s="219">
        <f>99774.5+1480</f>
        <v>101254.5</v>
      </c>
      <c r="F48" s="284">
        <f>+'Հավելված N 4'!D34</f>
        <v>152325.80000000002</v>
      </c>
    </row>
    <row r="49" spans="2:6" s="98" customFormat="1" ht="35.5">
      <c r="B49" s="383"/>
      <c r="C49" s="383"/>
      <c r="D49" s="81" t="str">
        <f>+'Հավելված N 4'!C35</f>
        <v>Թալին համայնքի Կաքավաձոր բնակավայրում 75 տեղ հզորությամբ մանկապարտեզ</v>
      </c>
      <c r="E49" s="219">
        <f>99996+1838.5</f>
        <v>101834.5</v>
      </c>
      <c r="F49" s="284">
        <f>+'Հավելված N 4'!D35</f>
        <v>152751.9</v>
      </c>
    </row>
    <row r="50" spans="2:6" s="98" customFormat="1" ht="35.5">
      <c r="B50" s="383"/>
      <c r="C50" s="383"/>
      <c r="D50" s="81" t="str">
        <f>+'Հավելված N 4'!C36</f>
        <v>Թալին համայնքի Ոսկեթաս բնակավայրում 75 տեղ հզորությամբ մանկապարտեզ</v>
      </c>
      <c r="E50" s="219">
        <f>109323.7+1838.5</f>
        <v>111162.2</v>
      </c>
      <c r="F50" s="284">
        <f>+'Հավելված N 4'!D36</f>
        <v>166743.5</v>
      </c>
    </row>
    <row r="51" spans="2:6" s="98" customFormat="1" ht="35.5">
      <c r="B51" s="384"/>
      <c r="C51" s="384"/>
      <c r="D51" s="81" t="str">
        <f>+'Հավելված N 4'!C37</f>
        <v>Ծաղկահովիտ համայնքի Ծիլքար բնակավայրում 75 տեղ հզորությամբ մանկապարտեզ</v>
      </c>
      <c r="E51" s="219">
        <f>100334.4+1380</f>
        <v>101714.4</v>
      </c>
      <c r="F51" s="284">
        <f>+'Հավելված N 4'!D37</f>
        <v>152571.6</v>
      </c>
    </row>
    <row r="52" spans="2:6">
      <c r="B52" s="51"/>
      <c r="C52" s="51"/>
      <c r="D52" s="80" t="s">
        <v>215</v>
      </c>
      <c r="E52" s="291">
        <f t="shared" ref="E52:F52" si="13">+E53</f>
        <v>100083.8</v>
      </c>
      <c r="F52" s="291">
        <f t="shared" si="13"/>
        <v>150125.80000000002</v>
      </c>
    </row>
    <row r="53" spans="2:6" s="98" customFormat="1" ht="35.5">
      <c r="B53" s="67"/>
      <c r="C53" s="67"/>
      <c r="D53" s="81" t="str">
        <f>+'Հավելված N 4'!C39</f>
        <v>Արտաշատ համայնքի Բերքանուշ բնակավայրում 75 տեղ հզորությամբ մանկապարտեզ</v>
      </c>
      <c r="E53" s="219">
        <f>98307.8+1776</f>
        <v>100083.8</v>
      </c>
      <c r="F53" s="284">
        <f>+'Հավելված N 4'!D39</f>
        <v>150125.80000000002</v>
      </c>
    </row>
    <row r="54" spans="2:6">
      <c r="B54" s="51"/>
      <c r="C54" s="51"/>
      <c r="D54" s="80" t="s">
        <v>49</v>
      </c>
      <c r="E54" s="291">
        <f t="shared" ref="E54:F54" si="14">SUM(E55:E56)</f>
        <v>63730.200000000041</v>
      </c>
      <c r="F54" s="291">
        <f t="shared" si="14"/>
        <v>63730.200000000041</v>
      </c>
    </row>
    <row r="55" spans="2:6" s="98" customFormat="1" ht="53.2">
      <c r="B55" s="388"/>
      <c r="C55" s="388"/>
      <c r="D55" s="81" t="str">
        <f>+'Հավելված N 4'!C41</f>
        <v>ՀՀ Արմավիրի մարզի Նորավան համայնքում «Մոդուլային» տիպի 144 տեղ հզորությամբ մսուր-մանկապարտեզ</v>
      </c>
      <c r="E55" s="219">
        <f>+F55</f>
        <v>198074.40000000002</v>
      </c>
      <c r="F55" s="284">
        <f>+'Հավելված N 4'!D41</f>
        <v>198074.40000000002</v>
      </c>
    </row>
    <row r="56" spans="2:6" s="98" customFormat="1" ht="53.2">
      <c r="B56" s="389"/>
      <c r="C56" s="389"/>
      <c r="D56" s="81" t="str">
        <f>+'Հավելված N 4'!C42</f>
        <v>ՀՀ Արմավիրի մարզի Փշատավան համայնքում «Մոդուլային» տիպի 144 տեղ հզորությամբ մսուր-մանկապարտեզ</v>
      </c>
      <c r="E56" s="219">
        <f>+F56</f>
        <v>-134344.19999999998</v>
      </c>
      <c r="F56" s="284">
        <f>+'Հավելված N 4'!D42</f>
        <v>-134344.19999999998</v>
      </c>
    </row>
    <row r="57" spans="2:6">
      <c r="B57" s="51"/>
      <c r="C57" s="51"/>
      <c r="D57" s="80" t="s">
        <v>73</v>
      </c>
      <c r="E57" s="291">
        <f t="shared" ref="E57:F57" si="15">+E58</f>
        <v>11947.4</v>
      </c>
      <c r="F57" s="291">
        <f t="shared" si="15"/>
        <v>11947.4</v>
      </c>
    </row>
    <row r="58" spans="2:6" s="98" customFormat="1" ht="53.2">
      <c r="B58" s="133"/>
      <c r="C58" s="133"/>
      <c r="D58" s="81" t="str">
        <f>+'Հավելված N 4'!C44</f>
        <v xml:space="preserve">ՀՀ Գեղարքունիքի մարզի Աստղաձոր համայնքում «Մոդուլային» տիպի 144 տեղ հզորությամբ մսուր-մանկապարտեզ </v>
      </c>
      <c r="E58" s="219">
        <f>+F58</f>
        <v>11947.4</v>
      </c>
      <c r="F58" s="284">
        <f>+'Հավելված N 4'!D44</f>
        <v>11947.4</v>
      </c>
    </row>
    <row r="59" spans="2:6">
      <c r="B59" s="51"/>
      <c r="C59" s="51"/>
      <c r="D59" s="80" t="s">
        <v>64</v>
      </c>
      <c r="E59" s="291">
        <f t="shared" ref="E59:F59" si="16">+E60</f>
        <v>37244.1</v>
      </c>
      <c r="F59" s="291">
        <f t="shared" si="16"/>
        <v>37244.1</v>
      </c>
    </row>
    <row r="60" spans="2:6" s="98" customFormat="1" ht="53.2">
      <c r="B60" s="133"/>
      <c r="C60" s="133"/>
      <c r="D60" s="81" t="str">
        <f>+'Հավելված N 4'!C46</f>
        <v xml:space="preserve">ՀՀ Լոռու մարզի Սպիտակ համայնքում «Մոդուլային» տիպի 144 տեղ հզորությամբ մսուր-մանկապարտեզ </v>
      </c>
      <c r="E60" s="219">
        <f>+F60</f>
        <v>37244.1</v>
      </c>
      <c r="F60" s="284">
        <f>+'Հավելված N 4'!D46</f>
        <v>37244.1</v>
      </c>
    </row>
    <row r="61" spans="2:6">
      <c r="B61" s="51"/>
      <c r="C61" s="51"/>
      <c r="D61" s="80" t="s">
        <v>63</v>
      </c>
      <c r="E61" s="291">
        <f t="shared" ref="E61:F61" si="17">+E62</f>
        <v>2830.5</v>
      </c>
      <c r="F61" s="291">
        <f t="shared" si="17"/>
        <v>2830.5</v>
      </c>
    </row>
    <row r="62" spans="2:6" s="98" customFormat="1" ht="53.2">
      <c r="B62" s="133"/>
      <c r="C62" s="133"/>
      <c r="D62" s="81" t="str">
        <f>+'Հավելված N 4'!C48</f>
        <v xml:space="preserve">ՀՀ Կոտայքի մարզի Հրազդան համայնքում «Մոդուլային» տիպի 144 տեղ հզորությամբ մսուր-մանկապարտեզ </v>
      </c>
      <c r="E62" s="219">
        <f>+F62</f>
        <v>2830.5</v>
      </c>
      <c r="F62" s="284">
        <f>+'Հավելված N 4'!D48</f>
        <v>2830.5</v>
      </c>
    </row>
    <row r="63" spans="2:6">
      <c r="B63" s="51"/>
      <c r="C63" s="51"/>
      <c r="D63" s="80" t="s">
        <v>198</v>
      </c>
      <c r="E63" s="291">
        <f t="shared" ref="E63" si="18">+E64</f>
        <v>-105113.90000000001</v>
      </c>
      <c r="F63" s="291">
        <f t="shared" ref="F63" si="19">+F64</f>
        <v>-171444.00000000003</v>
      </c>
    </row>
    <row r="64" spans="2:6" s="98" customFormat="1" ht="53.2">
      <c r="B64" s="133"/>
      <c r="C64" s="133"/>
      <c r="D64" s="81" t="str">
        <f>+'Հավելված N 4'!C50</f>
        <v>ՀՀ Վայոց ձորի մարզի Եղեգիս համայնքի Շատին բնակավայրում «Մոդուլային» տիպի 250 տեղ հզորությամբ մսուր-մանկապարտեզ</v>
      </c>
      <c r="E64" s="219">
        <f>-101461.3-3043.8-608.8</f>
        <v>-105113.90000000001</v>
      </c>
      <c r="F64" s="284">
        <f>+'Հավելված N 4'!D50</f>
        <v>-171444.00000000003</v>
      </c>
    </row>
    <row r="65" spans="2:7" s="66" customFormat="1" ht="33.35">
      <c r="B65" s="68">
        <v>1236</v>
      </c>
      <c r="C65" s="56">
        <v>32002</v>
      </c>
      <c r="D65" s="90" t="s">
        <v>370</v>
      </c>
      <c r="E65" s="299">
        <f t="shared" ref="E65:F65" si="20">+E67</f>
        <v>-247373.1</v>
      </c>
      <c r="F65" s="299">
        <f t="shared" si="20"/>
        <v>0</v>
      </c>
    </row>
    <row r="66" spans="2:7" s="66" customFormat="1">
      <c r="B66" s="79"/>
      <c r="C66" s="79"/>
      <c r="D66" s="82" t="s">
        <v>16</v>
      </c>
      <c r="E66" s="300"/>
      <c r="F66" s="300"/>
    </row>
    <row r="67" spans="2:7" s="66" customFormat="1">
      <c r="B67" s="51"/>
      <c r="C67" s="51"/>
      <c r="D67" s="283" t="s">
        <v>27</v>
      </c>
      <c r="E67" s="301">
        <v>-247373.1</v>
      </c>
      <c r="F67" s="302">
        <f>+'[1]Հավելված N 3'!D34</f>
        <v>0</v>
      </c>
    </row>
    <row r="68" spans="2:7" ht="33.35">
      <c r="B68" s="68">
        <v>1236</v>
      </c>
      <c r="C68" s="68">
        <v>32003</v>
      </c>
      <c r="D68" s="85" t="s">
        <v>222</v>
      </c>
      <c r="E68" s="282">
        <f>+E70+E73</f>
        <v>-447449.10000000003</v>
      </c>
      <c r="F68" s="282">
        <f>+F70+F73</f>
        <v>-940853.7</v>
      </c>
    </row>
    <row r="69" spans="2:7">
      <c r="B69" s="79"/>
      <c r="C69" s="79"/>
      <c r="D69" s="82" t="s">
        <v>16</v>
      </c>
      <c r="E69" s="286"/>
      <c r="F69" s="286"/>
    </row>
    <row r="70" spans="2:7" ht="33.35">
      <c r="B70" s="51"/>
      <c r="C70" s="51"/>
      <c r="D70" s="52" t="s">
        <v>12</v>
      </c>
      <c r="E70" s="288">
        <f t="shared" ref="E70:F70" si="21">+E72</f>
        <v>0</v>
      </c>
      <c r="F70" s="288">
        <f t="shared" si="21"/>
        <v>-363095</v>
      </c>
    </row>
    <row r="71" spans="2:7">
      <c r="B71" s="67"/>
      <c r="C71" s="67"/>
      <c r="D71" s="64" t="s">
        <v>103</v>
      </c>
      <c r="E71" s="289"/>
      <c r="F71" s="289"/>
    </row>
    <row r="72" spans="2:7" ht="99.95">
      <c r="B72" s="51"/>
      <c r="C72" s="51"/>
      <c r="D72" s="137" t="s">
        <v>298</v>
      </c>
      <c r="E72" s="291">
        <v>0</v>
      </c>
      <c r="F72" s="291">
        <f>+'Հավելված N 8'!I16</f>
        <v>-363095</v>
      </c>
    </row>
    <row r="73" spans="2:7">
      <c r="B73" s="51"/>
      <c r="C73" s="51"/>
      <c r="D73" s="52" t="s">
        <v>171</v>
      </c>
      <c r="E73" s="288">
        <f t="shared" ref="E73:F73" si="22">+E75+E76+E83+E85+E94+E97+E99+E101+E103+E105</f>
        <v>-447449.10000000003</v>
      </c>
      <c r="F73" s="288">
        <f t="shared" si="22"/>
        <v>-577758.69999999995</v>
      </c>
      <c r="G73" s="303"/>
    </row>
    <row r="74" spans="2:7">
      <c r="B74" s="67"/>
      <c r="C74" s="67"/>
      <c r="D74" s="64" t="s">
        <v>103</v>
      </c>
      <c r="E74" s="289"/>
      <c r="F74" s="289"/>
    </row>
    <row r="75" spans="2:7" ht="99.95">
      <c r="B75" s="51"/>
      <c r="C75" s="51"/>
      <c r="D75" s="137" t="s">
        <v>298</v>
      </c>
      <c r="E75" s="291">
        <v>0</v>
      </c>
      <c r="F75" s="291">
        <f>+'Հավելված N 8'!I156+'Հավելված N 8'!I176+'Հավելված N 8'!I157+'Հավելված N 8'!I177+'Հավելված N 8'!I158+'Հավելված N 8'!I178+'Հավելված N 8'!I159+'Հավելված N 8'!I179</f>
        <v>-54800</v>
      </c>
    </row>
    <row r="76" spans="2:7">
      <c r="B76" s="51"/>
      <c r="C76" s="51"/>
      <c r="D76" s="80" t="s">
        <v>50</v>
      </c>
      <c r="E76" s="291">
        <f t="shared" ref="E76:F76" si="23">SUM(E77:E82)</f>
        <v>-177486.60000000003</v>
      </c>
      <c r="F76" s="291">
        <f t="shared" si="23"/>
        <v>-222039.69999999998</v>
      </c>
    </row>
    <row r="77" spans="2:7" s="98" customFormat="1">
      <c r="B77" s="385"/>
      <c r="C77" s="385"/>
      <c r="D77" s="118" t="str">
        <f>+'Հավելված N 4'!C55</f>
        <v>«Երևանի թիվ 109 ավագ դպրոց» ՊՈԱԿ</v>
      </c>
      <c r="E77" s="219">
        <f>-176617.7-4809.2-1059.7+5000</f>
        <v>-177486.60000000003</v>
      </c>
      <c r="F77" s="284">
        <f>+'Հավելված N 4'!D55</f>
        <v>-249999.69999999998</v>
      </c>
    </row>
    <row r="78" spans="2:7" s="98" customFormat="1">
      <c r="B78" s="386"/>
      <c r="C78" s="386"/>
      <c r="D78" s="118" t="str">
        <f>+'Հավելված N 4'!C56</f>
        <v>«Երևանի հ. 136 հիմնական դպրոց» ՊՈԱԿ</v>
      </c>
      <c r="E78" s="219">
        <v>0</v>
      </c>
      <c r="F78" s="284">
        <f>+'Հավելված N 4'!D56</f>
        <v>5300</v>
      </c>
    </row>
    <row r="79" spans="2:7" s="98" customFormat="1" ht="35.5">
      <c r="B79" s="386"/>
      <c r="C79" s="386"/>
      <c r="D79" s="118" t="str">
        <f>+'Հավելված N 4'!C57</f>
        <v>«Երևանի Միքայել Նալբանդյանի անվան հ.33 հիմնական դպրոց» ՊՈԱԿ</v>
      </c>
      <c r="E79" s="219">
        <v>0</v>
      </c>
      <c r="F79" s="284">
        <f>+'Հավելված N 4'!D57</f>
        <v>4160</v>
      </c>
    </row>
    <row r="80" spans="2:7" s="98" customFormat="1" ht="35.5">
      <c r="B80" s="386"/>
      <c r="C80" s="386"/>
      <c r="D80" s="118" t="str">
        <f>+'Հավելված N 4'!C58</f>
        <v>«Երևանի Ս. Խանզադյանի անվան հ. 184 ավագ դպրոց» ՊՈԱԿ</v>
      </c>
      <c r="E80" s="219">
        <v>0</v>
      </c>
      <c r="F80" s="284">
        <f>+'Հավելված N 4'!D58</f>
        <v>6800</v>
      </c>
    </row>
    <row r="81" spans="2:6" s="98" customFormat="1" ht="35.5">
      <c r="B81" s="386"/>
      <c r="C81" s="386"/>
      <c r="D81" s="118" t="str">
        <f>+'Հավելված N 4'!C59</f>
        <v>«Երևանի Ա. Երզնկյանի անվան հ. 118 ավագ դպրոց» ՊՈԱԿ</v>
      </c>
      <c r="E81" s="219">
        <v>0</v>
      </c>
      <c r="F81" s="284">
        <f>+'Հավելված N 4'!D59</f>
        <v>6900</v>
      </c>
    </row>
    <row r="82" spans="2:6" s="98" customFormat="1" ht="35.5">
      <c r="B82" s="387"/>
      <c r="C82" s="387"/>
      <c r="D82" s="118" t="str">
        <f>+'Հավելված N 4'!C60</f>
        <v>«Երևանի Մ. Սարյանի անվան հ. 86 հիմնական դպրոց» ՊՈԱԿ</v>
      </c>
      <c r="E82" s="219">
        <v>0</v>
      </c>
      <c r="F82" s="284">
        <f>+'Հավելված N 4'!D60</f>
        <v>4800</v>
      </c>
    </row>
    <row r="83" spans="2:6">
      <c r="B83" s="51"/>
      <c r="C83" s="51"/>
      <c r="D83" s="80" t="s">
        <v>215</v>
      </c>
      <c r="E83" s="291">
        <f t="shared" ref="E83:F83" si="24">+E84</f>
        <v>-500</v>
      </c>
      <c r="F83" s="291">
        <f t="shared" si="24"/>
        <v>-500</v>
      </c>
    </row>
    <row r="84" spans="2:6" s="98" customFormat="1">
      <c r="B84" s="134"/>
      <c r="C84" s="134"/>
      <c r="D84" s="118" t="str">
        <f>+'Հավելված N 4'!C62</f>
        <v>«Նիզամիի միջնակարգ դպրոց» ՊՈԱԿ</v>
      </c>
      <c r="E84" s="219">
        <f>+F84</f>
        <v>-500</v>
      </c>
      <c r="F84" s="284">
        <f>+'Հավելված N 4'!D62</f>
        <v>-500</v>
      </c>
    </row>
    <row r="85" spans="2:6">
      <c r="B85" s="51"/>
      <c r="C85" s="51"/>
      <c r="D85" s="80" t="s">
        <v>49</v>
      </c>
      <c r="E85" s="291">
        <f t="shared" ref="E85:F85" si="25">SUM(E86:E93)</f>
        <v>-500</v>
      </c>
      <c r="F85" s="291">
        <f t="shared" si="25"/>
        <v>40804</v>
      </c>
    </row>
    <row r="86" spans="2:6" s="98" customFormat="1" ht="35.5">
      <c r="B86" s="385"/>
      <c r="C86" s="385"/>
      <c r="D86" s="118" t="str">
        <f>+'Հավելված N 4'!C64</f>
        <v>«Հայկաշենի Գ. Կիրակոսյանի անվան միջնակարգ դպրոց» ՊՈԱԿ</v>
      </c>
      <c r="E86" s="219">
        <f>+F86</f>
        <v>-500</v>
      </c>
      <c r="F86" s="284">
        <f>+'Հավելված N 4'!D64</f>
        <v>-500</v>
      </c>
    </row>
    <row r="87" spans="2:6" s="98" customFormat="1">
      <c r="B87" s="386"/>
      <c r="C87" s="386"/>
      <c r="D87" s="118" t="str">
        <f>+'Հավելված N 4'!C65</f>
        <v>«Արմավիրի N 6 հիմնական դպրոց» ՊՈԱԿ</v>
      </c>
      <c r="E87" s="219">
        <v>0</v>
      </c>
      <c r="F87" s="284">
        <f>+'Հավելված N 4'!D65</f>
        <v>7680</v>
      </c>
    </row>
    <row r="88" spans="2:6" s="98" customFormat="1">
      <c r="B88" s="386"/>
      <c r="C88" s="386"/>
      <c r="D88" s="118" t="str">
        <f>+'Հավելված N 4'!C66</f>
        <v>«Արմավիրի հ. 8 հիմնական դպրոց» ՊՈԱԿ</v>
      </c>
      <c r="E88" s="219">
        <v>0</v>
      </c>
      <c r="F88" s="284">
        <f>+'Հավելված N 4'!D66</f>
        <v>6780</v>
      </c>
    </row>
    <row r="89" spans="2:6" s="98" customFormat="1">
      <c r="B89" s="386"/>
      <c r="C89" s="386"/>
      <c r="D89" s="118" t="str">
        <f>+'Հավելված N 4'!C67</f>
        <v>«Արտիմետի միջնակարգ դպրոց» ՊՈԱԿ</v>
      </c>
      <c r="E89" s="219">
        <v>0</v>
      </c>
      <c r="F89" s="284">
        <f>+'Հավելված N 4'!D67</f>
        <v>4800</v>
      </c>
    </row>
    <row r="90" spans="2:6" s="98" customFormat="1" ht="35.5">
      <c r="B90" s="386"/>
      <c r="C90" s="386"/>
      <c r="D90" s="118" t="str">
        <f>+'Հավելված N 4'!C68</f>
        <v>«Վաղարշապատի Երվանդ Օտյանի անվան N 7 հիմնական դպրոց » ՊՈԱԿ</v>
      </c>
      <c r="E90" s="219">
        <v>0</v>
      </c>
      <c r="F90" s="284">
        <f>+'Հավելված N 4'!D68</f>
        <v>7584</v>
      </c>
    </row>
    <row r="91" spans="2:6" s="98" customFormat="1" ht="35.5">
      <c r="B91" s="386"/>
      <c r="C91" s="386"/>
      <c r="D91" s="118" t="str">
        <f>+'Հավելված N 4'!C69</f>
        <v>«Արագածի Մ. Մեխակյանի անվան միջնակարգ դպրոց» ՊՈԱԿ</v>
      </c>
      <c r="E91" s="219">
        <v>0</v>
      </c>
      <c r="F91" s="284">
        <f>+'Հավելված N 4'!D69</f>
        <v>4500</v>
      </c>
    </row>
    <row r="92" spans="2:6" s="98" customFormat="1">
      <c r="B92" s="386"/>
      <c r="C92" s="386"/>
      <c r="D92" s="118" t="str">
        <f>+'Հավելված N 4'!C70</f>
        <v>«Շահումյանի միջնակարգ դպրոց» ՊՈԱԿ</v>
      </c>
      <c r="E92" s="219">
        <v>0</v>
      </c>
      <c r="F92" s="284">
        <f>+'Հավելված N 4'!D70</f>
        <v>5160</v>
      </c>
    </row>
    <row r="93" spans="2:6" s="98" customFormat="1">
      <c r="B93" s="387"/>
      <c r="C93" s="387"/>
      <c r="D93" s="118" t="str">
        <f>+'Հավելված N 4'!C71</f>
        <v>«Մրգաստանի միջնակարգ դպրոց» ՊՈԱԿ</v>
      </c>
      <c r="E93" s="219">
        <v>0</v>
      </c>
      <c r="F93" s="284">
        <f>+'Հավելված N 4'!D71</f>
        <v>4800</v>
      </c>
    </row>
    <row r="94" spans="2:6">
      <c r="B94" s="51"/>
      <c r="C94" s="51"/>
      <c r="D94" s="80" t="s">
        <v>73</v>
      </c>
      <c r="E94" s="291">
        <f t="shared" ref="E94:F94" si="26">SUM(E95:E96)</f>
        <v>0</v>
      </c>
      <c r="F94" s="291">
        <f t="shared" si="26"/>
        <v>9420</v>
      </c>
    </row>
    <row r="95" spans="2:6" s="98" customFormat="1">
      <c r="B95" s="385"/>
      <c r="C95" s="385"/>
      <c r="D95" s="118" t="str">
        <f>+'Հավելված N 4'!C73</f>
        <v>Գագարինի միջնակարգ դպրոց ՊՈԱԿ</v>
      </c>
      <c r="E95" s="219">
        <v>0</v>
      </c>
      <c r="F95" s="284">
        <f>+'Հավելված N 4'!D73</f>
        <v>5640</v>
      </c>
    </row>
    <row r="96" spans="2:6" s="98" customFormat="1">
      <c r="B96" s="387"/>
      <c r="C96" s="387"/>
      <c r="D96" s="118" t="str">
        <f>+'Հավելված N 4'!C74</f>
        <v>«Վ․ Գետաշենի թիվ 2 միջնակարգ դպրոց» ՊՈԱԿ</v>
      </c>
      <c r="E96" s="219">
        <v>0</v>
      </c>
      <c r="F96" s="284">
        <f>+'Հավելված N 4'!D74</f>
        <v>3780</v>
      </c>
    </row>
    <row r="97" spans="2:6">
      <c r="B97" s="51"/>
      <c r="C97" s="51"/>
      <c r="D97" s="80" t="s">
        <v>64</v>
      </c>
      <c r="E97" s="291">
        <f t="shared" ref="E97:F97" si="27">+E98</f>
        <v>0</v>
      </c>
      <c r="F97" s="291">
        <f t="shared" si="27"/>
        <v>7392</v>
      </c>
    </row>
    <row r="98" spans="2:6" s="98" customFormat="1">
      <c r="B98" s="134"/>
      <c r="C98" s="134"/>
      <c r="D98" s="118" t="str">
        <f>+'Հավելված N 4'!C76</f>
        <v>«Ալավերդու թիվ 12 հիմնական դպրոց» ՊՈԱԿ</v>
      </c>
      <c r="E98" s="219">
        <v>0</v>
      </c>
      <c r="F98" s="284">
        <f>+'Հավելված N 4'!D76</f>
        <v>7392</v>
      </c>
    </row>
    <row r="99" spans="2:6">
      <c r="B99" s="51"/>
      <c r="C99" s="51"/>
      <c r="D99" s="80" t="s">
        <v>63</v>
      </c>
      <c r="E99" s="291">
        <f t="shared" ref="E99:F99" si="28">+E100</f>
        <v>-50427.5</v>
      </c>
      <c r="F99" s="291">
        <f t="shared" si="28"/>
        <v>0</v>
      </c>
    </row>
    <row r="100" spans="2:6" s="98" customFormat="1" ht="35.5">
      <c r="B100" s="134"/>
      <c r="C100" s="134"/>
      <c r="D100" s="118" t="s">
        <v>230</v>
      </c>
      <c r="E100" s="284">
        <v>-50427.5</v>
      </c>
      <c r="F100" s="284">
        <v>0</v>
      </c>
    </row>
    <row r="101" spans="2:6">
      <c r="B101" s="51"/>
      <c r="C101" s="51"/>
      <c r="D101" s="80" t="s">
        <v>232</v>
      </c>
      <c r="E101" s="291">
        <f t="shared" ref="E101" si="29">+E102</f>
        <v>2489.6</v>
      </c>
      <c r="F101" s="291">
        <f t="shared" ref="F101" si="30">+F102</f>
        <v>2489.6</v>
      </c>
    </row>
    <row r="102" spans="2:6" s="98" customFormat="1">
      <c r="B102" s="134"/>
      <c r="C102" s="134"/>
      <c r="D102" s="118" t="str">
        <f>+'Հավելված N 4'!C78</f>
        <v>«Արեգնադեմի միջնակարգ դպրոց» ՊՈԱԿ</v>
      </c>
      <c r="E102" s="219">
        <f>+F102</f>
        <v>2489.6</v>
      </c>
      <c r="F102" s="284">
        <f>+'Հավելված N 4'!D78</f>
        <v>2489.6</v>
      </c>
    </row>
    <row r="103" spans="2:6">
      <c r="B103" s="51"/>
      <c r="C103" s="51"/>
      <c r="D103" s="80" t="s">
        <v>236</v>
      </c>
      <c r="E103" s="291">
        <f t="shared" ref="E103" si="31">+E104</f>
        <v>-220524.6</v>
      </c>
      <c r="F103" s="291">
        <f t="shared" ref="F103" si="32">+F104</f>
        <v>-360024.6</v>
      </c>
    </row>
    <row r="104" spans="2:6" s="98" customFormat="1">
      <c r="B104" s="134"/>
      <c r="C104" s="134"/>
      <c r="D104" s="118" t="str">
        <f>+'Հավելված N 4'!C80</f>
        <v xml:space="preserve">«ք. Կապանի թիվ 10 միջնակարգ դպրոց» ՊՈԱԿ </v>
      </c>
      <c r="E104" s="219">
        <f>-212585.6-7939</f>
        <v>-220524.6</v>
      </c>
      <c r="F104" s="284">
        <f>+'Հավելված N 4'!D80</f>
        <v>-360024.6</v>
      </c>
    </row>
    <row r="105" spans="2:6">
      <c r="B105" s="51"/>
      <c r="C105" s="51"/>
      <c r="D105" s="80" t="s">
        <v>229</v>
      </c>
      <c r="E105" s="291">
        <f t="shared" ref="E105" si="33">+E106</f>
        <v>-500</v>
      </c>
      <c r="F105" s="291">
        <f t="shared" ref="F105" si="34">+F106</f>
        <v>-500</v>
      </c>
    </row>
    <row r="106" spans="2:6" s="98" customFormat="1">
      <c r="B106" s="134"/>
      <c r="C106" s="134"/>
      <c r="D106" s="118" t="str">
        <f>+'Հավելված N 4'!C82</f>
        <v>«Նավուրի միջնակարգ դպրոց» ՊՈԱԿ</v>
      </c>
      <c r="E106" s="219">
        <f>+F106</f>
        <v>-500</v>
      </c>
      <c r="F106" s="284">
        <f>+'Հավելված N 4'!D82</f>
        <v>-500</v>
      </c>
    </row>
    <row r="107" spans="2:6">
      <c r="B107" s="68">
        <v>1236</v>
      </c>
      <c r="C107" s="68">
        <v>32005</v>
      </c>
      <c r="D107" s="90" t="s">
        <v>271</v>
      </c>
      <c r="E107" s="282">
        <f t="shared" ref="E107:F107" si="35">+E109+E119</f>
        <v>286495.8</v>
      </c>
      <c r="F107" s="282">
        <f t="shared" si="35"/>
        <v>268786.89999999997</v>
      </c>
    </row>
    <row r="108" spans="2:6">
      <c r="B108" s="79"/>
      <c r="C108" s="79"/>
      <c r="D108" s="82" t="s">
        <v>16</v>
      </c>
      <c r="E108" s="286"/>
      <c r="F108" s="286"/>
    </row>
    <row r="109" spans="2:6">
      <c r="B109" s="51"/>
      <c r="C109" s="51"/>
      <c r="D109" s="52" t="s">
        <v>171</v>
      </c>
      <c r="E109" s="288">
        <f t="shared" ref="E109:F109" si="36">+E111+E113+E115+E117</f>
        <v>286495.8</v>
      </c>
      <c r="F109" s="288">
        <f t="shared" si="36"/>
        <v>308386.89999999997</v>
      </c>
    </row>
    <row r="110" spans="2:6">
      <c r="B110" s="67"/>
      <c r="C110" s="67"/>
      <c r="D110" s="64" t="s">
        <v>103</v>
      </c>
      <c r="E110" s="289"/>
      <c r="F110" s="289"/>
    </row>
    <row r="111" spans="2:6">
      <c r="B111" s="51"/>
      <c r="C111" s="51"/>
      <c r="D111" s="80" t="s">
        <v>214</v>
      </c>
      <c r="E111" s="291">
        <f t="shared" ref="E111:F111" si="37">+E112</f>
        <v>287995.8</v>
      </c>
      <c r="F111" s="291">
        <f t="shared" si="37"/>
        <v>309886.89999999997</v>
      </c>
    </row>
    <row r="112" spans="2:6" s="98" customFormat="1">
      <c r="B112" s="134"/>
      <c r="C112" s="134"/>
      <c r="D112" s="118" t="str">
        <f>+'Հավելված N 4'!C87</f>
        <v>Հացաշենի մոդուլային կրթահամալիր</v>
      </c>
      <c r="E112" s="219">
        <f>69125.9-30874.3+1661+273.8-500+240447+6781.8+1080.6</f>
        <v>287995.8</v>
      </c>
      <c r="F112" s="284">
        <f>+'Հավելված N 4'!D87</f>
        <v>309886.89999999997</v>
      </c>
    </row>
    <row r="113" spans="2:6">
      <c r="B113" s="51"/>
      <c r="C113" s="51"/>
      <c r="D113" s="80" t="s">
        <v>73</v>
      </c>
      <c r="E113" s="291">
        <f t="shared" ref="E113" si="38">+E114</f>
        <v>-500</v>
      </c>
      <c r="F113" s="291">
        <f t="shared" ref="F113" si="39">+F114</f>
        <v>-500</v>
      </c>
    </row>
    <row r="114" spans="2:6" s="98" customFormat="1">
      <c r="B114" s="134"/>
      <c r="C114" s="134"/>
      <c r="D114" s="118" t="str">
        <f>+'Հավելված N 4'!C89</f>
        <v>Արփունքի մոդուլային կրթահամալիր</v>
      </c>
      <c r="E114" s="219">
        <f>++F114</f>
        <v>-500</v>
      </c>
      <c r="F114" s="284">
        <f>+'Հավելված N 4'!D89</f>
        <v>-500</v>
      </c>
    </row>
    <row r="115" spans="2:6">
      <c r="B115" s="51"/>
      <c r="C115" s="51"/>
      <c r="D115" s="80" t="s">
        <v>63</v>
      </c>
      <c r="E115" s="291">
        <f t="shared" ref="E115" si="40">+E116</f>
        <v>-500</v>
      </c>
      <c r="F115" s="291">
        <f t="shared" ref="F115" si="41">+F116</f>
        <v>-500</v>
      </c>
    </row>
    <row r="116" spans="2:6" s="98" customFormat="1">
      <c r="B116" s="134"/>
      <c r="C116" s="134"/>
      <c r="D116" s="118" t="str">
        <f>+'Հավելված N 4'!C91</f>
        <v>գ․ Նուռնուսի մոդուլային կրթահամալիր</v>
      </c>
      <c r="E116" s="219">
        <f>++F116</f>
        <v>-500</v>
      </c>
      <c r="F116" s="284">
        <f>+'Հավելված N 4'!D91</f>
        <v>-500</v>
      </c>
    </row>
    <row r="117" spans="2:6">
      <c r="B117" s="51"/>
      <c r="C117" s="51"/>
      <c r="D117" s="80" t="s">
        <v>279</v>
      </c>
      <c r="E117" s="291">
        <f t="shared" ref="E117" si="42">+E118</f>
        <v>-500</v>
      </c>
      <c r="F117" s="291">
        <f t="shared" ref="F117" si="43">+F118</f>
        <v>-500</v>
      </c>
    </row>
    <row r="118" spans="2:6" s="98" customFormat="1">
      <c r="B118" s="134"/>
      <c r="C118" s="134"/>
      <c r="D118" s="118" t="str">
        <f>+'Հավելված N 4'!C93</f>
        <v>գ․ Գողթանիկի մոդուլային կրթահամալիր</v>
      </c>
      <c r="E118" s="219">
        <f>++F118</f>
        <v>-500</v>
      </c>
      <c r="F118" s="284">
        <f>+'Հավելված N 4'!D93</f>
        <v>-500</v>
      </c>
    </row>
    <row r="119" spans="2:6" ht="33.35">
      <c r="B119" s="51"/>
      <c r="C119" s="51"/>
      <c r="D119" s="52" t="s">
        <v>12</v>
      </c>
      <c r="E119" s="288">
        <f t="shared" ref="E119:F119" si="44">+E121</f>
        <v>0</v>
      </c>
      <c r="F119" s="288">
        <f t="shared" si="44"/>
        <v>-39600</v>
      </c>
    </row>
    <row r="120" spans="2:6">
      <c r="B120" s="67"/>
      <c r="C120" s="67"/>
      <c r="D120" s="64" t="s">
        <v>103</v>
      </c>
      <c r="E120" s="289"/>
      <c r="F120" s="289"/>
    </row>
    <row r="121" spans="2:6" ht="99.95">
      <c r="B121" s="51"/>
      <c r="C121" s="51"/>
      <c r="D121" s="162" t="s">
        <v>368</v>
      </c>
      <c r="E121" s="291">
        <v>0</v>
      </c>
      <c r="F121" s="291">
        <f>+'Հավելված N 8'!I90</f>
        <v>-39600</v>
      </c>
    </row>
  </sheetData>
  <mergeCells count="19">
    <mergeCell ref="C86:C93"/>
    <mergeCell ref="B86:B93"/>
    <mergeCell ref="C95:C96"/>
    <mergeCell ref="B95:B96"/>
    <mergeCell ref="C55:C56"/>
    <mergeCell ref="B55:B56"/>
    <mergeCell ref="C48:C51"/>
    <mergeCell ref="B48:B51"/>
    <mergeCell ref="C77:C82"/>
    <mergeCell ref="B77:B82"/>
    <mergeCell ref="C40:C41"/>
    <mergeCell ref="B40:B41"/>
    <mergeCell ref="E1:F1"/>
    <mergeCell ref="E3:F3"/>
    <mergeCell ref="B6:F6"/>
    <mergeCell ref="B9:C9"/>
    <mergeCell ref="D9:D10"/>
    <mergeCell ref="E9:F9"/>
    <mergeCell ref="D2:F2"/>
  </mergeCells>
  <pageMargins left="0.25" right="0.25" top="0.75" bottom="0.75" header="0.3" footer="0.3"/>
  <pageSetup paperSize="9" scale="4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62"/>
  <sheetViews>
    <sheetView topLeftCell="A4" zoomScale="70" zoomScaleNormal="70" workbookViewId="0">
      <selection activeCell="J11" sqref="J11:J13"/>
    </sheetView>
  </sheetViews>
  <sheetFormatPr defaultColWidth="8.796875" defaultRowHeight="17.75"/>
  <cols>
    <col min="1" max="1" width="6.3984375" style="96" bestFit="1" customWidth="1"/>
    <col min="2" max="2" width="9.69921875" style="96" customWidth="1"/>
    <col min="3" max="3" width="13.09765625" style="96" customWidth="1"/>
    <col min="4" max="4" width="16.69921875" style="111" customWidth="1"/>
    <col min="5" max="5" width="13.09765625" style="96" customWidth="1"/>
    <col min="6" max="6" width="15.3984375" style="96" customWidth="1"/>
    <col min="7" max="7" width="10.3984375" style="96" customWidth="1"/>
    <col min="8" max="8" width="22.59765625" style="96" customWidth="1"/>
    <col min="9" max="9" width="46.296875" style="96" customWidth="1"/>
    <col min="10" max="11" width="24.796875" style="96" customWidth="1"/>
    <col min="12" max="16384" width="8.796875" style="96"/>
  </cols>
  <sheetData>
    <row r="1" spans="1:19" ht="28.5" customHeight="1">
      <c r="D1" s="97"/>
      <c r="E1" s="97"/>
      <c r="F1" s="97"/>
      <c r="G1" s="390"/>
      <c r="H1" s="390"/>
      <c r="I1" s="390" t="s">
        <v>36</v>
      </c>
      <c r="J1" s="390"/>
      <c r="K1" s="390"/>
    </row>
    <row r="2" spans="1:19" ht="17.75" customHeight="1">
      <c r="D2" s="98"/>
      <c r="E2" s="98"/>
      <c r="F2" s="99"/>
      <c r="H2" s="100"/>
      <c r="I2" s="391" t="s">
        <v>104</v>
      </c>
      <c r="J2" s="391"/>
      <c r="K2" s="391"/>
    </row>
    <row r="3" spans="1:19">
      <c r="D3" s="98"/>
      <c r="E3" s="98"/>
      <c r="F3" s="99"/>
      <c r="G3" s="391"/>
      <c r="H3" s="391"/>
      <c r="I3" s="391" t="s">
        <v>20</v>
      </c>
      <c r="J3" s="391"/>
      <c r="K3" s="391"/>
    </row>
    <row r="4" spans="1:19">
      <c r="D4" s="98"/>
      <c r="E4" s="98"/>
      <c r="F4" s="99"/>
      <c r="G4" s="100"/>
      <c r="H4" s="100"/>
      <c r="I4" s="100"/>
    </row>
    <row r="5" spans="1:19">
      <c r="D5" s="98"/>
      <c r="E5" s="98"/>
      <c r="F5" s="99"/>
      <c r="G5" s="100"/>
      <c r="H5" s="100"/>
      <c r="I5" s="100"/>
    </row>
    <row r="6" spans="1:19">
      <c r="A6" s="380" t="s">
        <v>130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</row>
    <row r="9" spans="1:19" ht="51.05" customHeight="1">
      <c r="A9" s="328" t="s">
        <v>131</v>
      </c>
      <c r="B9" s="328" t="s">
        <v>132</v>
      </c>
      <c r="C9" s="328"/>
      <c r="D9" s="328" t="s">
        <v>133</v>
      </c>
      <c r="E9" s="328"/>
      <c r="F9" s="328"/>
      <c r="G9" s="328"/>
      <c r="H9" s="328" t="s">
        <v>134</v>
      </c>
      <c r="I9" s="328" t="s">
        <v>135</v>
      </c>
      <c r="J9" s="392" t="s">
        <v>56</v>
      </c>
      <c r="K9" s="393"/>
    </row>
    <row r="10" spans="1:19" ht="51.05" customHeight="1">
      <c r="A10" s="328"/>
      <c r="B10" s="94" t="s">
        <v>136</v>
      </c>
      <c r="C10" s="94" t="s">
        <v>137</v>
      </c>
      <c r="D10" s="94" t="s">
        <v>138</v>
      </c>
      <c r="E10" s="94" t="s">
        <v>137</v>
      </c>
      <c r="F10" s="94" t="s">
        <v>139</v>
      </c>
      <c r="G10" s="94" t="s">
        <v>140</v>
      </c>
      <c r="H10" s="328"/>
      <c r="I10" s="328"/>
      <c r="J10" s="94" t="s">
        <v>141</v>
      </c>
      <c r="K10" s="94" t="s">
        <v>142</v>
      </c>
    </row>
    <row r="11" spans="1:19" s="102" customFormat="1" ht="48.5" customHeight="1">
      <c r="A11" s="394" t="s">
        <v>143</v>
      </c>
      <c r="B11" s="394"/>
      <c r="C11" s="394"/>
      <c r="D11" s="394"/>
      <c r="E11" s="394"/>
      <c r="F11" s="394"/>
      <c r="G11" s="394"/>
      <c r="H11" s="394"/>
      <c r="I11" s="394"/>
      <c r="J11" s="101">
        <f t="shared" ref="J11:K11" si="0">+J13</f>
        <v>-14874.300000000017</v>
      </c>
      <c r="K11" s="101">
        <f t="shared" si="0"/>
        <v>1.7462298274040222E-10</v>
      </c>
      <c r="L11" s="130"/>
      <c r="M11" s="130"/>
      <c r="N11" s="130"/>
      <c r="O11" s="130"/>
      <c r="P11" s="130"/>
      <c r="Q11" s="130"/>
      <c r="R11" s="130"/>
      <c r="S11" s="130"/>
    </row>
    <row r="12" spans="1:19" s="104" customFormat="1" ht="16.7">
      <c r="A12" s="395" t="s">
        <v>113</v>
      </c>
      <c r="B12" s="395"/>
      <c r="C12" s="395"/>
      <c r="D12" s="395"/>
      <c r="E12" s="395"/>
      <c r="F12" s="395"/>
      <c r="G12" s="395"/>
      <c r="H12" s="395"/>
      <c r="I12" s="395"/>
      <c r="J12" s="103"/>
      <c r="K12" s="103"/>
      <c r="L12" s="131"/>
      <c r="M12" s="131"/>
      <c r="N12" s="131"/>
      <c r="O12" s="131"/>
      <c r="P12" s="131"/>
      <c r="Q12" s="131"/>
      <c r="R12" s="131"/>
      <c r="S12" s="131"/>
    </row>
    <row r="13" spans="1:19" s="105" customFormat="1" ht="29.95" customHeight="1">
      <c r="A13" s="396" t="s">
        <v>144</v>
      </c>
      <c r="B13" s="396"/>
      <c r="C13" s="396"/>
      <c r="D13" s="396"/>
      <c r="E13" s="396"/>
      <c r="F13" s="396"/>
      <c r="G13" s="396"/>
      <c r="H13" s="396"/>
      <c r="I13" s="396"/>
      <c r="J13" s="266">
        <f>+J14+J21+J27+J33+J40</f>
        <v>-14874.300000000017</v>
      </c>
      <c r="K13" s="268">
        <f>+K14+K21+K27+K33+K40</f>
        <v>1.7462298274040222E-10</v>
      </c>
      <c r="L13" s="10"/>
      <c r="M13" s="10"/>
      <c r="N13" s="10"/>
      <c r="O13" s="10"/>
      <c r="P13" s="10"/>
      <c r="Q13" s="10"/>
      <c r="R13" s="10"/>
      <c r="S13" s="10"/>
    </row>
    <row r="14" spans="1:19">
      <c r="A14" s="357"/>
      <c r="B14" s="129">
        <v>1045</v>
      </c>
      <c r="C14" s="397" t="s">
        <v>112</v>
      </c>
      <c r="D14" s="397"/>
      <c r="E14" s="397"/>
      <c r="F14" s="397"/>
      <c r="G14" s="397"/>
      <c r="H14" s="397"/>
      <c r="I14" s="397"/>
      <c r="J14" s="103">
        <f>+J15</f>
        <v>-84576.900000000009</v>
      </c>
      <c r="K14" s="103">
        <f>+K15</f>
        <v>-130775.9</v>
      </c>
    </row>
    <row r="15" spans="1:19" s="107" customFormat="1" ht="33.049999999999997" customHeight="1">
      <c r="A15" s="357"/>
      <c r="B15" s="406"/>
      <c r="C15" s="406"/>
      <c r="D15" s="129" t="s">
        <v>377</v>
      </c>
      <c r="E15" s="397" t="s">
        <v>378</v>
      </c>
      <c r="F15" s="397"/>
      <c r="G15" s="397"/>
      <c r="H15" s="397"/>
      <c r="I15" s="397"/>
      <c r="J15" s="106">
        <f>+'Հավելված N 2'!G17</f>
        <v>-84576.900000000009</v>
      </c>
      <c r="K15" s="106">
        <f>+'Հավելված N 2'!H17</f>
        <v>-130775.9</v>
      </c>
    </row>
    <row r="16" spans="1:19" ht="33.35" customHeight="1">
      <c r="A16" s="357"/>
      <c r="B16" s="406"/>
      <c r="C16" s="406"/>
      <c r="D16" s="413"/>
      <c r="E16" s="406"/>
      <c r="F16" s="407" t="s">
        <v>403</v>
      </c>
      <c r="G16" s="408"/>
      <c r="H16" s="408"/>
      <c r="I16" s="408"/>
      <c r="J16" s="408"/>
      <c r="K16" s="408"/>
    </row>
    <row r="17" spans="1:11" ht="33.35" customHeight="1">
      <c r="A17" s="357"/>
      <c r="B17" s="406"/>
      <c r="C17" s="406"/>
      <c r="D17" s="413"/>
      <c r="E17" s="406"/>
      <c r="F17" s="412"/>
      <c r="G17" s="407" t="s">
        <v>89</v>
      </c>
      <c r="H17" s="408"/>
      <c r="I17" s="408"/>
      <c r="J17" s="408"/>
      <c r="K17" s="408"/>
    </row>
    <row r="18" spans="1:11" ht="33.35" customHeight="1">
      <c r="A18" s="357"/>
      <c r="B18" s="406"/>
      <c r="C18" s="406"/>
      <c r="D18" s="413"/>
      <c r="E18" s="406"/>
      <c r="F18" s="412"/>
      <c r="G18" s="412"/>
      <c r="H18" s="407" t="s">
        <v>146</v>
      </c>
      <c r="I18" s="408"/>
      <c r="J18" s="408"/>
      <c r="K18" s="408"/>
    </row>
    <row r="19" spans="1:11" ht="35.5">
      <c r="A19" s="357"/>
      <c r="B19" s="406"/>
      <c r="C19" s="406"/>
      <c r="D19" s="413"/>
      <c r="E19" s="406"/>
      <c r="F19" s="412"/>
      <c r="G19" s="412"/>
      <c r="H19" s="113"/>
      <c r="I19" s="57" t="s">
        <v>404</v>
      </c>
      <c r="J19" s="263" t="s">
        <v>145</v>
      </c>
      <c r="K19" s="262">
        <v>-1</v>
      </c>
    </row>
    <row r="20" spans="1:11" ht="8.6" customHeight="1">
      <c r="A20" s="357"/>
      <c r="B20" s="86"/>
      <c r="C20" s="86"/>
      <c r="D20" s="86"/>
      <c r="E20" s="86"/>
      <c r="F20" s="86"/>
      <c r="G20" s="86"/>
      <c r="H20" s="86"/>
      <c r="I20" s="86"/>
      <c r="J20" s="86"/>
      <c r="K20" s="108"/>
    </row>
    <row r="21" spans="1:11" s="109" customFormat="1">
      <c r="A21" s="357"/>
      <c r="B21" s="125">
        <v>1163</v>
      </c>
      <c r="C21" s="402" t="s">
        <v>157</v>
      </c>
      <c r="D21" s="402"/>
      <c r="E21" s="402"/>
      <c r="F21" s="402"/>
      <c r="G21" s="402"/>
      <c r="H21" s="402"/>
      <c r="I21" s="402"/>
      <c r="J21" s="103">
        <f>+J22</f>
        <v>-115074.6</v>
      </c>
      <c r="K21" s="103">
        <f>+K22</f>
        <v>0</v>
      </c>
    </row>
    <row r="22" spans="1:11" s="110" customFormat="1" ht="34.950000000000003" customHeight="1">
      <c r="A22" s="357"/>
      <c r="B22" s="348"/>
      <c r="C22" s="348"/>
      <c r="D22" s="125" t="s">
        <v>380</v>
      </c>
      <c r="E22" s="402" t="s">
        <v>280</v>
      </c>
      <c r="F22" s="402"/>
      <c r="G22" s="402"/>
      <c r="H22" s="402"/>
      <c r="I22" s="402"/>
      <c r="J22" s="95">
        <f>+'Հավելված N 2'!G19</f>
        <v>-115074.6</v>
      </c>
      <c r="K22" s="95">
        <f>+'Հավելված N 2'!H19</f>
        <v>0</v>
      </c>
    </row>
    <row r="23" spans="1:11" s="109" customFormat="1" ht="18" customHeight="1">
      <c r="A23" s="357"/>
      <c r="B23" s="348"/>
      <c r="C23" s="348"/>
      <c r="D23" s="415"/>
      <c r="E23" s="348"/>
      <c r="F23" s="407" t="s">
        <v>405</v>
      </c>
      <c r="G23" s="408"/>
      <c r="H23" s="408"/>
      <c r="I23" s="408"/>
      <c r="J23" s="408"/>
      <c r="K23" s="408"/>
    </row>
    <row r="24" spans="1:11" s="109" customFormat="1" ht="17.75" customHeight="1">
      <c r="A24" s="357"/>
      <c r="B24" s="348"/>
      <c r="C24" s="348"/>
      <c r="D24" s="415"/>
      <c r="E24" s="348"/>
      <c r="F24" s="412"/>
      <c r="G24" s="407" t="s">
        <v>89</v>
      </c>
      <c r="H24" s="408"/>
      <c r="I24" s="408"/>
      <c r="J24" s="408"/>
      <c r="K24" s="408"/>
    </row>
    <row r="25" spans="1:11" s="109" customFormat="1" ht="36" customHeight="1">
      <c r="A25" s="357"/>
      <c r="B25" s="348"/>
      <c r="C25" s="348"/>
      <c r="D25" s="415"/>
      <c r="E25" s="348"/>
      <c r="F25" s="412"/>
      <c r="G25" s="161"/>
      <c r="H25" s="407" t="s">
        <v>166</v>
      </c>
      <c r="I25" s="408"/>
      <c r="J25" s="408"/>
      <c r="K25" s="408"/>
    </row>
    <row r="26" spans="1:11" ht="8.6" customHeight="1">
      <c r="A26" s="357"/>
      <c r="B26" s="86"/>
      <c r="C26" s="86"/>
      <c r="D26" s="86"/>
      <c r="E26" s="86"/>
      <c r="F26" s="86"/>
      <c r="G26" s="86"/>
      <c r="H26" s="86"/>
      <c r="I26" s="86"/>
      <c r="J26" s="86"/>
      <c r="K26" s="108"/>
    </row>
    <row r="27" spans="1:11" s="109" customFormat="1">
      <c r="A27" s="357"/>
      <c r="B27" s="125">
        <v>1168</v>
      </c>
      <c r="C27" s="402" t="s">
        <v>167</v>
      </c>
      <c r="D27" s="402"/>
      <c r="E27" s="402"/>
      <c r="F27" s="402"/>
      <c r="G27" s="402"/>
      <c r="H27" s="402"/>
      <c r="I27" s="402"/>
      <c r="J27" s="103">
        <f t="shared" ref="J27:K27" si="1">+J28</f>
        <v>0</v>
      </c>
      <c r="K27" s="103">
        <f t="shared" si="1"/>
        <v>17600</v>
      </c>
    </row>
    <row r="28" spans="1:11" s="110" customFormat="1" ht="34.950000000000003" customHeight="1">
      <c r="A28" s="357"/>
      <c r="B28" s="398"/>
      <c r="C28" s="401"/>
      <c r="D28" s="125" t="s">
        <v>164</v>
      </c>
      <c r="E28" s="402" t="s">
        <v>153</v>
      </c>
      <c r="F28" s="402"/>
      <c r="G28" s="402"/>
      <c r="H28" s="402"/>
      <c r="I28" s="402"/>
      <c r="J28" s="95">
        <f>+'Հավելված N 2'!G21</f>
        <v>0</v>
      </c>
      <c r="K28" s="95">
        <f>+'Հավելված N 2'!H21</f>
        <v>17600</v>
      </c>
    </row>
    <row r="29" spans="1:11" s="109" customFormat="1" ht="33.85" customHeight="1">
      <c r="A29" s="357"/>
      <c r="B29" s="398"/>
      <c r="C29" s="401"/>
      <c r="D29" s="399"/>
      <c r="E29" s="333"/>
      <c r="F29" s="402" t="s">
        <v>168</v>
      </c>
      <c r="G29" s="402"/>
      <c r="H29" s="402"/>
      <c r="I29" s="402"/>
      <c r="J29" s="402"/>
      <c r="K29" s="402"/>
    </row>
    <row r="30" spans="1:11" s="109" customFormat="1" ht="17.75" customHeight="1">
      <c r="A30" s="357"/>
      <c r="B30" s="398"/>
      <c r="C30" s="401"/>
      <c r="D30" s="400"/>
      <c r="E30" s="334"/>
      <c r="F30" s="333"/>
      <c r="G30" s="402" t="s">
        <v>89</v>
      </c>
      <c r="H30" s="402"/>
      <c r="I30" s="402"/>
      <c r="J30" s="402"/>
      <c r="K30" s="402"/>
    </row>
    <row r="31" spans="1:11" s="109" customFormat="1">
      <c r="A31" s="357"/>
      <c r="B31" s="398"/>
      <c r="C31" s="401"/>
      <c r="D31" s="400"/>
      <c r="E31" s="334"/>
      <c r="F31" s="334"/>
      <c r="G31" s="60"/>
      <c r="H31" s="403" t="s">
        <v>169</v>
      </c>
      <c r="I31" s="404"/>
      <c r="J31" s="404"/>
      <c r="K31" s="405"/>
    </row>
    <row r="32" spans="1:11" ht="8.6" customHeight="1">
      <c r="A32" s="357"/>
      <c r="B32" s="86"/>
      <c r="C32" s="86"/>
      <c r="D32" s="86"/>
      <c r="E32" s="86"/>
      <c r="F32" s="86"/>
      <c r="G32" s="86"/>
      <c r="H32" s="86"/>
      <c r="I32" s="86"/>
      <c r="J32" s="86"/>
      <c r="K32" s="108"/>
    </row>
    <row r="33" spans="1:11" s="109" customFormat="1">
      <c r="A33" s="357"/>
      <c r="B33" s="125">
        <v>1183</v>
      </c>
      <c r="C33" s="402" t="s">
        <v>93</v>
      </c>
      <c r="D33" s="402"/>
      <c r="E33" s="402"/>
      <c r="F33" s="402"/>
      <c r="G33" s="402"/>
      <c r="H33" s="402"/>
      <c r="I33" s="402"/>
      <c r="J33" s="103">
        <f>+J34</f>
        <v>48041.399999999994</v>
      </c>
      <c r="K33" s="103">
        <f>+K34</f>
        <v>48041.399999999994</v>
      </c>
    </row>
    <row r="34" spans="1:11" s="110" customFormat="1" ht="36" customHeight="1">
      <c r="A34" s="357"/>
      <c r="B34" s="416"/>
      <c r="C34" s="416"/>
      <c r="D34" s="125" t="s">
        <v>383</v>
      </c>
      <c r="E34" s="408" t="s">
        <v>289</v>
      </c>
      <c r="F34" s="414"/>
      <c r="G34" s="414"/>
      <c r="H34" s="414"/>
      <c r="I34" s="414"/>
      <c r="J34" s="128">
        <f>+'Հավելված N 2'!G23</f>
        <v>48041.399999999994</v>
      </c>
      <c r="K34" s="128">
        <f>+'Հավելված N 2'!H23</f>
        <v>48041.399999999994</v>
      </c>
    </row>
    <row r="35" spans="1:11" s="109" customFormat="1" ht="33.85" customHeight="1">
      <c r="A35" s="357"/>
      <c r="B35" s="416"/>
      <c r="C35" s="416"/>
      <c r="D35" s="348"/>
      <c r="E35" s="348"/>
      <c r="F35" s="407" t="s">
        <v>406</v>
      </c>
      <c r="G35" s="408"/>
      <c r="H35" s="408"/>
      <c r="I35" s="408"/>
      <c r="J35" s="408"/>
      <c r="K35" s="408"/>
    </row>
    <row r="36" spans="1:11" s="109" customFormat="1" ht="17.75" customHeight="1">
      <c r="A36" s="357"/>
      <c r="B36" s="416"/>
      <c r="C36" s="416"/>
      <c r="D36" s="348"/>
      <c r="E36" s="348"/>
      <c r="F36" s="412"/>
      <c r="G36" s="407" t="s">
        <v>89</v>
      </c>
      <c r="H36" s="408"/>
      <c r="I36" s="408"/>
      <c r="J36" s="408"/>
      <c r="K36" s="408"/>
    </row>
    <row r="37" spans="1:11" s="109" customFormat="1" ht="18" customHeight="1">
      <c r="A37" s="357"/>
      <c r="B37" s="416"/>
      <c r="C37" s="416"/>
      <c r="D37" s="348"/>
      <c r="E37" s="348"/>
      <c r="F37" s="412"/>
      <c r="G37" s="412"/>
      <c r="H37" s="407" t="s">
        <v>148</v>
      </c>
      <c r="I37" s="408"/>
      <c r="J37" s="408"/>
      <c r="K37" s="408"/>
    </row>
    <row r="38" spans="1:11" ht="35.5">
      <c r="A38" s="357"/>
      <c r="B38" s="417"/>
      <c r="C38" s="417"/>
      <c r="D38" s="348"/>
      <c r="E38" s="348"/>
      <c r="F38" s="412"/>
      <c r="G38" s="412"/>
      <c r="H38" s="160"/>
      <c r="I38" s="127" t="s">
        <v>415</v>
      </c>
      <c r="J38" s="265"/>
      <c r="K38" s="265">
        <v>2</v>
      </c>
    </row>
    <row r="39" spans="1:11" ht="8.6" customHeight="1">
      <c r="A39" s="357"/>
      <c r="B39" s="86"/>
      <c r="C39" s="86"/>
      <c r="D39" s="86"/>
      <c r="E39" s="86"/>
      <c r="F39" s="86"/>
      <c r="G39" s="86"/>
      <c r="H39" s="86"/>
      <c r="I39" s="86"/>
      <c r="J39" s="86"/>
      <c r="K39" s="108"/>
    </row>
    <row r="40" spans="1:11" s="109" customFormat="1">
      <c r="A40" s="357"/>
      <c r="B40" s="125">
        <v>1236</v>
      </c>
      <c r="C40" s="402" t="s">
        <v>88</v>
      </c>
      <c r="D40" s="402"/>
      <c r="E40" s="402"/>
      <c r="F40" s="402"/>
      <c r="G40" s="402"/>
      <c r="H40" s="402"/>
      <c r="I40" s="402"/>
      <c r="J40" s="103">
        <f>+J41+J47+J51+J58</f>
        <v>136735.79999999999</v>
      </c>
      <c r="K40" s="103">
        <f>+K41+K47+K51+K58</f>
        <v>65134.500000000175</v>
      </c>
    </row>
    <row r="41" spans="1:11" s="110" customFormat="1" ht="17.75" customHeight="1">
      <c r="A41" s="357"/>
      <c r="B41" s="348"/>
      <c r="C41" s="348"/>
      <c r="D41" s="125" t="s">
        <v>384</v>
      </c>
      <c r="E41" s="402" t="s">
        <v>174</v>
      </c>
      <c r="F41" s="402"/>
      <c r="G41" s="402"/>
      <c r="H41" s="402"/>
      <c r="I41" s="402"/>
      <c r="J41" s="95">
        <f>+'Հավելված N 2'!G25</f>
        <v>544080.9</v>
      </c>
      <c r="K41" s="95">
        <f>+'Հավելված N 2'!H25</f>
        <v>736220.00000000012</v>
      </c>
    </row>
    <row r="42" spans="1:11" s="109" customFormat="1" ht="35.6" customHeight="1">
      <c r="A42" s="357"/>
      <c r="B42" s="348"/>
      <c r="C42" s="348"/>
      <c r="D42" s="333"/>
      <c r="E42" s="333"/>
      <c r="F42" s="408" t="s">
        <v>408</v>
      </c>
      <c r="G42" s="408"/>
      <c r="H42" s="408"/>
      <c r="I42" s="408"/>
      <c r="J42" s="408"/>
      <c r="K42" s="408"/>
    </row>
    <row r="43" spans="1:11" s="109" customFormat="1" ht="17.75" customHeight="1">
      <c r="A43" s="357"/>
      <c r="B43" s="348"/>
      <c r="C43" s="348"/>
      <c r="D43" s="334"/>
      <c r="E43" s="334"/>
      <c r="F43" s="409"/>
      <c r="G43" s="408" t="s">
        <v>89</v>
      </c>
      <c r="H43" s="408"/>
      <c r="I43" s="408"/>
      <c r="J43" s="408"/>
      <c r="K43" s="408"/>
    </row>
    <row r="44" spans="1:11" s="109" customFormat="1" ht="18" customHeight="1">
      <c r="A44" s="357"/>
      <c r="B44" s="348"/>
      <c r="C44" s="348"/>
      <c r="D44" s="334"/>
      <c r="E44" s="334"/>
      <c r="F44" s="410"/>
      <c r="G44" s="409"/>
      <c r="H44" s="408" t="s">
        <v>407</v>
      </c>
      <c r="I44" s="408"/>
      <c r="J44" s="408"/>
      <c r="K44" s="408"/>
    </row>
    <row r="45" spans="1:11" ht="35.5">
      <c r="A45" s="357"/>
      <c r="B45" s="348"/>
      <c r="C45" s="348"/>
      <c r="D45" s="334"/>
      <c r="E45" s="334"/>
      <c r="F45" s="410"/>
      <c r="G45" s="410"/>
      <c r="H45" s="333"/>
      <c r="I45" s="57" t="s">
        <v>409</v>
      </c>
      <c r="J45" s="112"/>
      <c r="K45" s="112">
        <v>5</v>
      </c>
    </row>
    <row r="46" spans="1:11" ht="53.2">
      <c r="A46" s="357"/>
      <c r="B46" s="348"/>
      <c r="C46" s="348"/>
      <c r="D46" s="335"/>
      <c r="E46" s="335"/>
      <c r="F46" s="411"/>
      <c r="G46" s="411"/>
      <c r="H46" s="335"/>
      <c r="I46" s="57" t="s">
        <v>414</v>
      </c>
      <c r="J46" s="112"/>
      <c r="K46" s="112">
        <v>9</v>
      </c>
    </row>
    <row r="47" spans="1:11" s="110" customFormat="1" ht="17.75" customHeight="1">
      <c r="A47" s="357"/>
      <c r="B47" s="348"/>
      <c r="C47" s="348"/>
      <c r="D47" s="56" t="s">
        <v>386</v>
      </c>
      <c r="E47" s="402" t="s">
        <v>387</v>
      </c>
      <c r="F47" s="402"/>
      <c r="G47" s="402"/>
      <c r="H47" s="402"/>
      <c r="I47" s="402"/>
      <c r="J47" s="264">
        <f>+'Հավելված N 2'!G26</f>
        <v>-247373.1</v>
      </c>
      <c r="K47" s="264">
        <f>+'Հավելված N 2'!H26</f>
        <v>0</v>
      </c>
    </row>
    <row r="48" spans="1:11" s="109" customFormat="1" ht="35.6" customHeight="1">
      <c r="A48" s="357"/>
      <c r="B48" s="348"/>
      <c r="C48" s="348"/>
      <c r="D48" s="348"/>
      <c r="E48" s="348"/>
      <c r="F48" s="407" t="s">
        <v>410</v>
      </c>
      <c r="G48" s="408"/>
      <c r="H48" s="408"/>
      <c r="I48" s="408"/>
      <c r="J48" s="408"/>
      <c r="K48" s="408"/>
    </row>
    <row r="49" spans="1:11" s="109" customFormat="1" ht="17.75" customHeight="1">
      <c r="A49" s="357"/>
      <c r="B49" s="348"/>
      <c r="C49" s="348"/>
      <c r="D49" s="348"/>
      <c r="E49" s="418"/>
      <c r="F49" s="412"/>
      <c r="G49" s="408" t="s">
        <v>89</v>
      </c>
      <c r="H49" s="408"/>
      <c r="I49" s="408"/>
      <c r="J49" s="408"/>
      <c r="K49" s="408"/>
    </row>
    <row r="50" spans="1:11" s="109" customFormat="1" ht="18" customHeight="1">
      <c r="A50" s="357"/>
      <c r="B50" s="348"/>
      <c r="C50" s="348"/>
      <c r="D50" s="348"/>
      <c r="E50" s="418"/>
      <c r="F50" s="412"/>
      <c r="G50" s="57"/>
      <c r="H50" s="408" t="s">
        <v>407</v>
      </c>
      <c r="I50" s="408"/>
      <c r="J50" s="408"/>
      <c r="K50" s="408"/>
    </row>
    <row r="51" spans="1:11" s="110" customFormat="1" ht="17.75" customHeight="1">
      <c r="A51" s="357"/>
      <c r="B51" s="348"/>
      <c r="C51" s="348"/>
      <c r="D51" s="125" t="s">
        <v>389</v>
      </c>
      <c r="E51" s="402" t="s">
        <v>222</v>
      </c>
      <c r="F51" s="402"/>
      <c r="G51" s="402"/>
      <c r="H51" s="402"/>
      <c r="I51" s="402"/>
      <c r="J51" s="264">
        <f>+'Հավելված N 2'!G27</f>
        <v>-446467.80000000005</v>
      </c>
      <c r="K51" s="264">
        <f>+'Հավելված N 2'!H27</f>
        <v>-939872.39999999991</v>
      </c>
    </row>
    <row r="52" spans="1:11" s="109" customFormat="1" ht="35.6" customHeight="1">
      <c r="A52" s="357"/>
      <c r="B52" s="348"/>
      <c r="C52" s="348"/>
      <c r="D52" s="333"/>
      <c r="E52" s="333"/>
      <c r="F52" s="407" t="s">
        <v>411</v>
      </c>
      <c r="G52" s="408"/>
      <c r="H52" s="408"/>
      <c r="I52" s="408"/>
      <c r="J52" s="408"/>
      <c r="K52" s="408"/>
    </row>
    <row r="53" spans="1:11" s="109" customFormat="1" ht="17.75" customHeight="1">
      <c r="A53" s="357"/>
      <c r="B53" s="348"/>
      <c r="C53" s="348"/>
      <c r="D53" s="334"/>
      <c r="E53" s="334"/>
      <c r="F53" s="409"/>
      <c r="G53" s="407" t="s">
        <v>89</v>
      </c>
      <c r="H53" s="408"/>
      <c r="I53" s="408"/>
      <c r="J53" s="408"/>
      <c r="K53" s="408"/>
    </row>
    <row r="54" spans="1:11" s="109" customFormat="1" ht="18" customHeight="1">
      <c r="A54" s="357"/>
      <c r="B54" s="348"/>
      <c r="C54" s="348"/>
      <c r="D54" s="334"/>
      <c r="E54" s="334"/>
      <c r="F54" s="410"/>
      <c r="G54" s="409"/>
      <c r="H54" s="407" t="s">
        <v>412</v>
      </c>
      <c r="I54" s="408"/>
      <c r="J54" s="408"/>
      <c r="K54" s="408"/>
    </row>
    <row r="55" spans="1:11" ht="70.95">
      <c r="A55" s="357"/>
      <c r="B55" s="348"/>
      <c r="C55" s="348"/>
      <c r="D55" s="334"/>
      <c r="E55" s="334"/>
      <c r="F55" s="410"/>
      <c r="G55" s="410"/>
      <c r="H55" s="334"/>
      <c r="I55" s="127" t="s">
        <v>413</v>
      </c>
      <c r="J55" s="265"/>
      <c r="K55" s="265">
        <v>-1</v>
      </c>
    </row>
    <row r="56" spans="1:11" ht="35.5">
      <c r="A56" s="357"/>
      <c r="B56" s="348"/>
      <c r="C56" s="348"/>
      <c r="D56" s="334"/>
      <c r="E56" s="334"/>
      <c r="F56" s="410"/>
      <c r="G56" s="410"/>
      <c r="H56" s="334"/>
      <c r="I56" s="127" t="s">
        <v>147</v>
      </c>
      <c r="J56" s="265"/>
      <c r="K56" s="265">
        <v>-40</v>
      </c>
    </row>
    <row r="57" spans="1:11" ht="35.5">
      <c r="A57" s="357"/>
      <c r="B57" s="348"/>
      <c r="C57" s="348"/>
      <c r="D57" s="335"/>
      <c r="E57" s="335"/>
      <c r="F57" s="411"/>
      <c r="G57" s="411"/>
      <c r="H57" s="335"/>
      <c r="I57" s="57" t="s">
        <v>415</v>
      </c>
      <c r="J57" s="265"/>
      <c r="K57" s="265">
        <v>5</v>
      </c>
    </row>
    <row r="58" spans="1:11" s="110" customFormat="1" ht="17.75" customHeight="1">
      <c r="A58" s="357"/>
      <c r="B58" s="348"/>
      <c r="C58" s="348"/>
      <c r="D58" s="56" t="s">
        <v>391</v>
      </c>
      <c r="E58" s="402" t="s">
        <v>271</v>
      </c>
      <c r="F58" s="402"/>
      <c r="G58" s="402"/>
      <c r="H58" s="402"/>
      <c r="I58" s="402"/>
      <c r="J58" s="95">
        <f>+'Հավելված N 2'!G28</f>
        <v>286495.8</v>
      </c>
      <c r="K58" s="95">
        <f>+'Հավելված N 2'!H28</f>
        <v>268786.89999999997</v>
      </c>
    </row>
    <row r="59" spans="1:11" s="109" customFormat="1" ht="35.6" customHeight="1">
      <c r="A59" s="357"/>
      <c r="B59" s="348"/>
      <c r="C59" s="348"/>
      <c r="D59" s="348"/>
      <c r="E59" s="348"/>
      <c r="F59" s="407" t="s">
        <v>411</v>
      </c>
      <c r="G59" s="408"/>
      <c r="H59" s="408"/>
      <c r="I59" s="408"/>
      <c r="J59" s="408"/>
      <c r="K59" s="408"/>
    </row>
    <row r="60" spans="1:11" s="109" customFormat="1" ht="17.75" customHeight="1">
      <c r="A60" s="357"/>
      <c r="B60" s="348"/>
      <c r="C60" s="348"/>
      <c r="D60" s="348"/>
      <c r="E60" s="348"/>
      <c r="F60" s="412"/>
      <c r="G60" s="407" t="s">
        <v>89</v>
      </c>
      <c r="H60" s="408"/>
      <c r="I60" s="408"/>
      <c r="J60" s="408"/>
      <c r="K60" s="408"/>
    </row>
    <row r="61" spans="1:11" s="109" customFormat="1" ht="18" customHeight="1">
      <c r="A61" s="357"/>
      <c r="B61" s="348"/>
      <c r="C61" s="348"/>
      <c r="D61" s="348"/>
      <c r="E61" s="348"/>
      <c r="F61" s="412"/>
      <c r="G61" s="412"/>
      <c r="H61" s="407" t="s">
        <v>416</v>
      </c>
      <c r="I61" s="408"/>
      <c r="J61" s="408"/>
      <c r="K61" s="408"/>
    </row>
    <row r="62" spans="1:11" ht="35.5">
      <c r="A62" s="357"/>
      <c r="B62" s="348"/>
      <c r="C62" s="348"/>
      <c r="D62" s="348"/>
      <c r="E62" s="348"/>
      <c r="F62" s="412"/>
      <c r="G62" s="412"/>
      <c r="H62" s="160"/>
      <c r="I62" s="127" t="s">
        <v>147</v>
      </c>
      <c r="J62" s="265"/>
      <c r="K62" s="265">
        <v>-8</v>
      </c>
    </row>
  </sheetData>
  <mergeCells count="94">
    <mergeCell ref="E48:E50"/>
    <mergeCell ref="F49:F50"/>
    <mergeCell ref="A14:A62"/>
    <mergeCell ref="C34:C38"/>
    <mergeCell ref="B34:B38"/>
    <mergeCell ref="E58:I58"/>
    <mergeCell ref="F59:K59"/>
    <mergeCell ref="G60:K60"/>
    <mergeCell ref="H61:K61"/>
    <mergeCell ref="G61:G62"/>
    <mergeCell ref="F60:F62"/>
    <mergeCell ref="E59:E62"/>
    <mergeCell ref="D59:D62"/>
    <mergeCell ref="H45:H46"/>
    <mergeCell ref="G44:G46"/>
    <mergeCell ref="D42:D46"/>
    <mergeCell ref="G17:K17"/>
    <mergeCell ref="H18:K18"/>
    <mergeCell ref="D48:D50"/>
    <mergeCell ref="E34:I34"/>
    <mergeCell ref="F23:K23"/>
    <mergeCell ref="G24:K24"/>
    <mergeCell ref="H25:K25"/>
    <mergeCell ref="D23:D25"/>
    <mergeCell ref="E23:E25"/>
    <mergeCell ref="F24:F25"/>
    <mergeCell ref="C33:I33"/>
    <mergeCell ref="E41:I41"/>
    <mergeCell ref="C41:C62"/>
    <mergeCell ref="H44:K44"/>
    <mergeCell ref="D52:D57"/>
    <mergeCell ref="E52:E57"/>
    <mergeCell ref="G53:K53"/>
    <mergeCell ref="H54:K54"/>
    <mergeCell ref="B41:B62"/>
    <mergeCell ref="E47:I47"/>
    <mergeCell ref="F48:K48"/>
    <mergeCell ref="G49:K49"/>
    <mergeCell ref="D35:D38"/>
    <mergeCell ref="E35:E38"/>
    <mergeCell ref="F36:F38"/>
    <mergeCell ref="G37:G38"/>
    <mergeCell ref="F42:K42"/>
    <mergeCell ref="F53:F57"/>
    <mergeCell ref="G54:G57"/>
    <mergeCell ref="H55:H57"/>
    <mergeCell ref="H50:K50"/>
    <mergeCell ref="E51:I51"/>
    <mergeCell ref="F52:K52"/>
    <mergeCell ref="G43:K43"/>
    <mergeCell ref="F35:K35"/>
    <mergeCell ref="G36:K36"/>
    <mergeCell ref="E42:E46"/>
    <mergeCell ref="F43:F46"/>
    <mergeCell ref="C40:I40"/>
    <mergeCell ref="H37:K37"/>
    <mergeCell ref="C22:C25"/>
    <mergeCell ref="B15:B19"/>
    <mergeCell ref="C15:C19"/>
    <mergeCell ref="E22:I22"/>
    <mergeCell ref="E15:I15"/>
    <mergeCell ref="F16:K16"/>
    <mergeCell ref="G18:G19"/>
    <mergeCell ref="F17:F19"/>
    <mergeCell ref="E16:E19"/>
    <mergeCell ref="D16:D19"/>
    <mergeCell ref="A11:I11"/>
    <mergeCell ref="A12:I12"/>
    <mergeCell ref="A13:I13"/>
    <mergeCell ref="C14:I14"/>
    <mergeCell ref="B28:B31"/>
    <mergeCell ref="F30:F31"/>
    <mergeCell ref="E29:E31"/>
    <mergeCell ref="D29:D31"/>
    <mergeCell ref="C28:C31"/>
    <mergeCell ref="C27:I27"/>
    <mergeCell ref="E28:I28"/>
    <mergeCell ref="F29:K29"/>
    <mergeCell ref="G30:K30"/>
    <mergeCell ref="H31:K31"/>
    <mergeCell ref="C21:I21"/>
    <mergeCell ref="B22:B25"/>
    <mergeCell ref="G1:H1"/>
    <mergeCell ref="G3:H3"/>
    <mergeCell ref="A6:K6"/>
    <mergeCell ref="J9:K9"/>
    <mergeCell ref="I1:K1"/>
    <mergeCell ref="I2:K2"/>
    <mergeCell ref="I3:K3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77"/>
  <sheetViews>
    <sheetView zoomScale="70" zoomScaleNormal="70" workbookViewId="0">
      <selection activeCell="N13" sqref="N13"/>
    </sheetView>
  </sheetViews>
  <sheetFormatPr defaultColWidth="8.796875" defaultRowHeight="17.75"/>
  <cols>
    <col min="1" max="1" width="6.3984375" style="96" bestFit="1" customWidth="1"/>
    <col min="2" max="2" width="9.69921875" style="96" customWidth="1"/>
    <col min="3" max="3" width="13.09765625" style="96" customWidth="1"/>
    <col min="4" max="4" width="16.69921875" style="111" customWidth="1"/>
    <col min="5" max="5" width="13.09765625" style="96" customWidth="1"/>
    <col min="6" max="6" width="15.3984375" style="96" customWidth="1"/>
    <col min="7" max="7" width="10.3984375" style="96" customWidth="1"/>
    <col min="8" max="8" width="22.59765625" style="96" customWidth="1"/>
    <col min="9" max="9" width="46.296875" style="96" customWidth="1"/>
    <col min="10" max="11" width="26.59765625" style="96" customWidth="1"/>
    <col min="12" max="16384" width="8.796875" style="96"/>
  </cols>
  <sheetData>
    <row r="1" spans="1:18" ht="28.5" customHeight="1">
      <c r="D1" s="97"/>
      <c r="E1" s="97"/>
      <c r="F1" s="97"/>
      <c r="G1" s="390"/>
      <c r="H1" s="390"/>
      <c r="I1" s="390" t="s">
        <v>91</v>
      </c>
      <c r="J1" s="390"/>
      <c r="K1" s="390"/>
    </row>
    <row r="2" spans="1:18" ht="17.75" customHeight="1">
      <c r="D2" s="98"/>
      <c r="E2" s="98"/>
      <c r="F2" s="99"/>
      <c r="H2" s="100"/>
      <c r="I2" s="390" t="s">
        <v>104</v>
      </c>
      <c r="J2" s="390"/>
      <c r="K2" s="390"/>
    </row>
    <row r="3" spans="1:18" ht="17.5" customHeight="1">
      <c r="D3" s="98"/>
      <c r="E3" s="98"/>
      <c r="F3" s="99"/>
      <c r="G3" s="391"/>
      <c r="H3" s="391"/>
      <c r="I3" s="390" t="s">
        <v>20</v>
      </c>
      <c r="J3" s="390"/>
      <c r="K3" s="390"/>
    </row>
    <row r="4" spans="1:18">
      <c r="D4" s="98"/>
      <c r="E4" s="98"/>
      <c r="F4" s="99"/>
      <c r="G4" s="100"/>
      <c r="H4" s="100"/>
      <c r="I4" s="100"/>
    </row>
    <row r="5" spans="1:18">
      <c r="D5" s="98"/>
      <c r="E5" s="98"/>
      <c r="F5" s="99"/>
      <c r="G5" s="100"/>
      <c r="H5" s="100"/>
      <c r="I5" s="100"/>
    </row>
    <row r="6" spans="1:18">
      <c r="A6" s="380" t="s">
        <v>418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</row>
    <row r="9" spans="1:18" ht="51.05" customHeight="1">
      <c r="A9" s="328" t="s">
        <v>170</v>
      </c>
      <c r="B9" s="328" t="s">
        <v>132</v>
      </c>
      <c r="C9" s="328"/>
      <c r="D9" s="328" t="s">
        <v>133</v>
      </c>
      <c r="E9" s="328"/>
      <c r="F9" s="328"/>
      <c r="G9" s="328"/>
      <c r="H9" s="328" t="s">
        <v>134</v>
      </c>
      <c r="I9" s="328" t="s">
        <v>135</v>
      </c>
      <c r="J9" s="419" t="s">
        <v>56</v>
      </c>
      <c r="K9" s="419"/>
    </row>
    <row r="10" spans="1:18" ht="51.05" customHeight="1">
      <c r="A10" s="328"/>
      <c r="B10" s="94" t="s">
        <v>136</v>
      </c>
      <c r="C10" s="94" t="s">
        <v>137</v>
      </c>
      <c r="D10" s="94" t="s">
        <v>138</v>
      </c>
      <c r="E10" s="94" t="s">
        <v>137</v>
      </c>
      <c r="F10" s="94" t="s">
        <v>139</v>
      </c>
      <c r="G10" s="94" t="s">
        <v>140</v>
      </c>
      <c r="H10" s="328"/>
      <c r="I10" s="328"/>
      <c r="J10" s="94" t="s">
        <v>141</v>
      </c>
      <c r="K10" s="94" t="s">
        <v>142</v>
      </c>
    </row>
    <row r="11" spans="1:18" s="102" customFormat="1" ht="48.5" customHeight="1">
      <c r="A11" s="394" t="s">
        <v>143</v>
      </c>
      <c r="B11" s="394"/>
      <c r="C11" s="394"/>
      <c r="D11" s="394"/>
      <c r="E11" s="394"/>
      <c r="F11" s="394"/>
      <c r="G11" s="394"/>
      <c r="H11" s="394"/>
      <c r="I11" s="394"/>
      <c r="J11" s="101">
        <f>+J13+J26+J72</f>
        <v>-14874.300000000047</v>
      </c>
      <c r="K11" s="101">
        <f>+K13+K26+K72</f>
        <v>1.7462298274040222E-10</v>
      </c>
      <c r="L11" s="130"/>
      <c r="M11" s="130"/>
      <c r="N11" s="130"/>
      <c r="O11" s="130"/>
      <c r="P11" s="130"/>
      <c r="Q11" s="130"/>
      <c r="R11" s="130"/>
    </row>
    <row r="12" spans="1:18" s="104" customFormat="1" ht="16.7">
      <c r="A12" s="395" t="s">
        <v>113</v>
      </c>
      <c r="B12" s="395"/>
      <c r="C12" s="395"/>
      <c r="D12" s="395"/>
      <c r="E12" s="395"/>
      <c r="F12" s="395"/>
      <c r="G12" s="395"/>
      <c r="H12" s="395"/>
      <c r="I12" s="395"/>
      <c r="J12" s="267"/>
      <c r="K12" s="103"/>
      <c r="L12" s="131"/>
      <c r="M12" s="131"/>
      <c r="N12" s="131"/>
      <c r="O12" s="131"/>
      <c r="P12" s="131"/>
      <c r="Q12" s="131"/>
      <c r="R12" s="131"/>
    </row>
    <row r="13" spans="1:18" s="105" customFormat="1" ht="29.95" customHeight="1">
      <c r="A13" s="396" t="s">
        <v>144</v>
      </c>
      <c r="B13" s="396"/>
      <c r="C13" s="396"/>
      <c r="D13" s="396"/>
      <c r="E13" s="396"/>
      <c r="F13" s="396"/>
      <c r="G13" s="396"/>
      <c r="H13" s="396"/>
      <c r="I13" s="396"/>
      <c r="J13" s="266">
        <f t="shared" ref="J13:K13" si="0">+J14</f>
        <v>0</v>
      </c>
      <c r="K13" s="266">
        <f t="shared" si="0"/>
        <v>-402695</v>
      </c>
      <c r="L13" s="10"/>
      <c r="M13" s="10"/>
      <c r="N13" s="10"/>
      <c r="O13" s="10"/>
      <c r="P13" s="10"/>
      <c r="Q13" s="10"/>
      <c r="R13" s="10"/>
    </row>
    <row r="14" spans="1:18" s="109" customFormat="1">
      <c r="A14" s="357"/>
      <c r="B14" s="125">
        <v>1236</v>
      </c>
      <c r="C14" s="402" t="s">
        <v>88</v>
      </c>
      <c r="D14" s="402"/>
      <c r="E14" s="402"/>
      <c r="F14" s="402"/>
      <c r="G14" s="402"/>
      <c r="H14" s="402"/>
      <c r="I14" s="402"/>
      <c r="J14" s="103">
        <f t="shared" ref="J14:K14" si="1">+J15+J20</f>
        <v>0</v>
      </c>
      <c r="K14" s="103">
        <f t="shared" si="1"/>
        <v>-402695</v>
      </c>
    </row>
    <row r="15" spans="1:18" s="110" customFormat="1" ht="17.75" customHeight="1">
      <c r="A15" s="357"/>
      <c r="B15" s="348"/>
      <c r="C15" s="348"/>
      <c r="D15" s="125" t="s">
        <v>389</v>
      </c>
      <c r="E15" s="402" t="s">
        <v>222</v>
      </c>
      <c r="F15" s="402"/>
      <c r="G15" s="402"/>
      <c r="H15" s="402"/>
      <c r="I15" s="402"/>
      <c r="J15" s="264">
        <f>+'Հավելված N 3'!G77</f>
        <v>0</v>
      </c>
      <c r="K15" s="264">
        <f>+'Հավելված N 3'!H77</f>
        <v>-363095</v>
      </c>
    </row>
    <row r="16" spans="1:18" s="109" customFormat="1" ht="35.6" customHeight="1">
      <c r="A16" s="357"/>
      <c r="B16" s="348"/>
      <c r="C16" s="348"/>
      <c r="D16" s="333"/>
      <c r="E16" s="333"/>
      <c r="F16" s="407" t="s">
        <v>411</v>
      </c>
      <c r="G16" s="408"/>
      <c r="H16" s="408"/>
      <c r="I16" s="408"/>
      <c r="J16" s="408"/>
      <c r="K16" s="408"/>
    </row>
    <row r="17" spans="1:18" s="109" customFormat="1" ht="17.75" customHeight="1">
      <c r="A17" s="357"/>
      <c r="B17" s="348"/>
      <c r="C17" s="348"/>
      <c r="D17" s="334"/>
      <c r="E17" s="334"/>
      <c r="F17" s="409"/>
      <c r="G17" s="407" t="s">
        <v>89</v>
      </c>
      <c r="H17" s="408"/>
      <c r="I17" s="408"/>
      <c r="J17" s="408"/>
      <c r="K17" s="408"/>
    </row>
    <row r="18" spans="1:18" s="109" customFormat="1" ht="18" customHeight="1">
      <c r="A18" s="357"/>
      <c r="B18" s="348"/>
      <c r="C18" s="348"/>
      <c r="D18" s="334"/>
      <c r="E18" s="334"/>
      <c r="F18" s="410"/>
      <c r="G18" s="409"/>
      <c r="H18" s="407" t="s">
        <v>412</v>
      </c>
      <c r="I18" s="408"/>
      <c r="J18" s="408"/>
      <c r="K18" s="408"/>
    </row>
    <row r="19" spans="1:18" ht="35.5">
      <c r="A19" s="357"/>
      <c r="B19" s="348"/>
      <c r="C19" s="348"/>
      <c r="D19" s="334"/>
      <c r="E19" s="334"/>
      <c r="F19" s="410"/>
      <c r="G19" s="410"/>
      <c r="H19" s="157"/>
      <c r="I19" s="127" t="s">
        <v>147</v>
      </c>
      <c r="J19" s="265"/>
      <c r="K19" s="265">
        <v>-36</v>
      </c>
    </row>
    <row r="20" spans="1:18" s="110" customFormat="1" ht="17.75" customHeight="1">
      <c r="A20" s="357"/>
      <c r="B20" s="348"/>
      <c r="C20" s="348"/>
      <c r="D20" s="56" t="s">
        <v>391</v>
      </c>
      <c r="E20" s="402" t="s">
        <v>271</v>
      </c>
      <c r="F20" s="402"/>
      <c r="G20" s="402"/>
      <c r="H20" s="402"/>
      <c r="I20" s="402"/>
      <c r="J20" s="95">
        <f>+'Հավելված N 3'!G99</f>
        <v>0</v>
      </c>
      <c r="K20" s="95">
        <f>+'Հավելված N 3'!H99</f>
        <v>-39600</v>
      </c>
    </row>
    <row r="21" spans="1:18" s="109" customFormat="1" ht="35.6" customHeight="1">
      <c r="A21" s="357"/>
      <c r="B21" s="348"/>
      <c r="C21" s="348"/>
      <c r="D21" s="348"/>
      <c r="E21" s="348"/>
      <c r="F21" s="407" t="s">
        <v>411</v>
      </c>
      <c r="G21" s="408"/>
      <c r="H21" s="408"/>
      <c r="I21" s="408"/>
      <c r="J21" s="408"/>
      <c r="K21" s="408"/>
    </row>
    <row r="22" spans="1:18" s="109" customFormat="1" ht="17.75" customHeight="1">
      <c r="A22" s="357"/>
      <c r="B22" s="348"/>
      <c r="C22" s="348"/>
      <c r="D22" s="348"/>
      <c r="E22" s="348"/>
      <c r="F22" s="412"/>
      <c r="G22" s="407" t="s">
        <v>89</v>
      </c>
      <c r="H22" s="408"/>
      <c r="I22" s="408"/>
      <c r="J22" s="408"/>
      <c r="K22" s="408"/>
    </row>
    <row r="23" spans="1:18" s="109" customFormat="1" ht="18" customHeight="1">
      <c r="A23" s="357"/>
      <c r="B23" s="348"/>
      <c r="C23" s="348"/>
      <c r="D23" s="348"/>
      <c r="E23" s="348"/>
      <c r="F23" s="412"/>
      <c r="G23" s="412"/>
      <c r="H23" s="407" t="s">
        <v>416</v>
      </c>
      <c r="I23" s="408"/>
      <c r="J23" s="408"/>
      <c r="K23" s="408"/>
    </row>
    <row r="24" spans="1:18" ht="35.5">
      <c r="A24" s="357"/>
      <c r="B24" s="348"/>
      <c r="C24" s="348"/>
      <c r="D24" s="348"/>
      <c r="E24" s="348"/>
      <c r="F24" s="412"/>
      <c r="G24" s="412"/>
      <c r="H24" s="160"/>
      <c r="I24" s="127" t="s">
        <v>147</v>
      </c>
      <c r="J24" s="265"/>
      <c r="K24" s="265">
        <v>-8</v>
      </c>
    </row>
    <row r="26" spans="1:18" s="105" customFormat="1" ht="29.95" customHeight="1">
      <c r="A26" s="396" t="s">
        <v>417</v>
      </c>
      <c r="B26" s="396"/>
      <c r="C26" s="396"/>
      <c r="D26" s="396"/>
      <c r="E26" s="396"/>
      <c r="F26" s="396"/>
      <c r="G26" s="396"/>
      <c r="H26" s="396"/>
      <c r="I26" s="396"/>
      <c r="J26" s="312">
        <f>+J27+J34+J40+J46+J53</f>
        <v>232498.79999999996</v>
      </c>
      <c r="K26" s="312">
        <f>+K27+K34+K40+K46+K53</f>
        <v>402695.00000000017</v>
      </c>
      <c r="L26" s="10"/>
      <c r="M26" s="10"/>
      <c r="N26" s="10"/>
      <c r="O26" s="10"/>
      <c r="P26" s="10"/>
      <c r="Q26" s="10"/>
      <c r="R26" s="10"/>
    </row>
    <row r="27" spans="1:18">
      <c r="A27" s="357"/>
      <c r="B27" s="129">
        <v>1045</v>
      </c>
      <c r="C27" s="397" t="s">
        <v>112</v>
      </c>
      <c r="D27" s="397"/>
      <c r="E27" s="397"/>
      <c r="F27" s="397"/>
      <c r="G27" s="397"/>
      <c r="H27" s="397"/>
      <c r="I27" s="397"/>
      <c r="J27" s="103">
        <f>+J28</f>
        <v>-84576.900000000009</v>
      </c>
      <c r="K27" s="103">
        <f>+K28</f>
        <v>-130775.9</v>
      </c>
    </row>
    <row r="28" spans="1:18" s="107" customFormat="1" ht="33.049999999999997" customHeight="1">
      <c r="A28" s="357"/>
      <c r="B28" s="406"/>
      <c r="C28" s="406"/>
      <c r="D28" s="129" t="s">
        <v>377</v>
      </c>
      <c r="E28" s="397" t="s">
        <v>378</v>
      </c>
      <c r="F28" s="397"/>
      <c r="G28" s="397"/>
      <c r="H28" s="397"/>
      <c r="I28" s="397"/>
      <c r="J28" s="106">
        <f>+'Հավելված N 3'!G125</f>
        <v>-84576.900000000009</v>
      </c>
      <c r="K28" s="106">
        <f>+'Հավելված N 3'!H125</f>
        <v>-130775.9</v>
      </c>
    </row>
    <row r="29" spans="1:18" ht="33.35" customHeight="1">
      <c r="A29" s="357"/>
      <c r="B29" s="406"/>
      <c r="C29" s="406"/>
      <c r="D29" s="413"/>
      <c r="E29" s="406"/>
      <c r="F29" s="407" t="s">
        <v>403</v>
      </c>
      <c r="G29" s="408"/>
      <c r="H29" s="408"/>
      <c r="I29" s="408"/>
      <c r="J29" s="408"/>
      <c r="K29" s="408"/>
    </row>
    <row r="30" spans="1:18" ht="33.35" customHeight="1">
      <c r="A30" s="357"/>
      <c r="B30" s="406"/>
      <c r="C30" s="406"/>
      <c r="D30" s="413"/>
      <c r="E30" s="406"/>
      <c r="F30" s="412"/>
      <c r="G30" s="407" t="s">
        <v>89</v>
      </c>
      <c r="H30" s="408"/>
      <c r="I30" s="408"/>
      <c r="J30" s="408"/>
      <c r="K30" s="408"/>
    </row>
    <row r="31" spans="1:18" ht="33.35" customHeight="1">
      <c r="A31" s="357"/>
      <c r="B31" s="406"/>
      <c r="C31" s="406"/>
      <c r="D31" s="413"/>
      <c r="E31" s="406"/>
      <c r="F31" s="412"/>
      <c r="G31" s="412"/>
      <c r="H31" s="407" t="s">
        <v>146</v>
      </c>
      <c r="I31" s="408"/>
      <c r="J31" s="408"/>
      <c r="K31" s="408"/>
    </row>
    <row r="32" spans="1:18" ht="35.5">
      <c r="A32" s="357"/>
      <c r="B32" s="406"/>
      <c r="C32" s="406"/>
      <c r="D32" s="413"/>
      <c r="E32" s="406"/>
      <c r="F32" s="412"/>
      <c r="G32" s="412"/>
      <c r="H32" s="113"/>
      <c r="I32" s="57" t="s">
        <v>404</v>
      </c>
      <c r="J32" s="263" t="s">
        <v>145</v>
      </c>
      <c r="K32" s="262">
        <v>-1</v>
      </c>
    </row>
    <row r="33" spans="1:11" ht="8.6" customHeight="1">
      <c r="A33" s="357"/>
      <c r="B33" s="86"/>
      <c r="C33" s="86"/>
      <c r="D33" s="86"/>
      <c r="E33" s="86"/>
      <c r="F33" s="86"/>
      <c r="G33" s="86"/>
      <c r="H33" s="86"/>
      <c r="I33" s="86"/>
      <c r="J33" s="86"/>
      <c r="K33" s="108"/>
    </row>
    <row r="34" spans="1:11" s="109" customFormat="1">
      <c r="A34" s="357"/>
      <c r="B34" s="125">
        <v>1163</v>
      </c>
      <c r="C34" s="402" t="s">
        <v>157</v>
      </c>
      <c r="D34" s="402"/>
      <c r="E34" s="402"/>
      <c r="F34" s="402"/>
      <c r="G34" s="402"/>
      <c r="H34" s="402"/>
      <c r="I34" s="402"/>
      <c r="J34" s="103">
        <f t="shared" ref="J34:K34" si="2">+J35</f>
        <v>-115074.6</v>
      </c>
      <c r="K34" s="103">
        <f t="shared" si="2"/>
        <v>0</v>
      </c>
    </row>
    <row r="35" spans="1:11" s="110" customFormat="1" ht="34.950000000000003" customHeight="1">
      <c r="A35" s="357"/>
      <c r="B35" s="348"/>
      <c r="C35" s="348"/>
      <c r="D35" s="125" t="s">
        <v>380</v>
      </c>
      <c r="E35" s="402" t="s">
        <v>280</v>
      </c>
      <c r="F35" s="402"/>
      <c r="G35" s="402"/>
      <c r="H35" s="402"/>
      <c r="I35" s="402"/>
      <c r="J35" s="95">
        <f>+'Հավելված N 3'!G138</f>
        <v>-115074.6</v>
      </c>
      <c r="K35" s="95">
        <f>+'Հավելված N 3'!H138</f>
        <v>0</v>
      </c>
    </row>
    <row r="36" spans="1:11" s="109" customFormat="1" ht="18" customHeight="1">
      <c r="A36" s="357"/>
      <c r="B36" s="348"/>
      <c r="C36" s="348"/>
      <c r="D36" s="415"/>
      <c r="E36" s="348"/>
      <c r="F36" s="407" t="s">
        <v>405</v>
      </c>
      <c r="G36" s="408"/>
      <c r="H36" s="408"/>
      <c r="I36" s="408"/>
      <c r="J36" s="408"/>
      <c r="K36" s="408"/>
    </row>
    <row r="37" spans="1:11" s="109" customFormat="1" ht="17.75" customHeight="1">
      <c r="A37" s="357"/>
      <c r="B37" s="348"/>
      <c r="C37" s="348"/>
      <c r="D37" s="415"/>
      <c r="E37" s="348"/>
      <c r="F37" s="412"/>
      <c r="G37" s="407" t="s">
        <v>89</v>
      </c>
      <c r="H37" s="408"/>
      <c r="I37" s="408"/>
      <c r="J37" s="408"/>
      <c r="K37" s="408"/>
    </row>
    <row r="38" spans="1:11" s="109" customFormat="1" ht="36" customHeight="1">
      <c r="A38" s="357"/>
      <c r="B38" s="348"/>
      <c r="C38" s="348"/>
      <c r="D38" s="415"/>
      <c r="E38" s="348"/>
      <c r="F38" s="412"/>
      <c r="G38" s="161"/>
      <c r="H38" s="407" t="s">
        <v>166</v>
      </c>
      <c r="I38" s="408"/>
      <c r="J38" s="408"/>
      <c r="K38" s="408"/>
    </row>
    <row r="39" spans="1:11" ht="8.6" customHeight="1">
      <c r="A39" s="357"/>
      <c r="B39" s="86"/>
      <c r="C39" s="86"/>
      <c r="D39" s="86"/>
      <c r="E39" s="86"/>
      <c r="F39" s="86"/>
      <c r="G39" s="86"/>
      <c r="H39" s="86"/>
      <c r="I39" s="86"/>
      <c r="J39" s="86"/>
      <c r="K39" s="108"/>
    </row>
    <row r="40" spans="1:11" s="109" customFormat="1">
      <c r="A40" s="357"/>
      <c r="B40" s="125">
        <v>1168</v>
      </c>
      <c r="C40" s="402" t="s">
        <v>167</v>
      </c>
      <c r="D40" s="402"/>
      <c r="E40" s="402"/>
      <c r="F40" s="402"/>
      <c r="G40" s="402"/>
      <c r="H40" s="402"/>
      <c r="I40" s="402"/>
      <c r="J40" s="103">
        <f t="shared" ref="J40:K40" si="3">+J41</f>
        <v>0</v>
      </c>
      <c r="K40" s="103">
        <f t="shared" si="3"/>
        <v>17600</v>
      </c>
    </row>
    <row r="41" spans="1:11" s="110" customFormat="1" ht="34.950000000000003" customHeight="1">
      <c r="A41" s="357"/>
      <c r="B41" s="398"/>
      <c r="C41" s="401"/>
      <c r="D41" s="125" t="s">
        <v>164</v>
      </c>
      <c r="E41" s="402" t="s">
        <v>153</v>
      </c>
      <c r="F41" s="402"/>
      <c r="G41" s="402"/>
      <c r="H41" s="402"/>
      <c r="I41" s="402"/>
      <c r="J41" s="95">
        <f>+'Հավելված N 3'!G28</f>
        <v>0</v>
      </c>
      <c r="K41" s="95">
        <f>+'Հավելված N 3'!H28</f>
        <v>17600</v>
      </c>
    </row>
    <row r="42" spans="1:11" s="109" customFormat="1" ht="33.85" customHeight="1">
      <c r="A42" s="357"/>
      <c r="B42" s="398"/>
      <c r="C42" s="401"/>
      <c r="D42" s="399"/>
      <c r="E42" s="333"/>
      <c r="F42" s="402" t="s">
        <v>168</v>
      </c>
      <c r="G42" s="402"/>
      <c r="H42" s="402"/>
      <c r="I42" s="402"/>
      <c r="J42" s="402"/>
      <c r="K42" s="402"/>
    </row>
    <row r="43" spans="1:11" s="109" customFormat="1" ht="17.75" customHeight="1">
      <c r="A43" s="357"/>
      <c r="B43" s="398"/>
      <c r="C43" s="401"/>
      <c r="D43" s="400"/>
      <c r="E43" s="334"/>
      <c r="F43" s="333"/>
      <c r="G43" s="402" t="s">
        <v>89</v>
      </c>
      <c r="H43" s="402"/>
      <c r="I43" s="402"/>
      <c r="J43" s="402"/>
      <c r="K43" s="402"/>
    </row>
    <row r="44" spans="1:11" s="109" customFormat="1">
      <c r="A44" s="357"/>
      <c r="B44" s="398"/>
      <c r="C44" s="401"/>
      <c r="D44" s="400"/>
      <c r="E44" s="334"/>
      <c r="F44" s="334"/>
      <c r="G44" s="60"/>
      <c r="H44" s="403" t="s">
        <v>169</v>
      </c>
      <c r="I44" s="404"/>
      <c r="J44" s="404"/>
      <c r="K44" s="405"/>
    </row>
    <row r="45" spans="1:11" ht="8.6" customHeight="1">
      <c r="A45" s="357"/>
      <c r="B45" s="86"/>
      <c r="C45" s="86"/>
      <c r="D45" s="86"/>
      <c r="E45" s="86"/>
      <c r="F45" s="86"/>
      <c r="G45" s="86"/>
      <c r="H45" s="86"/>
      <c r="I45" s="86"/>
      <c r="J45" s="86"/>
      <c r="K45" s="108"/>
    </row>
    <row r="46" spans="1:11" s="109" customFormat="1">
      <c r="A46" s="357"/>
      <c r="B46" s="125">
        <v>1183</v>
      </c>
      <c r="C46" s="402" t="s">
        <v>93</v>
      </c>
      <c r="D46" s="402"/>
      <c r="E46" s="402"/>
      <c r="F46" s="402"/>
      <c r="G46" s="402"/>
      <c r="H46" s="402"/>
      <c r="I46" s="402"/>
      <c r="J46" s="103">
        <f t="shared" ref="J46:K46" si="4">+J47</f>
        <v>48041.399999999994</v>
      </c>
      <c r="K46" s="103">
        <f t="shared" si="4"/>
        <v>48041.399999999994</v>
      </c>
    </row>
    <row r="47" spans="1:11" s="110" customFormat="1" ht="36" customHeight="1">
      <c r="A47" s="357"/>
      <c r="B47" s="416"/>
      <c r="C47" s="416"/>
      <c r="D47" s="125" t="s">
        <v>383</v>
      </c>
      <c r="E47" s="408" t="s">
        <v>289</v>
      </c>
      <c r="F47" s="414"/>
      <c r="G47" s="414"/>
      <c r="H47" s="414"/>
      <c r="I47" s="414"/>
      <c r="J47" s="128">
        <f>+'Հավելված N 3'!G149</f>
        <v>48041.399999999994</v>
      </c>
      <c r="K47" s="128">
        <f>+'Հավելված N 3'!H149</f>
        <v>48041.399999999994</v>
      </c>
    </row>
    <row r="48" spans="1:11" s="109" customFormat="1" ht="33.85" customHeight="1">
      <c r="A48" s="357"/>
      <c r="B48" s="416"/>
      <c r="C48" s="416"/>
      <c r="D48" s="348"/>
      <c r="E48" s="348"/>
      <c r="F48" s="407" t="s">
        <v>406</v>
      </c>
      <c r="G48" s="408"/>
      <c r="H48" s="408"/>
      <c r="I48" s="408"/>
      <c r="J48" s="408"/>
      <c r="K48" s="408"/>
    </row>
    <row r="49" spans="1:11" s="109" customFormat="1" ht="17.75" customHeight="1">
      <c r="A49" s="357"/>
      <c r="B49" s="416"/>
      <c r="C49" s="416"/>
      <c r="D49" s="348"/>
      <c r="E49" s="348"/>
      <c r="F49" s="412"/>
      <c r="G49" s="407" t="s">
        <v>89</v>
      </c>
      <c r="H49" s="408"/>
      <c r="I49" s="408"/>
      <c r="J49" s="408"/>
      <c r="K49" s="408"/>
    </row>
    <row r="50" spans="1:11" s="109" customFormat="1" ht="18" customHeight="1">
      <c r="A50" s="357"/>
      <c r="B50" s="416"/>
      <c r="C50" s="416"/>
      <c r="D50" s="348"/>
      <c r="E50" s="348"/>
      <c r="F50" s="412"/>
      <c r="G50" s="412"/>
      <c r="H50" s="407" t="s">
        <v>148</v>
      </c>
      <c r="I50" s="408"/>
      <c r="J50" s="408"/>
      <c r="K50" s="408"/>
    </row>
    <row r="51" spans="1:11" ht="35.5">
      <c r="A51" s="357"/>
      <c r="B51" s="417"/>
      <c r="C51" s="417"/>
      <c r="D51" s="348"/>
      <c r="E51" s="348"/>
      <c r="F51" s="412"/>
      <c r="G51" s="412"/>
      <c r="H51" s="160"/>
      <c r="I51" s="127" t="s">
        <v>415</v>
      </c>
      <c r="J51" s="265"/>
      <c r="K51" s="265">
        <v>2</v>
      </c>
    </row>
    <row r="52" spans="1:11" ht="8.6" customHeight="1">
      <c r="A52" s="357"/>
      <c r="B52" s="86"/>
      <c r="C52" s="86"/>
      <c r="D52" s="86"/>
      <c r="E52" s="86"/>
      <c r="F52" s="86"/>
      <c r="G52" s="86"/>
      <c r="H52" s="86"/>
      <c r="I52" s="86"/>
      <c r="J52" s="86"/>
      <c r="K52" s="108"/>
    </row>
    <row r="53" spans="1:11" s="109" customFormat="1">
      <c r="A53" s="357"/>
      <c r="B53" s="125">
        <v>1236</v>
      </c>
      <c r="C53" s="402" t="s">
        <v>88</v>
      </c>
      <c r="D53" s="402"/>
      <c r="E53" s="402"/>
      <c r="F53" s="402"/>
      <c r="G53" s="402"/>
      <c r="H53" s="402"/>
      <c r="I53" s="402"/>
      <c r="J53" s="103">
        <f>+J54+J60+J67</f>
        <v>384108.89999999997</v>
      </c>
      <c r="K53" s="103">
        <f>+K54+K60+K67</f>
        <v>467829.50000000017</v>
      </c>
    </row>
    <row r="54" spans="1:11" s="110" customFormat="1" ht="17.75" customHeight="1">
      <c r="A54" s="357"/>
      <c r="B54" s="348"/>
      <c r="C54" s="348"/>
      <c r="D54" s="125" t="s">
        <v>384</v>
      </c>
      <c r="E54" s="402" t="s">
        <v>174</v>
      </c>
      <c r="F54" s="402"/>
      <c r="G54" s="402"/>
      <c r="H54" s="402"/>
      <c r="I54" s="402"/>
      <c r="J54" s="264">
        <f>+'Հավելված N 3'!G47</f>
        <v>544080.9</v>
      </c>
      <c r="K54" s="264">
        <f>+'Հավելված N 3'!H47</f>
        <v>736220.00000000012</v>
      </c>
    </row>
    <row r="55" spans="1:11" s="109" customFormat="1" ht="35.6" customHeight="1">
      <c r="A55" s="357"/>
      <c r="B55" s="348"/>
      <c r="C55" s="348"/>
      <c r="D55" s="333"/>
      <c r="E55" s="333"/>
      <c r="F55" s="408" t="s">
        <v>408</v>
      </c>
      <c r="G55" s="408"/>
      <c r="H55" s="408"/>
      <c r="I55" s="408"/>
      <c r="J55" s="408"/>
      <c r="K55" s="408"/>
    </row>
    <row r="56" spans="1:11" s="109" customFormat="1" ht="17.75" customHeight="1">
      <c r="A56" s="357"/>
      <c r="B56" s="348"/>
      <c r="C56" s="348"/>
      <c r="D56" s="334"/>
      <c r="E56" s="334"/>
      <c r="F56" s="409"/>
      <c r="G56" s="408" t="s">
        <v>89</v>
      </c>
      <c r="H56" s="408"/>
      <c r="I56" s="408"/>
      <c r="J56" s="408"/>
      <c r="K56" s="408"/>
    </row>
    <row r="57" spans="1:11" s="109" customFormat="1" ht="18" customHeight="1">
      <c r="A57" s="357"/>
      <c r="B57" s="348"/>
      <c r="C57" s="348"/>
      <c r="D57" s="334"/>
      <c r="E57" s="334"/>
      <c r="F57" s="410"/>
      <c r="G57" s="409"/>
      <c r="H57" s="408" t="s">
        <v>407</v>
      </c>
      <c r="I57" s="408"/>
      <c r="J57" s="408"/>
      <c r="K57" s="408"/>
    </row>
    <row r="58" spans="1:11" ht="35.5">
      <c r="A58" s="357"/>
      <c r="B58" s="348"/>
      <c r="C58" s="348"/>
      <c r="D58" s="334"/>
      <c r="E58" s="334"/>
      <c r="F58" s="410"/>
      <c r="G58" s="410"/>
      <c r="H58" s="333"/>
      <c r="I58" s="57" t="s">
        <v>409</v>
      </c>
      <c r="J58" s="112"/>
      <c r="K58" s="112">
        <v>5</v>
      </c>
    </row>
    <row r="59" spans="1:11" ht="53.2">
      <c r="A59" s="357"/>
      <c r="B59" s="348"/>
      <c r="C59" s="348"/>
      <c r="D59" s="335"/>
      <c r="E59" s="335"/>
      <c r="F59" s="411"/>
      <c r="G59" s="411"/>
      <c r="H59" s="335"/>
      <c r="I59" s="57" t="s">
        <v>414</v>
      </c>
      <c r="J59" s="112"/>
      <c r="K59" s="112">
        <v>9</v>
      </c>
    </row>
    <row r="60" spans="1:11" s="110" customFormat="1" ht="17.75" customHeight="1">
      <c r="A60" s="357"/>
      <c r="B60" s="348"/>
      <c r="C60" s="348"/>
      <c r="D60" s="125" t="s">
        <v>389</v>
      </c>
      <c r="E60" s="402" t="s">
        <v>222</v>
      </c>
      <c r="F60" s="402"/>
      <c r="G60" s="402"/>
      <c r="H60" s="402"/>
      <c r="I60" s="402"/>
      <c r="J60" s="264">
        <f>+'Հավելված N 3'!G84</f>
        <v>-446467.80000000005</v>
      </c>
      <c r="K60" s="264">
        <f>+'Հավելված N 3'!H84</f>
        <v>-576777.39999999991</v>
      </c>
    </row>
    <row r="61" spans="1:11" s="109" customFormat="1" ht="35.6" customHeight="1">
      <c r="A61" s="357"/>
      <c r="B61" s="348"/>
      <c r="C61" s="348"/>
      <c r="D61" s="333"/>
      <c r="E61" s="333"/>
      <c r="F61" s="407" t="s">
        <v>411</v>
      </c>
      <c r="G61" s="408"/>
      <c r="H61" s="408"/>
      <c r="I61" s="408"/>
      <c r="J61" s="408"/>
      <c r="K61" s="408"/>
    </row>
    <row r="62" spans="1:11" s="109" customFormat="1" ht="17.75" customHeight="1">
      <c r="A62" s="357"/>
      <c r="B62" s="348"/>
      <c r="C62" s="348"/>
      <c r="D62" s="334"/>
      <c r="E62" s="334"/>
      <c r="F62" s="409"/>
      <c r="G62" s="407" t="s">
        <v>89</v>
      </c>
      <c r="H62" s="408"/>
      <c r="I62" s="408"/>
      <c r="J62" s="408"/>
      <c r="K62" s="408"/>
    </row>
    <row r="63" spans="1:11" s="109" customFormat="1" ht="18" customHeight="1">
      <c r="A63" s="357"/>
      <c r="B63" s="348"/>
      <c r="C63" s="348"/>
      <c r="D63" s="334"/>
      <c r="E63" s="334"/>
      <c r="F63" s="410"/>
      <c r="G63" s="409"/>
      <c r="H63" s="407" t="s">
        <v>412</v>
      </c>
      <c r="I63" s="408"/>
      <c r="J63" s="408"/>
      <c r="K63" s="408"/>
    </row>
    <row r="64" spans="1:11" ht="70.95">
      <c r="A64" s="357"/>
      <c r="B64" s="348"/>
      <c r="C64" s="348"/>
      <c r="D64" s="334"/>
      <c r="E64" s="334"/>
      <c r="F64" s="410"/>
      <c r="G64" s="410"/>
      <c r="H64" s="334"/>
      <c r="I64" s="127" t="s">
        <v>413</v>
      </c>
      <c r="J64" s="265"/>
      <c r="K64" s="265">
        <v>-1</v>
      </c>
    </row>
    <row r="65" spans="1:18" ht="35.5">
      <c r="A65" s="357"/>
      <c r="B65" s="348"/>
      <c r="C65" s="348"/>
      <c r="D65" s="334"/>
      <c r="E65" s="334"/>
      <c r="F65" s="410"/>
      <c r="G65" s="410"/>
      <c r="H65" s="334"/>
      <c r="I65" s="127" t="s">
        <v>147</v>
      </c>
      <c r="J65" s="265"/>
      <c r="K65" s="265">
        <v>-4</v>
      </c>
    </row>
    <row r="66" spans="1:18" ht="35.5">
      <c r="A66" s="357"/>
      <c r="B66" s="348"/>
      <c r="C66" s="348"/>
      <c r="D66" s="335"/>
      <c r="E66" s="335"/>
      <c r="F66" s="411"/>
      <c r="G66" s="411"/>
      <c r="H66" s="335"/>
      <c r="I66" s="57" t="s">
        <v>415</v>
      </c>
      <c r="J66" s="265"/>
      <c r="K66" s="265">
        <v>5</v>
      </c>
    </row>
    <row r="67" spans="1:18" s="110" customFormat="1" ht="17.75" customHeight="1">
      <c r="A67" s="357"/>
      <c r="B67" s="348"/>
      <c r="C67" s="348"/>
      <c r="D67" s="56" t="s">
        <v>391</v>
      </c>
      <c r="E67" s="402" t="s">
        <v>271</v>
      </c>
      <c r="F67" s="402"/>
      <c r="G67" s="402"/>
      <c r="H67" s="402"/>
      <c r="I67" s="402"/>
      <c r="J67" s="95">
        <f>+'Հավելված N 3'!G106</f>
        <v>286495.8</v>
      </c>
      <c r="K67" s="95">
        <f>+'Հավելված N 3'!H106</f>
        <v>308386.89999999997</v>
      </c>
    </row>
    <row r="68" spans="1:18" s="109" customFormat="1" ht="35.6" customHeight="1">
      <c r="A68" s="357"/>
      <c r="B68" s="348"/>
      <c r="C68" s="348"/>
      <c r="D68" s="348"/>
      <c r="E68" s="348"/>
      <c r="F68" s="407" t="s">
        <v>411</v>
      </c>
      <c r="G68" s="408"/>
      <c r="H68" s="408"/>
      <c r="I68" s="408"/>
      <c r="J68" s="408"/>
      <c r="K68" s="408"/>
    </row>
    <row r="69" spans="1:18" s="109" customFormat="1" ht="17.75" customHeight="1">
      <c r="A69" s="357"/>
      <c r="B69" s="348"/>
      <c r="C69" s="348"/>
      <c r="D69" s="348"/>
      <c r="E69" s="348"/>
      <c r="F69" s="412"/>
      <c r="G69" s="407" t="s">
        <v>89</v>
      </c>
      <c r="H69" s="408"/>
      <c r="I69" s="408"/>
      <c r="J69" s="408"/>
      <c r="K69" s="408"/>
    </row>
    <row r="70" spans="1:18" s="109" customFormat="1" ht="18" customHeight="1">
      <c r="A70" s="357"/>
      <c r="B70" s="348"/>
      <c r="C70" s="348"/>
      <c r="D70" s="348"/>
      <c r="E70" s="348"/>
      <c r="F70" s="412"/>
      <c r="G70" s="161"/>
      <c r="H70" s="407" t="s">
        <v>416</v>
      </c>
      <c r="I70" s="408"/>
      <c r="J70" s="408"/>
      <c r="K70" s="408"/>
    </row>
    <row r="72" spans="1:18" s="105" customFormat="1" ht="29.95" customHeight="1">
      <c r="A72" s="396" t="s">
        <v>125</v>
      </c>
      <c r="B72" s="396"/>
      <c r="C72" s="396"/>
      <c r="D72" s="396"/>
      <c r="E72" s="396"/>
      <c r="F72" s="396"/>
      <c r="G72" s="396"/>
      <c r="H72" s="396"/>
      <c r="I72" s="396"/>
      <c r="J72" s="266">
        <f t="shared" ref="J72:K73" si="5">+J73</f>
        <v>-247373.1</v>
      </c>
      <c r="K72" s="266">
        <f t="shared" si="5"/>
        <v>0</v>
      </c>
      <c r="L72" s="10"/>
      <c r="M72" s="10"/>
      <c r="N72" s="10"/>
      <c r="O72" s="10"/>
      <c r="P72" s="10"/>
      <c r="Q72" s="10"/>
      <c r="R72" s="10"/>
    </row>
    <row r="73" spans="1:18" s="109" customFormat="1">
      <c r="A73" s="401"/>
      <c r="B73" s="125">
        <v>1236</v>
      </c>
      <c r="C73" s="402" t="s">
        <v>88</v>
      </c>
      <c r="D73" s="402"/>
      <c r="E73" s="402"/>
      <c r="F73" s="402"/>
      <c r="G73" s="402"/>
      <c r="H73" s="402"/>
      <c r="I73" s="402"/>
      <c r="J73" s="103">
        <f t="shared" si="5"/>
        <v>-247373.1</v>
      </c>
      <c r="K73" s="103">
        <f t="shared" si="5"/>
        <v>0</v>
      </c>
    </row>
    <row r="74" spans="1:18" s="110" customFormat="1" ht="17.75" customHeight="1">
      <c r="A74" s="401"/>
      <c r="B74" s="401"/>
      <c r="C74" s="401"/>
      <c r="D74" s="125" t="s">
        <v>386</v>
      </c>
      <c r="E74" s="402" t="s">
        <v>387</v>
      </c>
      <c r="F74" s="402"/>
      <c r="G74" s="402"/>
      <c r="H74" s="402"/>
      <c r="I74" s="402"/>
      <c r="J74" s="264">
        <f>+'Հավելված N 3'!G60</f>
        <v>-247373.1</v>
      </c>
      <c r="K74" s="264">
        <f>+'Հավելված N 3'!H60</f>
        <v>0</v>
      </c>
    </row>
    <row r="75" spans="1:18" s="109" customFormat="1" ht="35.6" customHeight="1">
      <c r="A75" s="401"/>
      <c r="B75" s="401"/>
      <c r="C75" s="401"/>
      <c r="D75" s="415"/>
      <c r="E75" s="348"/>
      <c r="F75" s="407" t="s">
        <v>410</v>
      </c>
      <c r="G75" s="408"/>
      <c r="H75" s="408"/>
      <c r="I75" s="408"/>
      <c r="J75" s="408"/>
      <c r="K75" s="408"/>
    </row>
    <row r="76" spans="1:18" s="109" customFormat="1" ht="17.75" customHeight="1">
      <c r="A76" s="401"/>
      <c r="B76" s="401"/>
      <c r="C76" s="401"/>
      <c r="D76" s="415"/>
      <c r="E76" s="418"/>
      <c r="F76" s="412"/>
      <c r="G76" s="408" t="s">
        <v>89</v>
      </c>
      <c r="H76" s="408"/>
      <c r="I76" s="408"/>
      <c r="J76" s="408"/>
      <c r="K76" s="408"/>
    </row>
    <row r="77" spans="1:18" s="109" customFormat="1" ht="18" customHeight="1">
      <c r="A77" s="401"/>
      <c r="B77" s="401"/>
      <c r="C77" s="401"/>
      <c r="D77" s="415"/>
      <c r="E77" s="418"/>
      <c r="F77" s="412"/>
      <c r="G77" s="57"/>
      <c r="H77" s="408" t="s">
        <v>407</v>
      </c>
      <c r="I77" s="408"/>
      <c r="J77" s="408"/>
      <c r="K77" s="408"/>
    </row>
  </sheetData>
  <mergeCells count="119">
    <mergeCell ref="B74:B77"/>
    <mergeCell ref="A73:A77"/>
    <mergeCell ref="A72:I72"/>
    <mergeCell ref="C73:I73"/>
    <mergeCell ref="E74:I74"/>
    <mergeCell ref="D75:D77"/>
    <mergeCell ref="E75:E77"/>
    <mergeCell ref="F75:K75"/>
    <mergeCell ref="F76:F77"/>
    <mergeCell ref="G76:K76"/>
    <mergeCell ref="H77:K77"/>
    <mergeCell ref="C74:C77"/>
    <mergeCell ref="E54:I54"/>
    <mergeCell ref="D55:D59"/>
    <mergeCell ref="E55:E59"/>
    <mergeCell ref="F55:K55"/>
    <mergeCell ref="F56:F59"/>
    <mergeCell ref="G56:K56"/>
    <mergeCell ref="G57:G59"/>
    <mergeCell ref="E60:I60"/>
    <mergeCell ref="D61:D66"/>
    <mergeCell ref="E61:E66"/>
    <mergeCell ref="F61:K61"/>
    <mergeCell ref="F62:F66"/>
    <mergeCell ref="G62:K62"/>
    <mergeCell ref="G63:G66"/>
    <mergeCell ref="H63:K63"/>
    <mergeCell ref="H64:H66"/>
    <mergeCell ref="E67:I67"/>
    <mergeCell ref="D68:D70"/>
    <mergeCell ref="E68:E70"/>
    <mergeCell ref="C46:I46"/>
    <mergeCell ref="B47:B51"/>
    <mergeCell ref="C47:C51"/>
    <mergeCell ref="E47:I47"/>
    <mergeCell ref="D48:D51"/>
    <mergeCell ref="E48:E51"/>
    <mergeCell ref="F48:K48"/>
    <mergeCell ref="F49:F51"/>
    <mergeCell ref="G49:K49"/>
    <mergeCell ref="G50:G51"/>
    <mergeCell ref="H50:K50"/>
    <mergeCell ref="F68:K68"/>
    <mergeCell ref="F69:F70"/>
    <mergeCell ref="G69:K69"/>
    <mergeCell ref="H70:K70"/>
    <mergeCell ref="H57:K57"/>
    <mergeCell ref="H58:H59"/>
    <mergeCell ref="C53:I53"/>
    <mergeCell ref="B54:B70"/>
    <mergeCell ref="C54:C70"/>
    <mergeCell ref="C34:I34"/>
    <mergeCell ref="C40:I40"/>
    <mergeCell ref="B41:B44"/>
    <mergeCell ref="C41:C44"/>
    <mergeCell ref="E41:I41"/>
    <mergeCell ref="D42:D44"/>
    <mergeCell ref="E42:E44"/>
    <mergeCell ref="F42:K42"/>
    <mergeCell ref="F43:F44"/>
    <mergeCell ref="G43:K43"/>
    <mergeCell ref="H44:K44"/>
    <mergeCell ref="G18:G19"/>
    <mergeCell ref="H18:K18"/>
    <mergeCell ref="A26:I26"/>
    <mergeCell ref="A27:A70"/>
    <mergeCell ref="B28:B32"/>
    <mergeCell ref="C28:C32"/>
    <mergeCell ref="E28:I28"/>
    <mergeCell ref="D29:D32"/>
    <mergeCell ref="E29:E32"/>
    <mergeCell ref="F29:K29"/>
    <mergeCell ref="F30:F32"/>
    <mergeCell ref="G30:K30"/>
    <mergeCell ref="G31:G32"/>
    <mergeCell ref="B35:B38"/>
    <mergeCell ref="C35:C38"/>
    <mergeCell ref="C27:I27"/>
    <mergeCell ref="E35:I35"/>
    <mergeCell ref="D36:D38"/>
    <mergeCell ref="H31:K31"/>
    <mergeCell ref="E36:E38"/>
    <mergeCell ref="F36:K36"/>
    <mergeCell ref="F37:F38"/>
    <mergeCell ref="G37:K37"/>
    <mergeCell ref="H38:K38"/>
    <mergeCell ref="A13:I13"/>
    <mergeCell ref="A14:A24"/>
    <mergeCell ref="A9:A10"/>
    <mergeCell ref="B9:C9"/>
    <mergeCell ref="D9:G9"/>
    <mergeCell ref="H9:H10"/>
    <mergeCell ref="I9:I10"/>
    <mergeCell ref="C14:I14"/>
    <mergeCell ref="B15:B24"/>
    <mergeCell ref="C15:C24"/>
    <mergeCell ref="E20:I20"/>
    <mergeCell ref="D21:D24"/>
    <mergeCell ref="E21:E24"/>
    <mergeCell ref="F21:K21"/>
    <mergeCell ref="F22:F24"/>
    <mergeCell ref="G22:K22"/>
    <mergeCell ref="G23:G24"/>
    <mergeCell ref="H23:K23"/>
    <mergeCell ref="E15:I15"/>
    <mergeCell ref="D16:D19"/>
    <mergeCell ref="E16:E19"/>
    <mergeCell ref="F16:K16"/>
    <mergeCell ref="F17:F19"/>
    <mergeCell ref="G17:K17"/>
    <mergeCell ref="G1:H1"/>
    <mergeCell ref="G3:H3"/>
    <mergeCell ref="A6:K6"/>
    <mergeCell ref="A11:I11"/>
    <mergeCell ref="A12:I12"/>
    <mergeCell ref="I1:K1"/>
    <mergeCell ref="I2:K2"/>
    <mergeCell ref="I3:K3"/>
    <mergeCell ref="J9:K9"/>
  </mergeCells>
  <phoneticPr fontId="9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213"/>
  <sheetViews>
    <sheetView tabSelected="1" topLeftCell="A8" zoomScale="85" zoomScaleNormal="85" workbookViewId="0">
      <selection activeCell="J13" sqref="J13"/>
    </sheetView>
  </sheetViews>
  <sheetFormatPr defaultColWidth="9.09765625" defaultRowHeight="17.75"/>
  <cols>
    <col min="1" max="4" width="18.19921875" style="26" customWidth="1"/>
    <col min="5" max="6" width="14.3984375" style="42" customWidth="1"/>
    <col min="7" max="7" width="17.69921875" style="261" customWidth="1"/>
    <col min="8" max="8" width="14.3984375" style="261" customWidth="1"/>
    <col min="9" max="9" width="30.19921875" style="42" customWidth="1"/>
    <col min="10" max="10" width="26.09765625" style="180" customWidth="1"/>
    <col min="11" max="11" width="37.09765625" style="26" customWidth="1"/>
    <col min="12" max="12" width="20.19921875" style="26" customWidth="1"/>
    <col min="13" max="13" width="14" style="26" bestFit="1" customWidth="1"/>
    <col min="14" max="16384" width="9.09765625" style="26"/>
  </cols>
  <sheetData>
    <row r="1" spans="1:10" ht="33.450000000000003" customHeight="1">
      <c r="A1" s="248"/>
      <c r="B1" s="248"/>
      <c r="C1" s="248"/>
      <c r="D1" s="248"/>
      <c r="E1" s="249"/>
      <c r="F1" s="249"/>
      <c r="G1" s="250"/>
      <c r="H1" s="445" t="s">
        <v>90</v>
      </c>
      <c r="I1" s="445"/>
    </row>
    <row r="2" spans="1:10">
      <c r="A2" s="248"/>
      <c r="B2" s="248"/>
      <c r="C2" s="248"/>
      <c r="D2" s="248"/>
      <c r="E2" s="249"/>
      <c r="F2" s="249"/>
      <c r="G2" s="250"/>
      <c r="H2" s="446" t="s">
        <v>99</v>
      </c>
      <c r="I2" s="446"/>
    </row>
    <row r="3" spans="1:10">
      <c r="A3" s="248"/>
      <c r="B3" s="248"/>
      <c r="C3" s="248"/>
      <c r="D3" s="248"/>
      <c r="E3" s="249"/>
      <c r="F3" s="249"/>
      <c r="G3" s="250"/>
      <c r="H3" s="446" t="s">
        <v>0</v>
      </c>
      <c r="I3" s="446"/>
    </row>
    <row r="4" spans="1:10">
      <c r="A4" s="248"/>
      <c r="B4" s="248"/>
      <c r="C4" s="248"/>
      <c r="D4" s="248"/>
      <c r="E4" s="249"/>
      <c r="F4" s="249"/>
      <c r="G4" s="250"/>
      <c r="H4" s="250"/>
      <c r="I4" s="318"/>
    </row>
    <row r="5" spans="1:10">
      <c r="A5" s="248"/>
      <c r="B5" s="248"/>
      <c r="C5" s="248"/>
      <c r="D5" s="248"/>
      <c r="E5" s="249"/>
      <c r="F5" s="249"/>
      <c r="G5" s="250"/>
      <c r="H5" s="250"/>
      <c r="I5" s="318"/>
    </row>
    <row r="6" spans="1:10" ht="32.25" customHeight="1">
      <c r="A6" s="447" t="s">
        <v>107</v>
      </c>
      <c r="B6" s="447"/>
      <c r="C6" s="447"/>
      <c r="D6" s="447"/>
      <c r="E6" s="447"/>
      <c r="F6" s="447"/>
      <c r="G6" s="447"/>
      <c r="H6" s="447"/>
      <c r="I6" s="447"/>
    </row>
    <row r="7" spans="1:10" ht="20.95" customHeight="1">
      <c r="A7" s="447"/>
      <c r="B7" s="447"/>
      <c r="C7" s="447"/>
      <c r="D7" s="447"/>
      <c r="E7" s="447"/>
      <c r="F7" s="447"/>
      <c r="G7" s="447"/>
      <c r="H7" s="447"/>
      <c r="I7" s="447"/>
    </row>
    <row r="8" spans="1:10" ht="20.95" customHeight="1">
      <c r="A8" s="251"/>
      <c r="B8" s="251"/>
      <c r="C8" s="251"/>
      <c r="D8" s="251"/>
      <c r="E8" s="251"/>
      <c r="F8" s="251"/>
      <c r="G8" s="251"/>
      <c r="H8" s="251"/>
      <c r="I8" s="251"/>
    </row>
    <row r="9" spans="1:10" ht="20.95" customHeight="1">
      <c r="A9" s="251"/>
      <c r="B9" s="251"/>
      <c r="C9" s="251"/>
      <c r="D9" s="251"/>
      <c r="E9" s="251"/>
      <c r="F9" s="251"/>
      <c r="G9" s="251"/>
      <c r="H9" s="251"/>
      <c r="I9" s="251"/>
    </row>
    <row r="10" spans="1:10" ht="73.75" customHeight="1">
      <c r="A10" s="448" t="s">
        <v>28</v>
      </c>
      <c r="B10" s="448" t="s">
        <v>29</v>
      </c>
      <c r="C10" s="448"/>
      <c r="D10" s="448"/>
      <c r="E10" s="448" t="s">
        <v>30</v>
      </c>
      <c r="F10" s="448" t="s">
        <v>31</v>
      </c>
      <c r="G10" s="448" t="s">
        <v>32</v>
      </c>
      <c r="H10" s="449" t="s">
        <v>72</v>
      </c>
      <c r="I10" s="449"/>
    </row>
    <row r="11" spans="1:10" ht="20.95" customHeight="1">
      <c r="A11" s="448"/>
      <c r="B11" s="448"/>
      <c r="C11" s="448"/>
      <c r="D11" s="448"/>
      <c r="E11" s="448"/>
      <c r="F11" s="448"/>
      <c r="G11" s="448"/>
      <c r="H11" s="319" t="s">
        <v>33</v>
      </c>
      <c r="I11" s="252" t="s">
        <v>34</v>
      </c>
    </row>
    <row r="12" spans="1:10">
      <c r="A12" s="253">
        <v>1</v>
      </c>
      <c r="B12" s="441">
        <v>2</v>
      </c>
      <c r="C12" s="442"/>
      <c r="D12" s="443"/>
      <c r="E12" s="319">
        <v>3</v>
      </c>
      <c r="F12" s="319">
        <v>4</v>
      </c>
      <c r="G12" s="319">
        <v>5</v>
      </c>
      <c r="H12" s="319">
        <v>6</v>
      </c>
      <c r="I12" s="319">
        <v>7</v>
      </c>
    </row>
    <row r="13" spans="1:10" ht="44.9" customHeight="1">
      <c r="A13" s="444" t="s">
        <v>12</v>
      </c>
      <c r="B13" s="444"/>
      <c r="C13" s="444"/>
      <c r="D13" s="444"/>
      <c r="E13" s="444"/>
      <c r="F13" s="444"/>
      <c r="G13" s="444"/>
      <c r="H13" s="444"/>
      <c r="I13" s="177">
        <f>+I14</f>
        <v>-402695</v>
      </c>
    </row>
    <row r="14" spans="1:10" s="42" customFormat="1">
      <c r="A14" s="114" t="s">
        <v>75</v>
      </c>
      <c r="B14" s="114" t="s">
        <v>60</v>
      </c>
      <c r="C14" s="114" t="s">
        <v>77</v>
      </c>
      <c r="D14" s="428" t="s">
        <v>96</v>
      </c>
      <c r="E14" s="429"/>
      <c r="F14" s="429"/>
      <c r="G14" s="429"/>
      <c r="H14" s="430"/>
      <c r="I14" s="115">
        <f>+I15+I89</f>
        <v>-402695</v>
      </c>
      <c r="J14" s="180"/>
    </row>
    <row r="15" spans="1:10" ht="54.8" customHeight="1">
      <c r="A15" s="116" t="s">
        <v>218</v>
      </c>
      <c r="B15" s="423" t="s">
        <v>219</v>
      </c>
      <c r="C15" s="424"/>
      <c r="D15" s="424"/>
      <c r="E15" s="424"/>
      <c r="F15" s="424"/>
      <c r="G15" s="424"/>
      <c r="H15" s="425"/>
      <c r="I15" s="117">
        <f>+I16</f>
        <v>-363095</v>
      </c>
    </row>
    <row r="16" spans="1:10" s="44" customFormat="1" ht="20.95" customHeight="1">
      <c r="A16" s="316"/>
      <c r="B16" s="329" t="s">
        <v>53</v>
      </c>
      <c r="C16" s="426"/>
      <c r="D16" s="427"/>
      <c r="E16" s="71" t="s">
        <v>80</v>
      </c>
      <c r="F16" s="71" t="s">
        <v>80</v>
      </c>
      <c r="G16" s="71" t="s">
        <v>80</v>
      </c>
      <c r="H16" s="78"/>
      <c r="I16" s="72">
        <f>SUM(I17:I88)</f>
        <v>-363095</v>
      </c>
      <c r="J16" s="181"/>
    </row>
    <row r="17" spans="1:10" s="27" customFormat="1">
      <c r="A17" s="315" t="s">
        <v>302</v>
      </c>
      <c r="B17" s="431" t="s">
        <v>81</v>
      </c>
      <c r="C17" s="431"/>
      <c r="D17" s="431"/>
      <c r="E17" s="314" t="s">
        <v>184</v>
      </c>
      <c r="F17" s="314" t="s">
        <v>74</v>
      </c>
      <c r="G17" s="156">
        <v>9000000</v>
      </c>
      <c r="H17" s="74">
        <v>-1</v>
      </c>
      <c r="I17" s="35">
        <f t="shared" ref="I17" si="0">+ROUNDDOWN(H17*G17/1000,1)</f>
        <v>-9000</v>
      </c>
      <c r="J17" s="181"/>
    </row>
    <row r="18" spans="1:10" s="27" customFormat="1">
      <c r="A18" s="315" t="s">
        <v>303</v>
      </c>
      <c r="B18" s="431" t="s">
        <v>81</v>
      </c>
      <c r="C18" s="431"/>
      <c r="D18" s="431"/>
      <c r="E18" s="314" t="s">
        <v>184</v>
      </c>
      <c r="F18" s="314" t="s">
        <v>74</v>
      </c>
      <c r="G18" s="156">
        <v>13000000</v>
      </c>
      <c r="H18" s="74">
        <v>-1</v>
      </c>
      <c r="I18" s="35">
        <f t="shared" ref="I18:I52" si="1">+ROUNDDOWN(H18*G18/1000,1)</f>
        <v>-13000</v>
      </c>
      <c r="J18" s="181"/>
    </row>
    <row r="19" spans="1:10" s="27" customFormat="1">
      <c r="A19" s="315" t="s">
        <v>306</v>
      </c>
      <c r="B19" s="431" t="s">
        <v>81</v>
      </c>
      <c r="C19" s="431"/>
      <c r="D19" s="431"/>
      <c r="E19" s="314" t="s">
        <v>184</v>
      </c>
      <c r="F19" s="314" t="s">
        <v>74</v>
      </c>
      <c r="G19" s="156">
        <v>9000000</v>
      </c>
      <c r="H19" s="74">
        <v>-1</v>
      </c>
      <c r="I19" s="35">
        <f t="shared" ref="I19:I43" si="2">+ROUNDDOWN(H19*G19/1000,1)</f>
        <v>-9000</v>
      </c>
      <c r="J19" s="181"/>
    </row>
    <row r="20" spans="1:10" s="27" customFormat="1">
      <c r="A20" s="315" t="s">
        <v>304</v>
      </c>
      <c r="B20" s="431" t="s">
        <v>81</v>
      </c>
      <c r="C20" s="431"/>
      <c r="D20" s="431"/>
      <c r="E20" s="314" t="s">
        <v>184</v>
      </c>
      <c r="F20" s="314" t="s">
        <v>74</v>
      </c>
      <c r="G20" s="156">
        <v>13000000</v>
      </c>
      <c r="H20" s="74">
        <v>-1</v>
      </c>
      <c r="I20" s="35">
        <f t="shared" si="2"/>
        <v>-13000</v>
      </c>
      <c r="J20" s="181"/>
    </row>
    <row r="21" spans="1:10" s="27" customFormat="1">
      <c r="A21" s="315" t="s">
        <v>299</v>
      </c>
      <c r="B21" s="431" t="s">
        <v>81</v>
      </c>
      <c r="C21" s="431"/>
      <c r="D21" s="431"/>
      <c r="E21" s="314" t="s">
        <v>184</v>
      </c>
      <c r="F21" s="314" t="s">
        <v>74</v>
      </c>
      <c r="G21" s="156">
        <v>13000000</v>
      </c>
      <c r="H21" s="74">
        <v>-1</v>
      </c>
      <c r="I21" s="35">
        <f t="shared" ref="I21:I36" si="3">+ROUNDDOWN(H21*G21/1000,1)</f>
        <v>-13000</v>
      </c>
      <c r="J21" s="181"/>
    </row>
    <row r="22" spans="1:10" s="27" customFormat="1">
      <c r="A22" s="315" t="s">
        <v>307</v>
      </c>
      <c r="B22" s="431" t="s">
        <v>81</v>
      </c>
      <c r="C22" s="431"/>
      <c r="D22" s="431"/>
      <c r="E22" s="314" t="s">
        <v>184</v>
      </c>
      <c r="F22" s="314" t="s">
        <v>74</v>
      </c>
      <c r="G22" s="156">
        <v>13000000</v>
      </c>
      <c r="H22" s="74">
        <v>-1</v>
      </c>
      <c r="I22" s="35">
        <f t="shared" si="3"/>
        <v>-13000</v>
      </c>
      <c r="J22" s="181"/>
    </row>
    <row r="23" spans="1:10" s="27" customFormat="1">
      <c r="A23" s="315" t="s">
        <v>308</v>
      </c>
      <c r="B23" s="431" t="s">
        <v>81</v>
      </c>
      <c r="C23" s="431"/>
      <c r="D23" s="431"/>
      <c r="E23" s="314" t="s">
        <v>184</v>
      </c>
      <c r="F23" s="314" t="s">
        <v>74</v>
      </c>
      <c r="G23" s="156">
        <v>20000000</v>
      </c>
      <c r="H23" s="74">
        <v>-1</v>
      </c>
      <c r="I23" s="35">
        <f t="shared" si="3"/>
        <v>-20000</v>
      </c>
      <c r="J23" s="181"/>
    </row>
    <row r="24" spans="1:10" s="27" customFormat="1">
      <c r="A24" s="315" t="s">
        <v>309</v>
      </c>
      <c r="B24" s="431" t="s">
        <v>81</v>
      </c>
      <c r="C24" s="431"/>
      <c r="D24" s="431"/>
      <c r="E24" s="314" t="s">
        <v>184</v>
      </c>
      <c r="F24" s="314" t="s">
        <v>74</v>
      </c>
      <c r="G24" s="156">
        <v>9000000</v>
      </c>
      <c r="H24" s="74">
        <v>-1</v>
      </c>
      <c r="I24" s="35">
        <f t="shared" si="3"/>
        <v>-9000</v>
      </c>
      <c r="J24" s="181"/>
    </row>
    <row r="25" spans="1:10" s="27" customFormat="1">
      <c r="A25" s="315" t="s">
        <v>310</v>
      </c>
      <c r="B25" s="431" t="s">
        <v>81</v>
      </c>
      <c r="C25" s="431"/>
      <c r="D25" s="431"/>
      <c r="E25" s="314" t="s">
        <v>184</v>
      </c>
      <c r="F25" s="314" t="s">
        <v>74</v>
      </c>
      <c r="G25" s="156">
        <v>9000000</v>
      </c>
      <c r="H25" s="74">
        <v>-1</v>
      </c>
      <c r="I25" s="35">
        <f t="shared" si="3"/>
        <v>-9000</v>
      </c>
      <c r="J25" s="181"/>
    </row>
    <row r="26" spans="1:10" s="27" customFormat="1">
      <c r="A26" s="315" t="s">
        <v>311</v>
      </c>
      <c r="B26" s="431" t="s">
        <v>81</v>
      </c>
      <c r="C26" s="431"/>
      <c r="D26" s="431"/>
      <c r="E26" s="314" t="s">
        <v>184</v>
      </c>
      <c r="F26" s="314" t="s">
        <v>74</v>
      </c>
      <c r="G26" s="156">
        <v>13000000</v>
      </c>
      <c r="H26" s="74">
        <v>-1</v>
      </c>
      <c r="I26" s="35">
        <f t="shared" si="3"/>
        <v>-13000</v>
      </c>
      <c r="J26" s="181"/>
    </row>
    <row r="27" spans="1:10" s="27" customFormat="1">
      <c r="A27" s="315" t="s">
        <v>312</v>
      </c>
      <c r="B27" s="431" t="s">
        <v>81</v>
      </c>
      <c r="C27" s="431"/>
      <c r="D27" s="431"/>
      <c r="E27" s="314" t="s">
        <v>184</v>
      </c>
      <c r="F27" s="314" t="s">
        <v>74</v>
      </c>
      <c r="G27" s="156">
        <v>20000000</v>
      </c>
      <c r="H27" s="74">
        <v>-1</v>
      </c>
      <c r="I27" s="35">
        <f t="shared" si="3"/>
        <v>-20000</v>
      </c>
      <c r="J27" s="181"/>
    </row>
    <row r="28" spans="1:10" s="27" customFormat="1">
      <c r="A28" s="315" t="s">
        <v>313</v>
      </c>
      <c r="B28" s="431" t="s">
        <v>81</v>
      </c>
      <c r="C28" s="431"/>
      <c r="D28" s="431"/>
      <c r="E28" s="314" t="s">
        <v>184</v>
      </c>
      <c r="F28" s="314" t="s">
        <v>74</v>
      </c>
      <c r="G28" s="156">
        <v>9000000</v>
      </c>
      <c r="H28" s="74">
        <v>-1</v>
      </c>
      <c r="I28" s="35">
        <f t="shared" si="3"/>
        <v>-9000</v>
      </c>
      <c r="J28" s="181"/>
    </row>
    <row r="29" spans="1:10" s="27" customFormat="1">
      <c r="A29" s="315" t="s">
        <v>314</v>
      </c>
      <c r="B29" s="431" t="s">
        <v>81</v>
      </c>
      <c r="C29" s="431"/>
      <c r="D29" s="431"/>
      <c r="E29" s="314" t="s">
        <v>184</v>
      </c>
      <c r="F29" s="314" t="s">
        <v>74</v>
      </c>
      <c r="G29" s="156">
        <v>9000000</v>
      </c>
      <c r="H29" s="74">
        <v>-1</v>
      </c>
      <c r="I29" s="35">
        <f t="shared" si="3"/>
        <v>-9000</v>
      </c>
      <c r="J29" s="181"/>
    </row>
    <row r="30" spans="1:10" s="27" customFormat="1">
      <c r="A30" s="315" t="s">
        <v>315</v>
      </c>
      <c r="B30" s="431" t="s">
        <v>81</v>
      </c>
      <c r="C30" s="431"/>
      <c r="D30" s="431"/>
      <c r="E30" s="314" t="s">
        <v>184</v>
      </c>
      <c r="F30" s="314" t="s">
        <v>74</v>
      </c>
      <c r="G30" s="156">
        <v>11000000</v>
      </c>
      <c r="H30" s="74">
        <v>-1</v>
      </c>
      <c r="I30" s="35">
        <f t="shared" si="3"/>
        <v>-11000</v>
      </c>
      <c r="J30" s="181"/>
    </row>
    <row r="31" spans="1:10" s="27" customFormat="1">
      <c r="A31" s="315" t="s">
        <v>316</v>
      </c>
      <c r="B31" s="431" t="s">
        <v>81</v>
      </c>
      <c r="C31" s="431"/>
      <c r="D31" s="431"/>
      <c r="E31" s="314" t="s">
        <v>184</v>
      </c>
      <c r="F31" s="314" t="s">
        <v>74</v>
      </c>
      <c r="G31" s="156">
        <v>4605000</v>
      </c>
      <c r="H31" s="74">
        <v>-1</v>
      </c>
      <c r="I31" s="35">
        <f t="shared" si="3"/>
        <v>-4605</v>
      </c>
      <c r="J31" s="181"/>
    </row>
    <row r="32" spans="1:10" s="27" customFormat="1">
      <c r="A32" s="315" t="s">
        <v>317</v>
      </c>
      <c r="B32" s="431" t="s">
        <v>81</v>
      </c>
      <c r="C32" s="431"/>
      <c r="D32" s="431"/>
      <c r="E32" s="314" t="s">
        <v>184</v>
      </c>
      <c r="F32" s="314" t="s">
        <v>74</v>
      </c>
      <c r="G32" s="156">
        <v>4605000</v>
      </c>
      <c r="H32" s="74">
        <v>-1</v>
      </c>
      <c r="I32" s="35">
        <f t="shared" si="3"/>
        <v>-4605</v>
      </c>
      <c r="J32" s="181"/>
    </row>
    <row r="33" spans="1:10" s="27" customFormat="1">
      <c r="A33" s="315" t="s">
        <v>318</v>
      </c>
      <c r="B33" s="431" t="s">
        <v>81</v>
      </c>
      <c r="C33" s="431"/>
      <c r="D33" s="431"/>
      <c r="E33" s="314" t="s">
        <v>184</v>
      </c>
      <c r="F33" s="314" t="s">
        <v>74</v>
      </c>
      <c r="G33" s="156">
        <v>9000000</v>
      </c>
      <c r="H33" s="74">
        <v>-1</v>
      </c>
      <c r="I33" s="35">
        <f t="shared" si="3"/>
        <v>-9000</v>
      </c>
      <c r="J33" s="181"/>
    </row>
    <row r="34" spans="1:10" s="27" customFormat="1">
      <c r="A34" s="315" t="s">
        <v>319</v>
      </c>
      <c r="B34" s="431" t="s">
        <v>81</v>
      </c>
      <c r="C34" s="431"/>
      <c r="D34" s="431"/>
      <c r="E34" s="314" t="s">
        <v>184</v>
      </c>
      <c r="F34" s="314" t="s">
        <v>74</v>
      </c>
      <c r="G34" s="156">
        <v>9000000</v>
      </c>
      <c r="H34" s="74">
        <v>-1</v>
      </c>
      <c r="I34" s="35">
        <f t="shared" si="3"/>
        <v>-9000</v>
      </c>
      <c r="J34" s="181"/>
    </row>
    <row r="35" spans="1:10" s="27" customFormat="1">
      <c r="A35" s="315" t="s">
        <v>320</v>
      </c>
      <c r="B35" s="431" t="s">
        <v>81</v>
      </c>
      <c r="C35" s="431"/>
      <c r="D35" s="431"/>
      <c r="E35" s="314" t="s">
        <v>184</v>
      </c>
      <c r="F35" s="314" t="s">
        <v>74</v>
      </c>
      <c r="G35" s="156">
        <v>11000000</v>
      </c>
      <c r="H35" s="74">
        <v>-1</v>
      </c>
      <c r="I35" s="35">
        <f t="shared" si="3"/>
        <v>-11000</v>
      </c>
      <c r="J35" s="181"/>
    </row>
    <row r="36" spans="1:10" s="27" customFormat="1">
      <c r="A36" s="315" t="s">
        <v>321</v>
      </c>
      <c r="B36" s="431" t="s">
        <v>81</v>
      </c>
      <c r="C36" s="431"/>
      <c r="D36" s="431"/>
      <c r="E36" s="314" t="s">
        <v>184</v>
      </c>
      <c r="F36" s="314" t="s">
        <v>74</v>
      </c>
      <c r="G36" s="156">
        <v>11000000</v>
      </c>
      <c r="H36" s="74">
        <v>-1</v>
      </c>
      <c r="I36" s="35">
        <f t="shared" si="3"/>
        <v>-11000</v>
      </c>
      <c r="J36" s="181"/>
    </row>
    <row r="37" spans="1:10" s="27" customFormat="1">
      <c r="A37" s="315" t="s">
        <v>322</v>
      </c>
      <c r="B37" s="431" t="s">
        <v>81</v>
      </c>
      <c r="C37" s="431"/>
      <c r="D37" s="431"/>
      <c r="E37" s="314" t="s">
        <v>184</v>
      </c>
      <c r="F37" s="314" t="s">
        <v>74</v>
      </c>
      <c r="G37" s="156">
        <v>11000000</v>
      </c>
      <c r="H37" s="74">
        <v>-1</v>
      </c>
      <c r="I37" s="35">
        <f t="shared" si="2"/>
        <v>-11000</v>
      </c>
      <c r="J37" s="181"/>
    </row>
    <row r="38" spans="1:10" s="27" customFormat="1">
      <c r="A38" s="315" t="s">
        <v>323</v>
      </c>
      <c r="B38" s="431" t="s">
        <v>81</v>
      </c>
      <c r="C38" s="431"/>
      <c r="D38" s="431"/>
      <c r="E38" s="314" t="s">
        <v>184</v>
      </c>
      <c r="F38" s="314" t="s">
        <v>74</v>
      </c>
      <c r="G38" s="156">
        <v>9000000</v>
      </c>
      <c r="H38" s="74">
        <v>-1</v>
      </c>
      <c r="I38" s="35">
        <f t="shared" si="2"/>
        <v>-9000</v>
      </c>
      <c r="J38" s="181"/>
    </row>
    <row r="39" spans="1:10" s="27" customFormat="1">
      <c r="A39" s="315" t="s">
        <v>324</v>
      </c>
      <c r="B39" s="431" t="s">
        <v>81</v>
      </c>
      <c r="C39" s="431"/>
      <c r="D39" s="431"/>
      <c r="E39" s="314" t="s">
        <v>184</v>
      </c>
      <c r="F39" s="314" t="s">
        <v>74</v>
      </c>
      <c r="G39" s="156">
        <v>4605000</v>
      </c>
      <c r="H39" s="74">
        <v>-1</v>
      </c>
      <c r="I39" s="35">
        <f t="shared" si="2"/>
        <v>-4605</v>
      </c>
      <c r="J39" s="181"/>
    </row>
    <row r="40" spans="1:10" s="27" customFormat="1">
      <c r="A40" s="315" t="s">
        <v>325</v>
      </c>
      <c r="B40" s="431" t="s">
        <v>81</v>
      </c>
      <c r="C40" s="431"/>
      <c r="D40" s="431"/>
      <c r="E40" s="314" t="s">
        <v>184</v>
      </c>
      <c r="F40" s="314" t="s">
        <v>74</v>
      </c>
      <c r="G40" s="156">
        <v>4605000</v>
      </c>
      <c r="H40" s="74">
        <v>-1</v>
      </c>
      <c r="I40" s="35">
        <f t="shared" si="2"/>
        <v>-4605</v>
      </c>
      <c r="J40" s="181"/>
    </row>
    <row r="41" spans="1:10" s="27" customFormat="1">
      <c r="A41" s="315" t="s">
        <v>326</v>
      </c>
      <c r="B41" s="431" t="s">
        <v>81</v>
      </c>
      <c r="C41" s="431"/>
      <c r="D41" s="431"/>
      <c r="E41" s="314" t="s">
        <v>184</v>
      </c>
      <c r="F41" s="314" t="s">
        <v>74</v>
      </c>
      <c r="G41" s="156">
        <v>4605000</v>
      </c>
      <c r="H41" s="74">
        <v>-1</v>
      </c>
      <c r="I41" s="35">
        <f t="shared" si="2"/>
        <v>-4605</v>
      </c>
      <c r="J41" s="181"/>
    </row>
    <row r="42" spans="1:10" s="27" customFormat="1">
      <c r="A42" s="315" t="s">
        <v>327</v>
      </c>
      <c r="B42" s="431" t="s">
        <v>81</v>
      </c>
      <c r="C42" s="431"/>
      <c r="D42" s="431"/>
      <c r="E42" s="314" t="s">
        <v>184</v>
      </c>
      <c r="F42" s="314" t="s">
        <v>74</v>
      </c>
      <c r="G42" s="156">
        <v>4605000</v>
      </c>
      <c r="H42" s="74">
        <v>-1</v>
      </c>
      <c r="I42" s="35">
        <f t="shared" si="2"/>
        <v>-4605</v>
      </c>
      <c r="J42" s="181"/>
    </row>
    <row r="43" spans="1:10" s="27" customFormat="1">
      <c r="A43" s="315" t="s">
        <v>328</v>
      </c>
      <c r="B43" s="431" t="s">
        <v>81</v>
      </c>
      <c r="C43" s="431"/>
      <c r="D43" s="431"/>
      <c r="E43" s="314" t="s">
        <v>184</v>
      </c>
      <c r="F43" s="314" t="s">
        <v>74</v>
      </c>
      <c r="G43" s="156">
        <v>4605000</v>
      </c>
      <c r="H43" s="74">
        <v>-1</v>
      </c>
      <c r="I43" s="35">
        <f t="shared" si="2"/>
        <v>-4605</v>
      </c>
      <c r="J43" s="181"/>
    </row>
    <row r="44" spans="1:10" s="27" customFormat="1">
      <c r="A44" s="315" t="s">
        <v>329</v>
      </c>
      <c r="B44" s="431" t="s">
        <v>81</v>
      </c>
      <c r="C44" s="431"/>
      <c r="D44" s="431"/>
      <c r="E44" s="314" t="s">
        <v>184</v>
      </c>
      <c r="F44" s="314" t="s">
        <v>74</v>
      </c>
      <c r="G44" s="156">
        <v>13000000</v>
      </c>
      <c r="H44" s="74">
        <v>-1</v>
      </c>
      <c r="I44" s="35">
        <f t="shared" si="1"/>
        <v>-13000</v>
      </c>
      <c r="J44" s="181"/>
    </row>
    <row r="45" spans="1:10" s="27" customFormat="1">
      <c r="A45" s="315" t="s">
        <v>330</v>
      </c>
      <c r="B45" s="431" t="s">
        <v>81</v>
      </c>
      <c r="C45" s="431"/>
      <c r="D45" s="431"/>
      <c r="E45" s="314" t="s">
        <v>184</v>
      </c>
      <c r="F45" s="314" t="s">
        <v>74</v>
      </c>
      <c r="G45" s="156">
        <v>5000000</v>
      </c>
      <c r="H45" s="74">
        <v>-1</v>
      </c>
      <c r="I45" s="35">
        <f t="shared" si="1"/>
        <v>-5000</v>
      </c>
      <c r="J45" s="181"/>
    </row>
    <row r="46" spans="1:10" s="27" customFormat="1">
      <c r="A46" s="315" t="s">
        <v>331</v>
      </c>
      <c r="B46" s="431" t="s">
        <v>81</v>
      </c>
      <c r="C46" s="431"/>
      <c r="D46" s="431"/>
      <c r="E46" s="314" t="s">
        <v>184</v>
      </c>
      <c r="F46" s="314" t="s">
        <v>74</v>
      </c>
      <c r="G46" s="156">
        <v>9000000</v>
      </c>
      <c r="H46" s="74">
        <v>-1</v>
      </c>
      <c r="I46" s="35">
        <f t="shared" si="1"/>
        <v>-9000</v>
      </c>
      <c r="J46" s="181"/>
    </row>
    <row r="47" spans="1:10" s="27" customFormat="1">
      <c r="A47" s="315" t="s">
        <v>332</v>
      </c>
      <c r="B47" s="431" t="s">
        <v>81</v>
      </c>
      <c r="C47" s="431"/>
      <c r="D47" s="431"/>
      <c r="E47" s="314" t="s">
        <v>184</v>
      </c>
      <c r="F47" s="314" t="s">
        <v>74</v>
      </c>
      <c r="G47" s="156">
        <v>4500000</v>
      </c>
      <c r="H47" s="74">
        <v>-1</v>
      </c>
      <c r="I47" s="35">
        <f t="shared" si="1"/>
        <v>-4500</v>
      </c>
      <c r="J47" s="181"/>
    </row>
    <row r="48" spans="1:10" s="27" customFormat="1">
      <c r="A48" s="315" t="s">
        <v>333</v>
      </c>
      <c r="B48" s="431" t="s">
        <v>81</v>
      </c>
      <c r="C48" s="431"/>
      <c r="D48" s="431"/>
      <c r="E48" s="314" t="s">
        <v>184</v>
      </c>
      <c r="F48" s="314" t="s">
        <v>74</v>
      </c>
      <c r="G48" s="156">
        <v>11000000</v>
      </c>
      <c r="H48" s="74">
        <v>-1</v>
      </c>
      <c r="I48" s="35">
        <f t="shared" si="1"/>
        <v>-11000</v>
      </c>
      <c r="J48" s="181"/>
    </row>
    <row r="49" spans="1:10" s="27" customFormat="1">
      <c r="A49" s="315" t="s">
        <v>334</v>
      </c>
      <c r="B49" s="431" t="s">
        <v>81</v>
      </c>
      <c r="C49" s="431"/>
      <c r="D49" s="431"/>
      <c r="E49" s="314" t="s">
        <v>184</v>
      </c>
      <c r="F49" s="314" t="s">
        <v>74</v>
      </c>
      <c r="G49" s="156">
        <v>11000000</v>
      </c>
      <c r="H49" s="74">
        <v>-1</v>
      </c>
      <c r="I49" s="35">
        <f t="shared" si="1"/>
        <v>-11000</v>
      </c>
      <c r="J49" s="181"/>
    </row>
    <row r="50" spans="1:10" s="27" customFormat="1">
      <c r="A50" s="315" t="s">
        <v>335</v>
      </c>
      <c r="B50" s="431" t="s">
        <v>81</v>
      </c>
      <c r="C50" s="431"/>
      <c r="D50" s="431"/>
      <c r="E50" s="314" t="s">
        <v>184</v>
      </c>
      <c r="F50" s="314" t="s">
        <v>74</v>
      </c>
      <c r="G50" s="156">
        <v>9000000</v>
      </c>
      <c r="H50" s="74">
        <v>-1</v>
      </c>
      <c r="I50" s="35">
        <f t="shared" si="1"/>
        <v>-9000</v>
      </c>
      <c r="J50" s="181"/>
    </row>
    <row r="51" spans="1:10" s="27" customFormat="1">
      <c r="A51" s="315" t="s">
        <v>336</v>
      </c>
      <c r="B51" s="431" t="s">
        <v>81</v>
      </c>
      <c r="C51" s="431"/>
      <c r="D51" s="431"/>
      <c r="E51" s="314" t="s">
        <v>184</v>
      </c>
      <c r="F51" s="314" t="s">
        <v>74</v>
      </c>
      <c r="G51" s="156">
        <v>9000000</v>
      </c>
      <c r="H51" s="74">
        <v>-1</v>
      </c>
      <c r="I51" s="35">
        <f t="shared" si="1"/>
        <v>-9000</v>
      </c>
      <c r="J51" s="181"/>
    </row>
    <row r="52" spans="1:10" s="27" customFormat="1">
      <c r="A52" s="315" t="s">
        <v>337</v>
      </c>
      <c r="B52" s="431" t="s">
        <v>81</v>
      </c>
      <c r="C52" s="431"/>
      <c r="D52" s="431"/>
      <c r="E52" s="314" t="s">
        <v>184</v>
      </c>
      <c r="F52" s="314" t="s">
        <v>74</v>
      </c>
      <c r="G52" s="156">
        <v>9000000</v>
      </c>
      <c r="H52" s="74">
        <v>-1</v>
      </c>
      <c r="I52" s="35">
        <f t="shared" si="1"/>
        <v>-9000</v>
      </c>
      <c r="J52" s="181"/>
    </row>
    <row r="53" spans="1:10" s="27" customFormat="1" ht="17.75" customHeight="1">
      <c r="A53" s="317" t="s">
        <v>217</v>
      </c>
      <c r="B53" s="433" t="s">
        <v>65</v>
      </c>
      <c r="C53" s="433"/>
      <c r="D53" s="433"/>
      <c r="E53" s="314" t="s">
        <v>184</v>
      </c>
      <c r="F53" s="45" t="s">
        <v>74</v>
      </c>
      <c r="G53" s="65">
        <v>500000</v>
      </c>
      <c r="H53" s="149">
        <v>-1</v>
      </c>
      <c r="I53" s="35">
        <f>+ROUNDDOWN(H53*G53/1000,1)</f>
        <v>-500</v>
      </c>
      <c r="J53" s="181"/>
    </row>
    <row r="54" spans="1:10" s="27" customFormat="1" ht="17.75" customHeight="1">
      <c r="A54" s="317" t="s">
        <v>301</v>
      </c>
      <c r="B54" s="433" t="s">
        <v>65</v>
      </c>
      <c r="C54" s="433"/>
      <c r="D54" s="433"/>
      <c r="E54" s="314" t="s">
        <v>184</v>
      </c>
      <c r="F54" s="45" t="s">
        <v>74</v>
      </c>
      <c r="G54" s="65">
        <v>700000</v>
      </c>
      <c r="H54" s="149">
        <v>-1</v>
      </c>
      <c r="I54" s="35">
        <f t="shared" ref="I54:I71" si="4">+ROUNDDOWN(H54*G54/1000,1)</f>
        <v>-700</v>
      </c>
      <c r="J54" s="181"/>
    </row>
    <row r="55" spans="1:10" s="27" customFormat="1" ht="17.75" customHeight="1">
      <c r="A55" s="317" t="s">
        <v>338</v>
      </c>
      <c r="B55" s="433" t="s">
        <v>65</v>
      </c>
      <c r="C55" s="433"/>
      <c r="D55" s="433"/>
      <c r="E55" s="314" t="s">
        <v>184</v>
      </c>
      <c r="F55" s="45" t="s">
        <v>74</v>
      </c>
      <c r="G55" s="65">
        <v>500000</v>
      </c>
      <c r="H55" s="149">
        <v>-1</v>
      </c>
      <c r="I55" s="35">
        <f t="shared" si="4"/>
        <v>-500</v>
      </c>
      <c r="J55" s="181"/>
    </row>
    <row r="56" spans="1:10" s="27" customFormat="1" ht="17.75" customHeight="1">
      <c r="A56" s="317" t="s">
        <v>305</v>
      </c>
      <c r="B56" s="433" t="s">
        <v>65</v>
      </c>
      <c r="C56" s="433"/>
      <c r="D56" s="433"/>
      <c r="E56" s="314" t="s">
        <v>184</v>
      </c>
      <c r="F56" s="45" t="s">
        <v>74</v>
      </c>
      <c r="G56" s="65">
        <v>700000</v>
      </c>
      <c r="H56" s="149">
        <v>-1</v>
      </c>
      <c r="I56" s="35">
        <f t="shared" si="4"/>
        <v>-700</v>
      </c>
      <c r="J56" s="181"/>
    </row>
    <row r="57" spans="1:10" s="27" customFormat="1" ht="17.75" customHeight="1">
      <c r="A57" s="317" t="s">
        <v>300</v>
      </c>
      <c r="B57" s="433" t="s">
        <v>65</v>
      </c>
      <c r="C57" s="433"/>
      <c r="D57" s="433"/>
      <c r="E57" s="314" t="s">
        <v>184</v>
      </c>
      <c r="F57" s="45" t="s">
        <v>74</v>
      </c>
      <c r="G57" s="65">
        <v>700000</v>
      </c>
      <c r="H57" s="149">
        <v>-1</v>
      </c>
      <c r="I57" s="35">
        <f t="shared" si="4"/>
        <v>-700</v>
      </c>
      <c r="J57" s="181"/>
    </row>
    <row r="58" spans="1:10" s="27" customFormat="1" ht="17.75" customHeight="1">
      <c r="A58" s="317" t="s">
        <v>339</v>
      </c>
      <c r="B58" s="433" t="s">
        <v>65</v>
      </c>
      <c r="C58" s="433"/>
      <c r="D58" s="433"/>
      <c r="E58" s="314" t="s">
        <v>184</v>
      </c>
      <c r="F58" s="45" t="s">
        <v>74</v>
      </c>
      <c r="G58" s="65">
        <v>700000</v>
      </c>
      <c r="H58" s="149">
        <v>-1</v>
      </c>
      <c r="I58" s="35">
        <f t="shared" si="4"/>
        <v>-700</v>
      </c>
      <c r="J58" s="181"/>
    </row>
    <row r="59" spans="1:10" s="27" customFormat="1" ht="17.75" customHeight="1">
      <c r="A59" s="317" t="s">
        <v>340</v>
      </c>
      <c r="B59" s="433" t="s">
        <v>65</v>
      </c>
      <c r="C59" s="433"/>
      <c r="D59" s="433"/>
      <c r="E59" s="314" t="s">
        <v>184</v>
      </c>
      <c r="F59" s="45" t="s">
        <v>74</v>
      </c>
      <c r="G59" s="65">
        <v>1000000</v>
      </c>
      <c r="H59" s="149">
        <v>-1</v>
      </c>
      <c r="I59" s="35">
        <f t="shared" si="4"/>
        <v>-1000</v>
      </c>
      <c r="J59" s="181"/>
    </row>
    <row r="60" spans="1:10" s="27" customFormat="1" ht="17.75" customHeight="1">
      <c r="A60" s="317" t="s">
        <v>341</v>
      </c>
      <c r="B60" s="433" t="s">
        <v>65</v>
      </c>
      <c r="C60" s="433"/>
      <c r="D60" s="433"/>
      <c r="E60" s="314" t="s">
        <v>184</v>
      </c>
      <c r="F60" s="45" t="s">
        <v>74</v>
      </c>
      <c r="G60" s="65">
        <v>500000</v>
      </c>
      <c r="H60" s="149">
        <v>-1</v>
      </c>
      <c r="I60" s="35">
        <f t="shared" si="4"/>
        <v>-500</v>
      </c>
      <c r="J60" s="181"/>
    </row>
    <row r="61" spans="1:10" s="27" customFormat="1" ht="17.75" customHeight="1">
      <c r="A61" s="317" t="s">
        <v>342</v>
      </c>
      <c r="B61" s="433" t="s">
        <v>65</v>
      </c>
      <c r="C61" s="433"/>
      <c r="D61" s="433"/>
      <c r="E61" s="314" t="s">
        <v>184</v>
      </c>
      <c r="F61" s="45" t="s">
        <v>74</v>
      </c>
      <c r="G61" s="65">
        <v>500000</v>
      </c>
      <c r="H61" s="149">
        <v>-1</v>
      </c>
      <c r="I61" s="35">
        <f t="shared" si="4"/>
        <v>-500</v>
      </c>
      <c r="J61" s="181"/>
    </row>
    <row r="62" spans="1:10" s="27" customFormat="1" ht="17.75" customHeight="1">
      <c r="A62" s="317" t="s">
        <v>343</v>
      </c>
      <c r="B62" s="433" t="s">
        <v>65</v>
      </c>
      <c r="C62" s="433"/>
      <c r="D62" s="433"/>
      <c r="E62" s="314" t="s">
        <v>184</v>
      </c>
      <c r="F62" s="45" t="s">
        <v>74</v>
      </c>
      <c r="G62" s="65">
        <v>700000</v>
      </c>
      <c r="H62" s="149">
        <v>-1</v>
      </c>
      <c r="I62" s="35">
        <f t="shared" si="4"/>
        <v>-700</v>
      </c>
      <c r="J62" s="181"/>
    </row>
    <row r="63" spans="1:10" s="27" customFormat="1" ht="17.75" customHeight="1">
      <c r="A63" s="317" t="s">
        <v>344</v>
      </c>
      <c r="B63" s="433" t="s">
        <v>65</v>
      </c>
      <c r="C63" s="433"/>
      <c r="D63" s="433"/>
      <c r="E63" s="314" t="s">
        <v>184</v>
      </c>
      <c r="F63" s="45" t="s">
        <v>74</v>
      </c>
      <c r="G63" s="65">
        <v>1000000</v>
      </c>
      <c r="H63" s="149">
        <v>-1</v>
      </c>
      <c r="I63" s="35">
        <f t="shared" si="4"/>
        <v>-1000</v>
      </c>
      <c r="J63" s="181"/>
    </row>
    <row r="64" spans="1:10" s="27" customFormat="1" ht="17.75" customHeight="1">
      <c r="A64" s="317" t="s">
        <v>345</v>
      </c>
      <c r="B64" s="433" t="s">
        <v>65</v>
      </c>
      <c r="C64" s="433"/>
      <c r="D64" s="433"/>
      <c r="E64" s="314" t="s">
        <v>184</v>
      </c>
      <c r="F64" s="45" t="s">
        <v>74</v>
      </c>
      <c r="G64" s="65">
        <v>500000</v>
      </c>
      <c r="H64" s="149">
        <v>-1</v>
      </c>
      <c r="I64" s="35">
        <f t="shared" si="4"/>
        <v>-500</v>
      </c>
      <c r="J64" s="181"/>
    </row>
    <row r="65" spans="1:10" s="27" customFormat="1" ht="17.75" customHeight="1">
      <c r="A65" s="317" t="s">
        <v>346</v>
      </c>
      <c r="B65" s="433" t="s">
        <v>65</v>
      </c>
      <c r="C65" s="433"/>
      <c r="D65" s="433"/>
      <c r="E65" s="314" t="s">
        <v>184</v>
      </c>
      <c r="F65" s="45" t="s">
        <v>74</v>
      </c>
      <c r="G65" s="65">
        <v>500000</v>
      </c>
      <c r="H65" s="149">
        <v>-1</v>
      </c>
      <c r="I65" s="35">
        <f t="shared" si="4"/>
        <v>-500</v>
      </c>
      <c r="J65" s="181"/>
    </row>
    <row r="66" spans="1:10" s="27" customFormat="1" ht="17.75" customHeight="1">
      <c r="A66" s="317" t="s">
        <v>347</v>
      </c>
      <c r="B66" s="433" t="s">
        <v>65</v>
      </c>
      <c r="C66" s="433"/>
      <c r="D66" s="433"/>
      <c r="E66" s="314" t="s">
        <v>184</v>
      </c>
      <c r="F66" s="45" t="s">
        <v>74</v>
      </c>
      <c r="G66" s="65">
        <v>600000</v>
      </c>
      <c r="H66" s="149">
        <v>-1</v>
      </c>
      <c r="I66" s="35">
        <f t="shared" si="4"/>
        <v>-600</v>
      </c>
      <c r="J66" s="181"/>
    </row>
    <row r="67" spans="1:10" s="27" customFormat="1" ht="17.75" customHeight="1">
      <c r="A67" s="317" t="s">
        <v>348</v>
      </c>
      <c r="B67" s="433" t="s">
        <v>65</v>
      </c>
      <c r="C67" s="433"/>
      <c r="D67" s="433"/>
      <c r="E67" s="314" t="s">
        <v>184</v>
      </c>
      <c r="F67" s="45" t="s">
        <v>74</v>
      </c>
      <c r="G67" s="65">
        <v>480000</v>
      </c>
      <c r="H67" s="149">
        <v>-1</v>
      </c>
      <c r="I67" s="35">
        <f t="shared" si="4"/>
        <v>-480</v>
      </c>
      <c r="J67" s="181"/>
    </row>
    <row r="68" spans="1:10" s="27" customFormat="1" ht="17.75" customHeight="1">
      <c r="A68" s="317" t="s">
        <v>349</v>
      </c>
      <c r="B68" s="433" t="s">
        <v>65</v>
      </c>
      <c r="C68" s="433"/>
      <c r="D68" s="433"/>
      <c r="E68" s="314" t="s">
        <v>184</v>
      </c>
      <c r="F68" s="45" t="s">
        <v>74</v>
      </c>
      <c r="G68" s="65">
        <v>480000</v>
      </c>
      <c r="H68" s="149">
        <v>-1</v>
      </c>
      <c r="I68" s="35">
        <f t="shared" si="4"/>
        <v>-480</v>
      </c>
      <c r="J68" s="181"/>
    </row>
    <row r="69" spans="1:10" s="27" customFormat="1" ht="17.75" customHeight="1">
      <c r="A69" s="317" t="s">
        <v>350</v>
      </c>
      <c r="B69" s="433" t="s">
        <v>65</v>
      </c>
      <c r="C69" s="433"/>
      <c r="D69" s="433"/>
      <c r="E69" s="314" t="s">
        <v>184</v>
      </c>
      <c r="F69" s="45" t="s">
        <v>74</v>
      </c>
      <c r="G69" s="65">
        <v>500000</v>
      </c>
      <c r="H69" s="149">
        <v>-1</v>
      </c>
      <c r="I69" s="35">
        <f t="shared" si="4"/>
        <v>-500</v>
      </c>
      <c r="J69" s="181"/>
    </row>
    <row r="70" spans="1:10" s="27" customFormat="1" ht="17.75" customHeight="1">
      <c r="A70" s="317" t="s">
        <v>351</v>
      </c>
      <c r="B70" s="433" t="s">
        <v>65</v>
      </c>
      <c r="C70" s="433"/>
      <c r="D70" s="433"/>
      <c r="E70" s="314" t="s">
        <v>184</v>
      </c>
      <c r="F70" s="45" t="s">
        <v>74</v>
      </c>
      <c r="G70" s="65">
        <v>500000</v>
      </c>
      <c r="H70" s="149">
        <v>-1</v>
      </c>
      <c r="I70" s="35">
        <f t="shared" si="4"/>
        <v>-500</v>
      </c>
      <c r="J70" s="181"/>
    </row>
    <row r="71" spans="1:10" s="27" customFormat="1" ht="17.75" customHeight="1">
      <c r="A71" s="317" t="s">
        <v>352</v>
      </c>
      <c r="B71" s="433" t="s">
        <v>65</v>
      </c>
      <c r="C71" s="433"/>
      <c r="D71" s="433"/>
      <c r="E71" s="314" t="s">
        <v>184</v>
      </c>
      <c r="F71" s="45" t="s">
        <v>74</v>
      </c>
      <c r="G71" s="65">
        <v>600000</v>
      </c>
      <c r="H71" s="149">
        <v>-1</v>
      </c>
      <c r="I71" s="35">
        <f t="shared" si="4"/>
        <v>-600</v>
      </c>
      <c r="J71" s="181"/>
    </row>
    <row r="72" spans="1:10" s="27" customFormat="1" ht="17.75" customHeight="1">
      <c r="A72" s="317" t="s">
        <v>353</v>
      </c>
      <c r="B72" s="433" t="s">
        <v>65</v>
      </c>
      <c r="C72" s="433"/>
      <c r="D72" s="433"/>
      <c r="E72" s="314" t="s">
        <v>184</v>
      </c>
      <c r="F72" s="45" t="s">
        <v>74</v>
      </c>
      <c r="G72" s="65">
        <v>600000</v>
      </c>
      <c r="H72" s="149">
        <v>-1</v>
      </c>
      <c r="I72" s="35">
        <f t="shared" ref="I72:I80" si="5">+ROUNDDOWN(H72*G72/1000,1)</f>
        <v>-600</v>
      </c>
      <c r="J72" s="181"/>
    </row>
    <row r="73" spans="1:10" s="27" customFormat="1" ht="17.75" customHeight="1">
      <c r="A73" s="317" t="s">
        <v>354</v>
      </c>
      <c r="B73" s="433" t="s">
        <v>65</v>
      </c>
      <c r="C73" s="433"/>
      <c r="D73" s="433"/>
      <c r="E73" s="314" t="s">
        <v>184</v>
      </c>
      <c r="F73" s="45" t="s">
        <v>74</v>
      </c>
      <c r="G73" s="65">
        <v>600000</v>
      </c>
      <c r="H73" s="149">
        <v>-1</v>
      </c>
      <c r="I73" s="35">
        <f t="shared" si="5"/>
        <v>-600</v>
      </c>
      <c r="J73" s="181"/>
    </row>
    <row r="74" spans="1:10" s="27" customFormat="1" ht="17.75" customHeight="1">
      <c r="A74" s="317" t="s">
        <v>355</v>
      </c>
      <c r="B74" s="433" t="s">
        <v>65</v>
      </c>
      <c r="C74" s="433"/>
      <c r="D74" s="433"/>
      <c r="E74" s="314" t="s">
        <v>184</v>
      </c>
      <c r="F74" s="45" t="s">
        <v>74</v>
      </c>
      <c r="G74" s="65">
        <v>500000</v>
      </c>
      <c r="H74" s="149">
        <v>-1</v>
      </c>
      <c r="I74" s="35">
        <f t="shared" si="5"/>
        <v>-500</v>
      </c>
      <c r="J74" s="181"/>
    </row>
    <row r="75" spans="1:10" s="27" customFormat="1" ht="17.75" customHeight="1">
      <c r="A75" s="317" t="s">
        <v>356</v>
      </c>
      <c r="B75" s="433" t="s">
        <v>65</v>
      </c>
      <c r="C75" s="433"/>
      <c r="D75" s="433"/>
      <c r="E75" s="314" t="s">
        <v>184</v>
      </c>
      <c r="F75" s="45" t="s">
        <v>74</v>
      </c>
      <c r="G75" s="65">
        <v>480000</v>
      </c>
      <c r="H75" s="149">
        <v>-1</v>
      </c>
      <c r="I75" s="35">
        <f t="shared" si="5"/>
        <v>-480</v>
      </c>
      <c r="J75" s="181"/>
    </row>
    <row r="76" spans="1:10" s="27" customFormat="1" ht="17.75" customHeight="1">
      <c r="A76" s="317" t="s">
        <v>357</v>
      </c>
      <c r="B76" s="433" t="s">
        <v>65</v>
      </c>
      <c r="C76" s="433"/>
      <c r="D76" s="433"/>
      <c r="E76" s="314" t="s">
        <v>184</v>
      </c>
      <c r="F76" s="45" t="s">
        <v>74</v>
      </c>
      <c r="G76" s="65">
        <v>480000</v>
      </c>
      <c r="H76" s="149">
        <v>-1</v>
      </c>
      <c r="I76" s="35">
        <f t="shared" si="5"/>
        <v>-480</v>
      </c>
      <c r="J76" s="181"/>
    </row>
    <row r="77" spans="1:10" s="27" customFormat="1" ht="17.75" customHeight="1">
      <c r="A77" s="317" t="s">
        <v>358</v>
      </c>
      <c r="B77" s="433" t="s">
        <v>65</v>
      </c>
      <c r="C77" s="433"/>
      <c r="D77" s="433"/>
      <c r="E77" s="314" t="s">
        <v>184</v>
      </c>
      <c r="F77" s="45" t="s">
        <v>74</v>
      </c>
      <c r="G77" s="65">
        <v>480000</v>
      </c>
      <c r="H77" s="149">
        <v>-1</v>
      </c>
      <c r="I77" s="35">
        <f t="shared" si="5"/>
        <v>-480</v>
      </c>
      <c r="J77" s="181"/>
    </row>
    <row r="78" spans="1:10" s="27" customFormat="1" ht="17.75" customHeight="1">
      <c r="A78" s="317" t="s">
        <v>359</v>
      </c>
      <c r="B78" s="433" t="s">
        <v>65</v>
      </c>
      <c r="C78" s="433"/>
      <c r="D78" s="433"/>
      <c r="E78" s="314" t="s">
        <v>184</v>
      </c>
      <c r="F78" s="45" t="s">
        <v>74</v>
      </c>
      <c r="G78" s="65">
        <v>480000</v>
      </c>
      <c r="H78" s="149">
        <v>-1</v>
      </c>
      <c r="I78" s="35">
        <f t="shared" si="5"/>
        <v>-480</v>
      </c>
      <c r="J78" s="181"/>
    </row>
    <row r="79" spans="1:10" s="27" customFormat="1" ht="17.75" customHeight="1">
      <c r="A79" s="317" t="s">
        <v>360</v>
      </c>
      <c r="B79" s="433" t="s">
        <v>65</v>
      </c>
      <c r="C79" s="433"/>
      <c r="D79" s="433"/>
      <c r="E79" s="314" t="s">
        <v>184</v>
      </c>
      <c r="F79" s="45" t="s">
        <v>74</v>
      </c>
      <c r="G79" s="65">
        <v>480000</v>
      </c>
      <c r="H79" s="149">
        <v>-1</v>
      </c>
      <c r="I79" s="35">
        <f t="shared" si="5"/>
        <v>-480</v>
      </c>
      <c r="J79" s="181"/>
    </row>
    <row r="80" spans="1:10" s="27" customFormat="1" ht="17.75" customHeight="1">
      <c r="A80" s="317" t="s">
        <v>361</v>
      </c>
      <c r="B80" s="433" t="s">
        <v>65</v>
      </c>
      <c r="C80" s="433"/>
      <c r="D80" s="433"/>
      <c r="E80" s="314" t="s">
        <v>184</v>
      </c>
      <c r="F80" s="45" t="s">
        <v>74</v>
      </c>
      <c r="G80" s="65">
        <v>700000</v>
      </c>
      <c r="H80" s="149">
        <v>-1</v>
      </c>
      <c r="I80" s="35">
        <f t="shared" si="5"/>
        <v>-700</v>
      </c>
      <c r="J80" s="181"/>
    </row>
    <row r="81" spans="1:10" s="27" customFormat="1" ht="17.75" customHeight="1">
      <c r="A81" s="317" t="s">
        <v>362</v>
      </c>
      <c r="B81" s="433" t="s">
        <v>65</v>
      </c>
      <c r="C81" s="433"/>
      <c r="D81" s="433"/>
      <c r="E81" s="314" t="s">
        <v>184</v>
      </c>
      <c r="F81" s="45" t="s">
        <v>74</v>
      </c>
      <c r="G81" s="65">
        <v>400000</v>
      </c>
      <c r="H81" s="149">
        <v>-1</v>
      </c>
      <c r="I81" s="35">
        <f t="shared" ref="I81:I88" si="6">+ROUNDDOWN(H81*G81/1000,1)</f>
        <v>-400</v>
      </c>
      <c r="J81" s="181"/>
    </row>
    <row r="82" spans="1:10" s="27" customFormat="1" ht="17.75" customHeight="1">
      <c r="A82" s="317" t="s">
        <v>363</v>
      </c>
      <c r="B82" s="433" t="s">
        <v>65</v>
      </c>
      <c r="C82" s="433"/>
      <c r="D82" s="433"/>
      <c r="E82" s="314" t="s">
        <v>184</v>
      </c>
      <c r="F82" s="45" t="s">
        <v>74</v>
      </c>
      <c r="G82" s="65">
        <v>500000</v>
      </c>
      <c r="H82" s="149">
        <v>-1</v>
      </c>
      <c r="I82" s="35">
        <f t="shared" si="6"/>
        <v>-500</v>
      </c>
      <c r="J82" s="181"/>
    </row>
    <row r="83" spans="1:10" s="27" customFormat="1" ht="17.75" customHeight="1">
      <c r="A83" s="317" t="s">
        <v>364</v>
      </c>
      <c r="B83" s="433" t="s">
        <v>65</v>
      </c>
      <c r="C83" s="433"/>
      <c r="D83" s="433"/>
      <c r="E83" s="314" t="s">
        <v>184</v>
      </c>
      <c r="F83" s="45" t="s">
        <v>74</v>
      </c>
      <c r="G83" s="65">
        <v>300000</v>
      </c>
      <c r="H83" s="149">
        <v>-1</v>
      </c>
      <c r="I83" s="35">
        <f t="shared" si="6"/>
        <v>-300</v>
      </c>
      <c r="J83" s="181"/>
    </row>
    <row r="84" spans="1:10" s="27" customFormat="1" ht="17.75" customHeight="1">
      <c r="A84" s="317" t="s">
        <v>365</v>
      </c>
      <c r="B84" s="433" t="s">
        <v>65</v>
      </c>
      <c r="C84" s="433"/>
      <c r="D84" s="433"/>
      <c r="E84" s="314" t="s">
        <v>184</v>
      </c>
      <c r="F84" s="45" t="s">
        <v>74</v>
      </c>
      <c r="G84" s="65">
        <v>600000</v>
      </c>
      <c r="H84" s="149">
        <v>-1</v>
      </c>
      <c r="I84" s="35">
        <f t="shared" si="6"/>
        <v>-600</v>
      </c>
      <c r="J84" s="181"/>
    </row>
    <row r="85" spans="1:10" s="27" customFormat="1" ht="17.75" customHeight="1">
      <c r="A85" s="317" t="s">
        <v>366</v>
      </c>
      <c r="B85" s="433" t="s">
        <v>65</v>
      </c>
      <c r="C85" s="433"/>
      <c r="D85" s="433"/>
      <c r="E85" s="314" t="s">
        <v>184</v>
      </c>
      <c r="F85" s="45" t="s">
        <v>74</v>
      </c>
      <c r="G85" s="65">
        <v>600000</v>
      </c>
      <c r="H85" s="149">
        <v>-1</v>
      </c>
      <c r="I85" s="35">
        <f t="shared" si="6"/>
        <v>-600</v>
      </c>
      <c r="J85" s="181"/>
    </row>
    <row r="86" spans="1:10" s="27" customFormat="1" ht="17.75" customHeight="1">
      <c r="A86" s="317" t="s">
        <v>367</v>
      </c>
      <c r="B86" s="433" t="s">
        <v>65</v>
      </c>
      <c r="C86" s="433"/>
      <c r="D86" s="433"/>
      <c r="E86" s="314" t="s">
        <v>184</v>
      </c>
      <c r="F86" s="45" t="s">
        <v>74</v>
      </c>
      <c r="G86" s="65">
        <v>500000</v>
      </c>
      <c r="H86" s="149">
        <v>-1</v>
      </c>
      <c r="I86" s="35">
        <f t="shared" si="6"/>
        <v>-500</v>
      </c>
      <c r="J86" s="181"/>
    </row>
    <row r="87" spans="1:10" s="27" customFormat="1" ht="17.75" customHeight="1">
      <c r="A87" s="317" t="s">
        <v>223</v>
      </c>
      <c r="B87" s="433" t="s">
        <v>65</v>
      </c>
      <c r="C87" s="433"/>
      <c r="D87" s="433"/>
      <c r="E87" s="314" t="s">
        <v>184</v>
      </c>
      <c r="F87" s="45" t="s">
        <v>74</v>
      </c>
      <c r="G87" s="65">
        <v>500000</v>
      </c>
      <c r="H87" s="149">
        <v>-1</v>
      </c>
      <c r="I87" s="35">
        <f t="shared" si="6"/>
        <v>-500</v>
      </c>
      <c r="J87" s="181"/>
    </row>
    <row r="88" spans="1:10" s="27" customFormat="1" ht="17.75" customHeight="1">
      <c r="A88" s="317" t="s">
        <v>224</v>
      </c>
      <c r="B88" s="433" t="s">
        <v>65</v>
      </c>
      <c r="C88" s="433"/>
      <c r="D88" s="433"/>
      <c r="E88" s="314" t="s">
        <v>184</v>
      </c>
      <c r="F88" s="45" t="s">
        <v>74</v>
      </c>
      <c r="G88" s="65">
        <v>500000</v>
      </c>
      <c r="H88" s="149">
        <v>-1</v>
      </c>
      <c r="I88" s="35">
        <f t="shared" si="6"/>
        <v>-500</v>
      </c>
      <c r="J88" s="181"/>
    </row>
    <row r="89" spans="1:10" ht="54.8" customHeight="1">
      <c r="A89" s="116" t="s">
        <v>268</v>
      </c>
      <c r="B89" s="423" t="s">
        <v>269</v>
      </c>
      <c r="C89" s="424"/>
      <c r="D89" s="424"/>
      <c r="E89" s="424"/>
      <c r="F89" s="424"/>
      <c r="G89" s="424"/>
      <c r="H89" s="425"/>
      <c r="I89" s="117">
        <f>+I90</f>
        <v>-39600</v>
      </c>
    </row>
    <row r="90" spans="1:10" s="44" customFormat="1" ht="20.95" customHeight="1">
      <c r="A90" s="316"/>
      <c r="B90" s="329" t="s">
        <v>53</v>
      </c>
      <c r="C90" s="426"/>
      <c r="D90" s="427"/>
      <c r="E90" s="71" t="s">
        <v>80</v>
      </c>
      <c r="F90" s="71" t="s">
        <v>80</v>
      </c>
      <c r="G90" s="71" t="s">
        <v>80</v>
      </c>
      <c r="H90" s="78"/>
      <c r="I90" s="72">
        <f>SUM(I91:I106)</f>
        <v>-39600</v>
      </c>
      <c r="J90" s="181"/>
    </row>
    <row r="91" spans="1:10" s="27" customFormat="1">
      <c r="A91" s="315" t="s">
        <v>302</v>
      </c>
      <c r="B91" s="431" t="s">
        <v>81</v>
      </c>
      <c r="C91" s="431"/>
      <c r="D91" s="431"/>
      <c r="E91" s="314" t="s">
        <v>184</v>
      </c>
      <c r="F91" s="314" t="s">
        <v>74</v>
      </c>
      <c r="G91" s="156">
        <v>5000000</v>
      </c>
      <c r="H91" s="74">
        <v>-1</v>
      </c>
      <c r="I91" s="35">
        <f t="shared" ref="I91" si="7">+ROUNDDOWN(H91*G91/1000,1)</f>
        <v>-5000</v>
      </c>
      <c r="J91" s="181"/>
    </row>
    <row r="92" spans="1:10" s="27" customFormat="1">
      <c r="A92" s="315" t="s">
        <v>303</v>
      </c>
      <c r="B92" s="431" t="s">
        <v>81</v>
      </c>
      <c r="C92" s="431"/>
      <c r="D92" s="431"/>
      <c r="E92" s="314" t="s">
        <v>184</v>
      </c>
      <c r="F92" s="314" t="s">
        <v>74</v>
      </c>
      <c r="G92" s="156">
        <v>4500000</v>
      </c>
      <c r="H92" s="74">
        <v>-1</v>
      </c>
      <c r="I92" s="35">
        <f t="shared" ref="I92:I106" si="8">+ROUNDDOWN(H92*G92/1000,1)</f>
        <v>-4500</v>
      </c>
      <c r="J92" s="181"/>
    </row>
    <row r="93" spans="1:10" s="27" customFormat="1">
      <c r="A93" s="315" t="s">
        <v>306</v>
      </c>
      <c r="B93" s="431" t="s">
        <v>81</v>
      </c>
      <c r="C93" s="431"/>
      <c r="D93" s="431"/>
      <c r="E93" s="314" t="s">
        <v>184</v>
      </c>
      <c r="F93" s="314" t="s">
        <v>74</v>
      </c>
      <c r="G93" s="156">
        <v>4500000</v>
      </c>
      <c r="H93" s="74">
        <v>-1</v>
      </c>
      <c r="I93" s="35">
        <f t="shared" si="8"/>
        <v>-4500</v>
      </c>
      <c r="J93" s="181"/>
    </row>
    <row r="94" spans="1:10" s="27" customFormat="1">
      <c r="A94" s="315" t="s">
        <v>304</v>
      </c>
      <c r="B94" s="431" t="s">
        <v>81</v>
      </c>
      <c r="C94" s="431"/>
      <c r="D94" s="431"/>
      <c r="E94" s="314" t="s">
        <v>184</v>
      </c>
      <c r="F94" s="314" t="s">
        <v>74</v>
      </c>
      <c r="G94" s="156">
        <v>5000000</v>
      </c>
      <c r="H94" s="74">
        <v>-1</v>
      </c>
      <c r="I94" s="35">
        <f t="shared" si="8"/>
        <v>-5000</v>
      </c>
      <c r="J94" s="181"/>
    </row>
    <row r="95" spans="1:10" s="27" customFormat="1">
      <c r="A95" s="315" t="s">
        <v>299</v>
      </c>
      <c r="B95" s="431" t="s">
        <v>81</v>
      </c>
      <c r="C95" s="431"/>
      <c r="D95" s="431"/>
      <c r="E95" s="314" t="s">
        <v>184</v>
      </c>
      <c r="F95" s="314" t="s">
        <v>74</v>
      </c>
      <c r="G95" s="156">
        <v>4500000</v>
      </c>
      <c r="H95" s="74">
        <v>-1</v>
      </c>
      <c r="I95" s="35">
        <f t="shared" si="8"/>
        <v>-4500</v>
      </c>
      <c r="J95" s="181"/>
    </row>
    <row r="96" spans="1:10" s="27" customFormat="1">
      <c r="A96" s="315" t="s">
        <v>307</v>
      </c>
      <c r="B96" s="431" t="s">
        <v>81</v>
      </c>
      <c r="C96" s="431"/>
      <c r="D96" s="431"/>
      <c r="E96" s="314" t="s">
        <v>184</v>
      </c>
      <c r="F96" s="314" t="s">
        <v>74</v>
      </c>
      <c r="G96" s="156">
        <v>4500000</v>
      </c>
      <c r="H96" s="74">
        <v>-1</v>
      </c>
      <c r="I96" s="35">
        <f t="shared" si="8"/>
        <v>-4500</v>
      </c>
      <c r="J96" s="181"/>
    </row>
    <row r="97" spans="1:10" s="27" customFormat="1">
      <c r="A97" s="315" t="s">
        <v>308</v>
      </c>
      <c r="B97" s="431" t="s">
        <v>81</v>
      </c>
      <c r="C97" s="431"/>
      <c r="D97" s="431"/>
      <c r="E97" s="314" t="s">
        <v>184</v>
      </c>
      <c r="F97" s="314" t="s">
        <v>74</v>
      </c>
      <c r="G97" s="156">
        <v>4500000</v>
      </c>
      <c r="H97" s="74">
        <v>-1</v>
      </c>
      <c r="I97" s="35">
        <f t="shared" si="8"/>
        <v>-4500</v>
      </c>
      <c r="J97" s="181"/>
    </row>
    <row r="98" spans="1:10" s="27" customFormat="1">
      <c r="A98" s="315" t="s">
        <v>309</v>
      </c>
      <c r="B98" s="431" t="s">
        <v>81</v>
      </c>
      <c r="C98" s="431"/>
      <c r="D98" s="431"/>
      <c r="E98" s="314" t="s">
        <v>184</v>
      </c>
      <c r="F98" s="314" t="s">
        <v>74</v>
      </c>
      <c r="G98" s="156">
        <v>4500000</v>
      </c>
      <c r="H98" s="74">
        <v>-1</v>
      </c>
      <c r="I98" s="35">
        <f t="shared" si="8"/>
        <v>-4500</v>
      </c>
      <c r="J98" s="181"/>
    </row>
    <row r="99" spans="1:10" s="27" customFormat="1" ht="17.75" customHeight="1">
      <c r="A99" s="317" t="s">
        <v>217</v>
      </c>
      <c r="B99" s="433" t="s">
        <v>65</v>
      </c>
      <c r="C99" s="433"/>
      <c r="D99" s="433"/>
      <c r="E99" s="314" t="s">
        <v>184</v>
      </c>
      <c r="F99" s="45" t="s">
        <v>74</v>
      </c>
      <c r="G99" s="65">
        <v>400000</v>
      </c>
      <c r="H99" s="149">
        <v>-1</v>
      </c>
      <c r="I99" s="35">
        <f t="shared" si="8"/>
        <v>-400</v>
      </c>
      <c r="J99" s="181"/>
    </row>
    <row r="100" spans="1:10" s="27" customFormat="1" ht="17.75" customHeight="1">
      <c r="A100" s="317" t="s">
        <v>301</v>
      </c>
      <c r="B100" s="433" t="s">
        <v>65</v>
      </c>
      <c r="C100" s="433"/>
      <c r="D100" s="433"/>
      <c r="E100" s="314" t="s">
        <v>184</v>
      </c>
      <c r="F100" s="45" t="s">
        <v>74</v>
      </c>
      <c r="G100" s="65">
        <v>300000</v>
      </c>
      <c r="H100" s="149">
        <v>-1</v>
      </c>
      <c r="I100" s="35">
        <f t="shared" si="8"/>
        <v>-300</v>
      </c>
      <c r="J100" s="181"/>
    </row>
    <row r="101" spans="1:10" s="27" customFormat="1" ht="17.75" customHeight="1">
      <c r="A101" s="317" t="s">
        <v>338</v>
      </c>
      <c r="B101" s="433" t="s">
        <v>65</v>
      </c>
      <c r="C101" s="433"/>
      <c r="D101" s="433"/>
      <c r="E101" s="314" t="s">
        <v>184</v>
      </c>
      <c r="F101" s="45" t="s">
        <v>74</v>
      </c>
      <c r="G101" s="65">
        <v>300000</v>
      </c>
      <c r="H101" s="149">
        <v>-1</v>
      </c>
      <c r="I101" s="35">
        <f t="shared" si="8"/>
        <v>-300</v>
      </c>
      <c r="J101" s="181"/>
    </row>
    <row r="102" spans="1:10" s="27" customFormat="1" ht="17.75" customHeight="1">
      <c r="A102" s="317" t="s">
        <v>305</v>
      </c>
      <c r="B102" s="433" t="s">
        <v>65</v>
      </c>
      <c r="C102" s="433"/>
      <c r="D102" s="433"/>
      <c r="E102" s="314" t="s">
        <v>184</v>
      </c>
      <c r="F102" s="45" t="s">
        <v>74</v>
      </c>
      <c r="G102" s="65">
        <v>400000</v>
      </c>
      <c r="H102" s="149">
        <v>-1</v>
      </c>
      <c r="I102" s="35">
        <f t="shared" si="8"/>
        <v>-400</v>
      </c>
      <c r="J102" s="181"/>
    </row>
    <row r="103" spans="1:10" s="27" customFormat="1" ht="17.75" customHeight="1">
      <c r="A103" s="317" t="s">
        <v>300</v>
      </c>
      <c r="B103" s="433" t="s">
        <v>65</v>
      </c>
      <c r="C103" s="433"/>
      <c r="D103" s="433"/>
      <c r="E103" s="314" t="s">
        <v>184</v>
      </c>
      <c r="F103" s="45" t="s">
        <v>74</v>
      </c>
      <c r="G103" s="65">
        <v>300000</v>
      </c>
      <c r="H103" s="149">
        <v>-1</v>
      </c>
      <c r="I103" s="35">
        <f t="shared" si="8"/>
        <v>-300</v>
      </c>
      <c r="J103" s="181"/>
    </row>
    <row r="104" spans="1:10" s="27" customFormat="1" ht="17.75" customHeight="1">
      <c r="A104" s="317" t="s">
        <v>339</v>
      </c>
      <c r="B104" s="433" t="s">
        <v>65</v>
      </c>
      <c r="C104" s="433"/>
      <c r="D104" s="433"/>
      <c r="E104" s="314" t="s">
        <v>184</v>
      </c>
      <c r="F104" s="45" t="s">
        <v>74</v>
      </c>
      <c r="G104" s="65">
        <v>300000</v>
      </c>
      <c r="H104" s="149">
        <v>-1</v>
      </c>
      <c r="I104" s="35">
        <f t="shared" si="8"/>
        <v>-300</v>
      </c>
      <c r="J104" s="181"/>
    </row>
    <row r="105" spans="1:10" s="27" customFormat="1" ht="17.75" customHeight="1">
      <c r="A105" s="317" t="s">
        <v>340</v>
      </c>
      <c r="B105" s="433" t="s">
        <v>65</v>
      </c>
      <c r="C105" s="433"/>
      <c r="D105" s="433"/>
      <c r="E105" s="314" t="s">
        <v>184</v>
      </c>
      <c r="F105" s="45" t="s">
        <v>74</v>
      </c>
      <c r="G105" s="65">
        <v>300000</v>
      </c>
      <c r="H105" s="149">
        <v>-1</v>
      </c>
      <c r="I105" s="35">
        <f t="shared" si="8"/>
        <v>-300</v>
      </c>
      <c r="J105" s="181"/>
    </row>
    <row r="106" spans="1:10" s="27" customFormat="1" ht="17.75" customHeight="1">
      <c r="A106" s="317" t="s">
        <v>341</v>
      </c>
      <c r="B106" s="433" t="s">
        <v>65</v>
      </c>
      <c r="C106" s="433"/>
      <c r="D106" s="433"/>
      <c r="E106" s="314" t="s">
        <v>184</v>
      </c>
      <c r="F106" s="45" t="s">
        <v>74</v>
      </c>
      <c r="G106" s="65">
        <v>300000</v>
      </c>
      <c r="H106" s="149">
        <v>-1</v>
      </c>
      <c r="I106" s="35">
        <f t="shared" si="8"/>
        <v>-300</v>
      </c>
      <c r="J106" s="181"/>
    </row>
    <row r="108" spans="1:10" ht="44.9" customHeight="1">
      <c r="A108" s="444" t="s">
        <v>171</v>
      </c>
      <c r="B108" s="444"/>
      <c r="C108" s="444"/>
      <c r="D108" s="444"/>
      <c r="E108" s="444"/>
      <c r="F108" s="444"/>
      <c r="G108" s="444"/>
      <c r="H108" s="444"/>
      <c r="I108" s="177">
        <f>+I109+I114+I145+I194</f>
        <v>402695.00000000006</v>
      </c>
    </row>
    <row r="109" spans="1:10" s="42" customFormat="1">
      <c r="A109" s="254" t="s">
        <v>35</v>
      </c>
      <c r="B109" s="254" t="s">
        <v>60</v>
      </c>
      <c r="C109" s="254" t="s">
        <v>151</v>
      </c>
      <c r="D109" s="438" t="s">
        <v>152</v>
      </c>
      <c r="E109" s="439"/>
      <c r="F109" s="439"/>
      <c r="G109" s="439"/>
      <c r="H109" s="440"/>
      <c r="I109" s="255">
        <f>+I110</f>
        <v>17600</v>
      </c>
      <c r="J109" s="180"/>
    </row>
    <row r="110" spans="1:10" ht="54.8" customHeight="1">
      <c r="A110" s="116" t="s">
        <v>154</v>
      </c>
      <c r="B110" s="423" t="s">
        <v>155</v>
      </c>
      <c r="C110" s="424"/>
      <c r="D110" s="424"/>
      <c r="E110" s="424"/>
      <c r="F110" s="424"/>
      <c r="G110" s="424"/>
      <c r="H110" s="425"/>
      <c r="I110" s="117">
        <f>+I111</f>
        <v>17600</v>
      </c>
    </row>
    <row r="111" spans="1:10" ht="16.55" customHeight="1">
      <c r="A111" s="256"/>
      <c r="B111" s="435" t="s">
        <v>53</v>
      </c>
      <c r="C111" s="436"/>
      <c r="D111" s="437"/>
      <c r="E111" s="257"/>
      <c r="F111" s="257"/>
      <c r="G111" s="258"/>
      <c r="H111" s="258"/>
      <c r="I111" s="259">
        <f>SUM(I112:I113)</f>
        <v>17600</v>
      </c>
    </row>
    <row r="112" spans="1:10" s="27" customFormat="1" ht="35.6" customHeight="1">
      <c r="A112" s="315" t="s">
        <v>173</v>
      </c>
      <c r="B112" s="431" t="s">
        <v>81</v>
      </c>
      <c r="C112" s="431"/>
      <c r="D112" s="431"/>
      <c r="E112" s="314" t="s">
        <v>100</v>
      </c>
      <c r="F112" s="314" t="s">
        <v>74</v>
      </c>
      <c r="G112" s="156"/>
      <c r="H112" s="34"/>
      <c r="I112" s="35">
        <v>18000</v>
      </c>
      <c r="J112" s="181"/>
    </row>
    <row r="113" spans="1:23" s="27" customFormat="1" ht="17.75" customHeight="1">
      <c r="A113" s="317" t="s">
        <v>217</v>
      </c>
      <c r="B113" s="433" t="s">
        <v>65</v>
      </c>
      <c r="C113" s="433"/>
      <c r="D113" s="433"/>
      <c r="E113" s="45" t="s">
        <v>54</v>
      </c>
      <c r="F113" s="45" t="s">
        <v>74</v>
      </c>
      <c r="G113" s="65"/>
      <c r="H113" s="149"/>
      <c r="I113" s="260">
        <v>-400</v>
      </c>
      <c r="J113" s="181"/>
    </row>
    <row r="114" spans="1:23" s="42" customFormat="1">
      <c r="A114" s="114" t="s">
        <v>75</v>
      </c>
      <c r="B114" s="114" t="s">
        <v>149</v>
      </c>
      <c r="C114" s="114" t="s">
        <v>77</v>
      </c>
      <c r="D114" s="428" t="s">
        <v>216</v>
      </c>
      <c r="E114" s="429"/>
      <c r="F114" s="429"/>
      <c r="G114" s="429"/>
      <c r="H114" s="430"/>
      <c r="I114" s="115">
        <f>+I115</f>
        <v>736220.00000000012</v>
      </c>
      <c r="J114" s="180"/>
    </row>
    <row r="115" spans="1:23" ht="54.8" customHeight="1">
      <c r="A115" s="116" t="s">
        <v>175</v>
      </c>
      <c r="B115" s="423" t="s">
        <v>176</v>
      </c>
      <c r="C115" s="424"/>
      <c r="D115" s="424"/>
      <c r="E115" s="424"/>
      <c r="F115" s="424"/>
      <c r="G115" s="424"/>
      <c r="H115" s="425"/>
      <c r="I115" s="117">
        <f>+I116+I128</f>
        <v>736220.00000000012</v>
      </c>
    </row>
    <row r="116" spans="1:23" s="44" customFormat="1" ht="20.95" customHeight="1">
      <c r="A116" s="316"/>
      <c r="B116" s="329" t="s">
        <v>51</v>
      </c>
      <c r="C116" s="426"/>
      <c r="D116" s="427"/>
      <c r="E116" s="71"/>
      <c r="F116" s="71"/>
      <c r="G116" s="71"/>
      <c r="H116" s="78"/>
      <c r="I116" s="72">
        <f>SUM(I117:I127)</f>
        <v>702412.70000000007</v>
      </c>
      <c r="J116" s="181"/>
    </row>
    <row r="117" spans="1:23" s="27" customFormat="1">
      <c r="A117" s="315" t="s">
        <v>177</v>
      </c>
      <c r="B117" s="431" t="s">
        <v>178</v>
      </c>
      <c r="C117" s="431"/>
      <c r="D117" s="431"/>
      <c r="E117" s="45" t="s">
        <v>100</v>
      </c>
      <c r="F117" s="45" t="s">
        <v>74</v>
      </c>
      <c r="G117" s="43"/>
      <c r="H117" s="34"/>
      <c r="I117" s="35">
        <v>191379.1</v>
      </c>
      <c r="J117" s="181"/>
    </row>
    <row r="118" spans="1:23" s="27" customFormat="1">
      <c r="A118" s="315" t="s">
        <v>182</v>
      </c>
      <c r="B118" s="431" t="s">
        <v>178</v>
      </c>
      <c r="C118" s="431"/>
      <c r="D118" s="431"/>
      <c r="E118" s="45" t="s">
        <v>100</v>
      </c>
      <c r="F118" s="45" t="s">
        <v>74</v>
      </c>
      <c r="G118" s="43"/>
      <c r="H118" s="34"/>
      <c r="I118" s="35">
        <v>-134166.79999999999</v>
      </c>
      <c r="J118" s="181"/>
    </row>
    <row r="119" spans="1:23" s="27" customFormat="1">
      <c r="A119" s="315">
        <v>45221142</v>
      </c>
      <c r="B119" s="431" t="s">
        <v>178</v>
      </c>
      <c r="C119" s="431"/>
      <c r="D119" s="431"/>
      <c r="E119" s="45" t="s">
        <v>184</v>
      </c>
      <c r="F119" s="45" t="s">
        <v>74</v>
      </c>
      <c r="G119" s="43">
        <v>11947400</v>
      </c>
      <c r="H119" s="34">
        <v>1</v>
      </c>
      <c r="I119" s="35">
        <f>+ROUNDUP(H119*G119/1000,1)</f>
        <v>11947.4</v>
      </c>
      <c r="J119" s="181"/>
    </row>
    <row r="120" spans="1:23" s="27" customFormat="1">
      <c r="A120" s="315">
        <v>45221142</v>
      </c>
      <c r="B120" s="431" t="s">
        <v>178</v>
      </c>
      <c r="C120" s="431"/>
      <c r="D120" s="431"/>
      <c r="E120" s="45" t="s">
        <v>184</v>
      </c>
      <c r="F120" s="45" t="s">
        <v>74</v>
      </c>
      <c r="G120" s="43">
        <v>36901600</v>
      </c>
      <c r="H120" s="34">
        <v>1</v>
      </c>
      <c r="I120" s="35">
        <f>+ROUNDUP(H120*G120/1000,1)</f>
        <v>36901.599999999999</v>
      </c>
      <c r="J120" s="181"/>
    </row>
    <row r="121" spans="1:23" s="27" customFormat="1">
      <c r="A121" s="315" t="s">
        <v>190</v>
      </c>
      <c r="B121" s="431" t="s">
        <v>178</v>
      </c>
      <c r="C121" s="431"/>
      <c r="D121" s="431"/>
      <c r="E121" s="45" t="s">
        <v>100</v>
      </c>
      <c r="F121" s="45" t="s">
        <v>74</v>
      </c>
      <c r="G121" s="43"/>
      <c r="H121" s="34"/>
      <c r="I121" s="35">
        <v>102.9</v>
      </c>
      <c r="J121" s="181"/>
    </row>
    <row r="122" spans="1:23" s="27" customFormat="1">
      <c r="A122" s="315" t="s">
        <v>194</v>
      </c>
      <c r="B122" s="431" t="s">
        <v>178</v>
      </c>
      <c r="C122" s="431"/>
      <c r="D122" s="431"/>
      <c r="E122" s="45" t="s">
        <v>100</v>
      </c>
      <c r="F122" s="45" t="s">
        <v>74</v>
      </c>
      <c r="G122" s="43"/>
      <c r="H122" s="34"/>
      <c r="I122" s="35">
        <f>-154868.7-10487.6</f>
        <v>-165356.30000000002</v>
      </c>
      <c r="J122" s="181"/>
    </row>
    <row r="123" spans="1:23" s="148" customFormat="1">
      <c r="A123" s="315" t="s">
        <v>199</v>
      </c>
      <c r="B123" s="431" t="s">
        <v>178</v>
      </c>
      <c r="C123" s="431"/>
      <c r="D123" s="431"/>
      <c r="E123" s="314" t="s">
        <v>100</v>
      </c>
      <c r="F123" s="314" t="s">
        <v>74</v>
      </c>
      <c r="G123" s="147">
        <v>149661720</v>
      </c>
      <c r="H123" s="34">
        <v>1</v>
      </c>
      <c r="I123" s="35">
        <f>+ROUNDUP(H123*G123/1000,1)</f>
        <v>149661.80000000002</v>
      </c>
      <c r="J123" s="181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</row>
    <row r="124" spans="1:23" s="148" customFormat="1">
      <c r="A124" s="315" t="s">
        <v>201</v>
      </c>
      <c r="B124" s="431" t="s">
        <v>178</v>
      </c>
      <c r="C124" s="431"/>
      <c r="D124" s="431"/>
      <c r="E124" s="314" t="s">
        <v>100</v>
      </c>
      <c r="F124" s="314" t="s">
        <v>74</v>
      </c>
      <c r="G124" s="147">
        <v>149994000</v>
      </c>
      <c r="H124" s="34">
        <v>1</v>
      </c>
      <c r="I124" s="35">
        <f t="shared" ref="I124:I127" si="9">+ROUNDUP(H124*G124/1000,1)</f>
        <v>149994</v>
      </c>
      <c r="J124" s="181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</row>
    <row r="125" spans="1:23" s="148" customFormat="1">
      <c r="A125" s="315" t="s">
        <v>202</v>
      </c>
      <c r="B125" s="431" t="s">
        <v>178</v>
      </c>
      <c r="C125" s="431"/>
      <c r="D125" s="431"/>
      <c r="E125" s="314" t="s">
        <v>100</v>
      </c>
      <c r="F125" s="314" t="s">
        <v>74</v>
      </c>
      <c r="G125" s="147">
        <v>163985571</v>
      </c>
      <c r="H125" s="34">
        <v>1</v>
      </c>
      <c r="I125" s="35">
        <f t="shared" si="9"/>
        <v>163985.60000000001</v>
      </c>
      <c r="J125" s="181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</row>
    <row r="126" spans="1:23" s="148" customFormat="1">
      <c r="A126" s="315" t="s">
        <v>203</v>
      </c>
      <c r="B126" s="431" t="s">
        <v>178</v>
      </c>
      <c r="C126" s="431"/>
      <c r="D126" s="431"/>
      <c r="E126" s="314" t="s">
        <v>100</v>
      </c>
      <c r="F126" s="314" t="s">
        <v>74</v>
      </c>
      <c r="G126" s="147">
        <v>150501600</v>
      </c>
      <c r="H126" s="34">
        <v>1</v>
      </c>
      <c r="I126" s="35">
        <f t="shared" si="9"/>
        <v>150501.6</v>
      </c>
      <c r="J126" s="181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</row>
    <row r="127" spans="1:23" s="148" customFormat="1">
      <c r="A127" s="315" t="s">
        <v>204</v>
      </c>
      <c r="B127" s="431" t="s">
        <v>178</v>
      </c>
      <c r="C127" s="431"/>
      <c r="D127" s="431"/>
      <c r="E127" s="314" t="s">
        <v>100</v>
      </c>
      <c r="F127" s="314" t="s">
        <v>74</v>
      </c>
      <c r="G127" s="147">
        <v>147461760</v>
      </c>
      <c r="H127" s="34">
        <v>1</v>
      </c>
      <c r="I127" s="35">
        <f t="shared" si="9"/>
        <v>147461.80000000002</v>
      </c>
      <c r="J127" s="181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</row>
    <row r="128" spans="1:23" s="44" customFormat="1" ht="20.95" customHeight="1">
      <c r="A128" s="316"/>
      <c r="B128" s="329" t="s">
        <v>53</v>
      </c>
      <c r="C128" s="426"/>
      <c r="D128" s="427"/>
      <c r="E128" s="71" t="s">
        <v>80</v>
      </c>
      <c r="F128" s="71" t="s">
        <v>80</v>
      </c>
      <c r="G128" s="71" t="s">
        <v>80</v>
      </c>
      <c r="H128" s="78"/>
      <c r="I128" s="72">
        <f>SUM(I129:I144)</f>
        <v>33807.300000000003</v>
      </c>
      <c r="J128" s="181"/>
    </row>
    <row r="129" spans="1:23" s="44" customFormat="1">
      <c r="A129" s="316" t="s">
        <v>179</v>
      </c>
      <c r="B129" s="432" t="s">
        <v>61</v>
      </c>
      <c r="C129" s="432"/>
      <c r="D129" s="432"/>
      <c r="E129" s="45" t="s">
        <v>54</v>
      </c>
      <c r="F129" s="45" t="s">
        <v>52</v>
      </c>
      <c r="G129" s="65"/>
      <c r="H129" s="77"/>
      <c r="I129" s="75">
        <v>3638.1</v>
      </c>
      <c r="J129" s="181"/>
    </row>
    <row r="130" spans="1:23" s="44" customFormat="1">
      <c r="A130" s="316" t="s">
        <v>150</v>
      </c>
      <c r="B130" s="432" t="s">
        <v>61</v>
      </c>
      <c r="C130" s="432"/>
      <c r="D130" s="432"/>
      <c r="E130" s="45" t="s">
        <v>54</v>
      </c>
      <c r="F130" s="45" t="s">
        <v>52</v>
      </c>
      <c r="G130" s="65"/>
      <c r="H130" s="77"/>
      <c r="I130" s="75">
        <f>-2268.1+2090.7</f>
        <v>-177.40000000000009</v>
      </c>
      <c r="J130" s="181"/>
    </row>
    <row r="131" spans="1:23" s="44" customFormat="1">
      <c r="A131" s="313" t="s">
        <v>186</v>
      </c>
      <c r="B131" s="432" t="s">
        <v>61</v>
      </c>
      <c r="C131" s="432"/>
      <c r="D131" s="432"/>
      <c r="E131" s="45" t="s">
        <v>54</v>
      </c>
      <c r="F131" s="45" t="s">
        <v>52</v>
      </c>
      <c r="G131" s="65"/>
      <c r="H131" s="77"/>
      <c r="I131" s="75">
        <v>270.3</v>
      </c>
      <c r="J131" s="181"/>
    </row>
    <row r="132" spans="1:23" s="44" customFormat="1">
      <c r="A132" s="313" t="s">
        <v>191</v>
      </c>
      <c r="B132" s="432" t="s">
        <v>61</v>
      </c>
      <c r="C132" s="432"/>
      <c r="D132" s="432"/>
      <c r="E132" s="45" t="s">
        <v>54</v>
      </c>
      <c r="F132" s="45" t="s">
        <v>52</v>
      </c>
      <c r="G132" s="65"/>
      <c r="H132" s="77"/>
      <c r="I132" s="75">
        <v>3.4</v>
      </c>
      <c r="J132" s="181"/>
    </row>
    <row r="133" spans="1:23" s="44" customFormat="1">
      <c r="A133" s="313" t="s">
        <v>195</v>
      </c>
      <c r="B133" s="432" t="s">
        <v>61</v>
      </c>
      <c r="C133" s="432"/>
      <c r="D133" s="432"/>
      <c r="E133" s="45" t="s">
        <v>54</v>
      </c>
      <c r="F133" s="45" t="s">
        <v>52</v>
      </c>
      <c r="G133" s="65">
        <v>5073100</v>
      </c>
      <c r="H133" s="77">
        <v>-1</v>
      </c>
      <c r="I133" s="35">
        <f t="shared" ref="I133" si="10">+ROUNDDOWN(H133*G133/1000,1)</f>
        <v>-5073.1000000000004</v>
      </c>
      <c r="J133" s="181"/>
    </row>
    <row r="134" spans="1:23" s="76" customFormat="1">
      <c r="A134" s="313" t="s">
        <v>200</v>
      </c>
      <c r="B134" s="332" t="s">
        <v>61</v>
      </c>
      <c r="C134" s="332"/>
      <c r="D134" s="332"/>
      <c r="E134" s="314" t="s">
        <v>54</v>
      </c>
      <c r="F134" s="314" t="s">
        <v>52</v>
      </c>
      <c r="G134" s="73">
        <v>2664000</v>
      </c>
      <c r="H134" s="74">
        <v>1</v>
      </c>
      <c r="I134" s="35">
        <f>+ROUNDUP(H134*G134/1000,1)</f>
        <v>2664</v>
      </c>
      <c r="J134" s="181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</row>
    <row r="135" spans="1:23" s="76" customFormat="1">
      <c r="A135" s="313" t="s">
        <v>205</v>
      </c>
      <c r="B135" s="332" t="s">
        <v>61</v>
      </c>
      <c r="C135" s="332"/>
      <c r="D135" s="332"/>
      <c r="E135" s="314" t="s">
        <v>54</v>
      </c>
      <c r="F135" s="314" t="s">
        <v>52</v>
      </c>
      <c r="G135" s="73">
        <v>2757818</v>
      </c>
      <c r="H135" s="74">
        <v>1</v>
      </c>
      <c r="I135" s="35">
        <f t="shared" ref="I135:I138" si="11">+ROUNDUP(H135*G135/1000,1)</f>
        <v>2757.9</v>
      </c>
      <c r="J135" s="181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</row>
    <row r="136" spans="1:23" s="76" customFormat="1">
      <c r="A136" s="313" t="s">
        <v>206</v>
      </c>
      <c r="B136" s="332" t="s">
        <v>61</v>
      </c>
      <c r="C136" s="332"/>
      <c r="D136" s="332"/>
      <c r="E136" s="314" t="s">
        <v>54</v>
      </c>
      <c r="F136" s="314" t="s">
        <v>52</v>
      </c>
      <c r="G136" s="73">
        <v>2757818</v>
      </c>
      <c r="H136" s="74">
        <v>1</v>
      </c>
      <c r="I136" s="35">
        <f t="shared" si="11"/>
        <v>2757.9</v>
      </c>
      <c r="J136" s="181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</row>
    <row r="137" spans="1:23" s="76" customFormat="1">
      <c r="A137" s="313" t="s">
        <v>207</v>
      </c>
      <c r="B137" s="332" t="s">
        <v>61</v>
      </c>
      <c r="C137" s="332"/>
      <c r="D137" s="332"/>
      <c r="E137" s="314" t="s">
        <v>54</v>
      </c>
      <c r="F137" s="314" t="s">
        <v>52</v>
      </c>
      <c r="G137" s="73">
        <v>2070000</v>
      </c>
      <c r="H137" s="74">
        <v>1</v>
      </c>
      <c r="I137" s="35">
        <f t="shared" si="11"/>
        <v>2070</v>
      </c>
      <c r="J137" s="181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</row>
    <row r="138" spans="1:23" s="76" customFormat="1">
      <c r="A138" s="313" t="s">
        <v>208</v>
      </c>
      <c r="B138" s="332" t="s">
        <v>61</v>
      </c>
      <c r="C138" s="332"/>
      <c r="D138" s="332"/>
      <c r="E138" s="314" t="s">
        <v>54</v>
      </c>
      <c r="F138" s="314" t="s">
        <v>52</v>
      </c>
      <c r="G138" s="73">
        <v>2664000</v>
      </c>
      <c r="H138" s="74">
        <v>1</v>
      </c>
      <c r="I138" s="35">
        <f t="shared" si="11"/>
        <v>2664</v>
      </c>
      <c r="J138" s="181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</row>
    <row r="139" spans="1:23" s="44" customFormat="1">
      <c r="A139" s="316" t="s">
        <v>180</v>
      </c>
      <c r="B139" s="432" t="s">
        <v>62</v>
      </c>
      <c r="C139" s="432"/>
      <c r="D139" s="432"/>
      <c r="E139" s="45" t="s">
        <v>55</v>
      </c>
      <c r="F139" s="45" t="s">
        <v>52</v>
      </c>
      <c r="G139" s="65"/>
      <c r="H139" s="77"/>
      <c r="I139" s="75">
        <v>3057.2</v>
      </c>
      <c r="J139" s="181"/>
    </row>
    <row r="140" spans="1:23" s="44" customFormat="1">
      <c r="A140" s="313" t="s">
        <v>187</v>
      </c>
      <c r="B140" s="432" t="s">
        <v>62</v>
      </c>
      <c r="C140" s="432"/>
      <c r="D140" s="432"/>
      <c r="E140" s="45" t="s">
        <v>55</v>
      </c>
      <c r="F140" s="45" t="s">
        <v>52</v>
      </c>
      <c r="G140" s="65"/>
      <c r="H140" s="77"/>
      <c r="I140" s="75">
        <v>72.2</v>
      </c>
      <c r="J140" s="181"/>
    </row>
    <row r="141" spans="1:23" s="44" customFormat="1">
      <c r="A141" s="313" t="s">
        <v>192</v>
      </c>
      <c r="B141" s="432" t="s">
        <v>62</v>
      </c>
      <c r="C141" s="432"/>
      <c r="D141" s="432"/>
      <c r="E141" s="45" t="s">
        <v>55</v>
      </c>
      <c r="F141" s="45" t="s">
        <v>52</v>
      </c>
      <c r="G141" s="65"/>
      <c r="H141" s="77"/>
      <c r="I141" s="75">
        <v>2724.2</v>
      </c>
      <c r="J141" s="181"/>
    </row>
    <row r="142" spans="1:23" s="44" customFormat="1">
      <c r="A142" s="313" t="s">
        <v>196</v>
      </c>
      <c r="B142" s="432" t="s">
        <v>62</v>
      </c>
      <c r="C142" s="432"/>
      <c r="D142" s="432"/>
      <c r="E142" s="45" t="s">
        <v>55</v>
      </c>
      <c r="F142" s="45" t="s">
        <v>52</v>
      </c>
      <c r="G142" s="65">
        <v>1014600</v>
      </c>
      <c r="H142" s="77">
        <v>-1</v>
      </c>
      <c r="I142" s="35">
        <f t="shared" ref="I142" si="12">+ROUNDDOWN(H142*G142/1000,1)</f>
        <v>-1014.6</v>
      </c>
      <c r="J142" s="181"/>
    </row>
    <row r="143" spans="1:23" s="311" customFormat="1">
      <c r="A143" s="320">
        <v>71241200</v>
      </c>
      <c r="B143" s="434" t="s">
        <v>81</v>
      </c>
      <c r="C143" s="434"/>
      <c r="D143" s="434"/>
      <c r="E143" s="308" t="s">
        <v>55</v>
      </c>
      <c r="F143" s="308" t="s">
        <v>74</v>
      </c>
      <c r="G143" s="73">
        <v>16000000</v>
      </c>
      <c r="H143" s="74">
        <v>1</v>
      </c>
      <c r="I143" s="309">
        <f>+ROUNDUP(H143*G143/1000,1)</f>
        <v>16000</v>
      </c>
      <c r="J143" s="310"/>
    </row>
    <row r="144" spans="1:23" s="44" customFormat="1" ht="18" customHeight="1">
      <c r="A144" s="316">
        <v>71311360</v>
      </c>
      <c r="B144" s="420" t="s">
        <v>371</v>
      </c>
      <c r="C144" s="421"/>
      <c r="D144" s="422"/>
      <c r="E144" s="45" t="s">
        <v>54</v>
      </c>
      <c r="F144" s="45" t="s">
        <v>52</v>
      </c>
      <c r="G144" s="65">
        <v>1393200</v>
      </c>
      <c r="H144" s="77">
        <v>1</v>
      </c>
      <c r="I144" s="72">
        <f>+ROUNDUP(H144*G144/1000,1)</f>
        <v>1393.2</v>
      </c>
      <c r="J144" s="181"/>
    </row>
    <row r="145" spans="1:23" s="42" customFormat="1">
      <c r="A145" s="114" t="s">
        <v>75</v>
      </c>
      <c r="B145" s="114" t="s">
        <v>60</v>
      </c>
      <c r="C145" s="114" t="s">
        <v>77</v>
      </c>
      <c r="D145" s="428" t="s">
        <v>96</v>
      </c>
      <c r="E145" s="429"/>
      <c r="F145" s="429"/>
      <c r="G145" s="429"/>
      <c r="H145" s="430"/>
      <c r="I145" s="115">
        <f>+I146+I184</f>
        <v>-268390.50000000006</v>
      </c>
      <c r="J145" s="180"/>
    </row>
    <row r="146" spans="1:23" ht="54.8" customHeight="1">
      <c r="A146" s="116" t="s">
        <v>218</v>
      </c>
      <c r="B146" s="423" t="s">
        <v>219</v>
      </c>
      <c r="C146" s="424"/>
      <c r="D146" s="424"/>
      <c r="E146" s="424"/>
      <c r="F146" s="424"/>
      <c r="G146" s="424"/>
      <c r="H146" s="425"/>
      <c r="I146" s="117">
        <f>+I147+I151</f>
        <v>-576777.4</v>
      </c>
    </row>
    <row r="147" spans="1:23" s="44" customFormat="1" ht="20.95" customHeight="1">
      <c r="A147" s="316"/>
      <c r="B147" s="329" t="s">
        <v>51</v>
      </c>
      <c r="C147" s="426"/>
      <c r="D147" s="427"/>
      <c r="E147" s="71"/>
      <c r="F147" s="71"/>
      <c r="G147" s="71"/>
      <c r="H147" s="78"/>
      <c r="I147" s="72">
        <f>SUM(I148:I150)</f>
        <v>-592809</v>
      </c>
      <c r="J147" s="181"/>
    </row>
    <row r="148" spans="1:23" s="27" customFormat="1">
      <c r="A148" s="315" t="s">
        <v>220</v>
      </c>
      <c r="B148" s="431" t="s">
        <v>178</v>
      </c>
      <c r="C148" s="431"/>
      <c r="D148" s="431"/>
      <c r="E148" s="45" t="s">
        <v>100</v>
      </c>
      <c r="F148" s="45" t="s">
        <v>74</v>
      </c>
      <c r="G148" s="43"/>
      <c r="H148" s="34"/>
      <c r="I148" s="35">
        <f>-241959.6-4655.9</f>
        <v>-246615.5</v>
      </c>
      <c r="J148" s="181"/>
    </row>
    <row r="149" spans="1:23" s="27" customFormat="1">
      <c r="A149" s="315">
        <v>45211231</v>
      </c>
      <c r="B149" s="431" t="s">
        <v>231</v>
      </c>
      <c r="C149" s="431"/>
      <c r="D149" s="431"/>
      <c r="E149" s="45" t="s">
        <v>100</v>
      </c>
      <c r="F149" s="45" t="s">
        <v>74</v>
      </c>
      <c r="G149" s="43">
        <v>2489600</v>
      </c>
      <c r="H149" s="34">
        <v>1</v>
      </c>
      <c r="I149" s="72">
        <f>+ROUNDUP(H149*G149/1000,1)</f>
        <v>2489.6</v>
      </c>
      <c r="J149" s="181"/>
    </row>
    <row r="150" spans="1:23" s="27" customFormat="1">
      <c r="A150" s="315" t="s">
        <v>234</v>
      </c>
      <c r="B150" s="431" t="s">
        <v>178</v>
      </c>
      <c r="C150" s="431"/>
      <c r="D150" s="431"/>
      <c r="E150" s="45" t="s">
        <v>100</v>
      </c>
      <c r="F150" s="45" t="s">
        <v>74</v>
      </c>
      <c r="G150" s="43">
        <v>348683100</v>
      </c>
      <c r="H150" s="34">
        <v>-1</v>
      </c>
      <c r="I150" s="35">
        <f t="shared" ref="I150:I154" si="13">+ROUNDDOWN(H150*G150/1000,1)</f>
        <v>-348683.1</v>
      </c>
      <c r="J150" s="181"/>
    </row>
    <row r="151" spans="1:23" s="44" customFormat="1" ht="20.95" customHeight="1">
      <c r="A151" s="316"/>
      <c r="B151" s="329" t="s">
        <v>53</v>
      </c>
      <c r="C151" s="426"/>
      <c r="D151" s="427"/>
      <c r="E151" s="71" t="s">
        <v>80</v>
      </c>
      <c r="F151" s="71" t="s">
        <v>80</v>
      </c>
      <c r="G151" s="71" t="s">
        <v>80</v>
      </c>
      <c r="H151" s="78"/>
      <c r="I151" s="72">
        <f>SUM(I152:I183)</f>
        <v>16031.600000000002</v>
      </c>
      <c r="J151" s="181"/>
    </row>
    <row r="152" spans="1:23" s="76" customFormat="1">
      <c r="A152" s="313" t="s">
        <v>101</v>
      </c>
      <c r="B152" s="332" t="s">
        <v>61</v>
      </c>
      <c r="C152" s="332"/>
      <c r="D152" s="332"/>
      <c r="E152" s="314" t="s">
        <v>54</v>
      </c>
      <c r="F152" s="314" t="s">
        <v>52</v>
      </c>
      <c r="G152" s="73">
        <v>6870300</v>
      </c>
      <c r="H152" s="74">
        <v>-1</v>
      </c>
      <c r="I152" s="35">
        <f t="shared" si="13"/>
        <v>-6870.3</v>
      </c>
      <c r="J152" s="181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</row>
    <row r="153" spans="1:23" s="76" customFormat="1">
      <c r="A153" s="313" t="s">
        <v>235</v>
      </c>
      <c r="B153" s="332" t="s">
        <v>61</v>
      </c>
      <c r="C153" s="332"/>
      <c r="D153" s="332"/>
      <c r="E153" s="314" t="s">
        <v>54</v>
      </c>
      <c r="F153" s="314" t="s">
        <v>52</v>
      </c>
      <c r="G153" s="73">
        <v>11341500</v>
      </c>
      <c r="H153" s="74">
        <v>-1</v>
      </c>
      <c r="I153" s="35">
        <f t="shared" ref="I153" si="14">+ROUNDDOWN(H153*G153/1000,1)</f>
        <v>-11341.5</v>
      </c>
      <c r="J153" s="181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</row>
    <row r="154" spans="1:23" s="44" customFormat="1">
      <c r="A154" s="316" t="s">
        <v>102</v>
      </c>
      <c r="B154" s="432" t="s">
        <v>62</v>
      </c>
      <c r="C154" s="432"/>
      <c r="D154" s="432"/>
      <c r="E154" s="45" t="s">
        <v>55</v>
      </c>
      <c r="F154" s="45" t="s">
        <v>52</v>
      </c>
      <c r="G154" s="65">
        <v>1513900</v>
      </c>
      <c r="H154" s="77">
        <v>-1</v>
      </c>
      <c r="I154" s="35">
        <f t="shared" si="13"/>
        <v>-1513.9</v>
      </c>
      <c r="J154" s="181"/>
    </row>
    <row r="155" spans="1:23" s="311" customFormat="1">
      <c r="A155" s="320">
        <v>71241200</v>
      </c>
      <c r="B155" s="434" t="s">
        <v>81</v>
      </c>
      <c r="C155" s="434"/>
      <c r="D155" s="434"/>
      <c r="E155" s="308" t="s">
        <v>55</v>
      </c>
      <c r="F155" s="308" t="s">
        <v>74</v>
      </c>
      <c r="G155" s="73">
        <v>4600000</v>
      </c>
      <c r="H155" s="74">
        <v>1</v>
      </c>
      <c r="I155" s="309">
        <f>+ROUNDUP(H155*G155/1000,1)</f>
        <v>4600</v>
      </c>
      <c r="J155" s="310"/>
    </row>
    <row r="156" spans="1:23" s="27" customFormat="1">
      <c r="A156" s="315" t="s">
        <v>303</v>
      </c>
      <c r="B156" s="431" t="s">
        <v>81</v>
      </c>
      <c r="C156" s="431"/>
      <c r="D156" s="431"/>
      <c r="E156" s="314" t="s">
        <v>54</v>
      </c>
      <c r="F156" s="314" t="s">
        <v>74</v>
      </c>
      <c r="G156" s="156">
        <v>11000000</v>
      </c>
      <c r="H156" s="74">
        <v>-1</v>
      </c>
      <c r="I156" s="35">
        <f t="shared" ref="I156:I158" si="15">+ROUNDDOWN(H156*G156/1000,1)</f>
        <v>-11000</v>
      </c>
      <c r="J156" s="181"/>
    </row>
    <row r="157" spans="1:23" s="27" customFormat="1">
      <c r="A157" s="315" t="s">
        <v>306</v>
      </c>
      <c r="B157" s="431" t="s">
        <v>81</v>
      </c>
      <c r="C157" s="431"/>
      <c r="D157" s="431"/>
      <c r="E157" s="314" t="s">
        <v>54</v>
      </c>
      <c r="F157" s="314" t="s">
        <v>74</v>
      </c>
      <c r="G157" s="156">
        <v>11000000</v>
      </c>
      <c r="H157" s="74">
        <v>-1</v>
      </c>
      <c r="I157" s="35">
        <f t="shared" si="15"/>
        <v>-11000</v>
      </c>
      <c r="J157" s="181"/>
    </row>
    <row r="158" spans="1:23" s="27" customFormat="1">
      <c r="A158" s="315" t="s">
        <v>304</v>
      </c>
      <c r="B158" s="431" t="s">
        <v>81</v>
      </c>
      <c r="C158" s="431"/>
      <c r="D158" s="431"/>
      <c r="E158" s="314" t="s">
        <v>54</v>
      </c>
      <c r="F158" s="314" t="s">
        <v>74</v>
      </c>
      <c r="G158" s="156">
        <v>5000000</v>
      </c>
      <c r="H158" s="74">
        <v>-1</v>
      </c>
      <c r="I158" s="35">
        <f t="shared" si="15"/>
        <v>-5000</v>
      </c>
      <c r="J158" s="181"/>
    </row>
    <row r="159" spans="1:23" s="27" customFormat="1">
      <c r="A159" s="315" t="s">
        <v>299</v>
      </c>
      <c r="B159" s="431" t="s">
        <v>81</v>
      </c>
      <c r="C159" s="431"/>
      <c r="D159" s="431"/>
      <c r="E159" s="314" t="s">
        <v>54</v>
      </c>
      <c r="F159" s="314" t="s">
        <v>74</v>
      </c>
      <c r="G159" s="156">
        <v>25000000</v>
      </c>
      <c r="H159" s="74">
        <v>-1</v>
      </c>
      <c r="I159" s="35">
        <f t="shared" ref="I159" si="16">+ROUNDDOWN(H159*G159/1000,1)</f>
        <v>-25000</v>
      </c>
      <c r="J159" s="181"/>
    </row>
    <row r="160" spans="1:23" s="148" customFormat="1">
      <c r="A160" s="315" t="s">
        <v>250</v>
      </c>
      <c r="B160" s="431" t="s">
        <v>81</v>
      </c>
      <c r="C160" s="431"/>
      <c r="D160" s="431"/>
      <c r="E160" s="314" t="s">
        <v>100</v>
      </c>
      <c r="F160" s="314" t="s">
        <v>74</v>
      </c>
      <c r="G160" s="73">
        <f>26500000*20%</f>
        <v>5300000</v>
      </c>
      <c r="H160" s="74">
        <v>1</v>
      </c>
      <c r="I160" s="35">
        <f t="shared" ref="I160:I174" si="17">+ROUNDUP(H160*G160/1000,1)</f>
        <v>5300</v>
      </c>
      <c r="J160" s="181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</row>
    <row r="161" spans="1:23" s="148" customFormat="1">
      <c r="A161" s="315" t="s">
        <v>248</v>
      </c>
      <c r="B161" s="431" t="s">
        <v>81</v>
      </c>
      <c r="C161" s="431"/>
      <c r="D161" s="431"/>
      <c r="E161" s="314" t="s">
        <v>100</v>
      </c>
      <c r="F161" s="314" t="s">
        <v>74</v>
      </c>
      <c r="G161" s="73">
        <f>20800000*20%</f>
        <v>4160000</v>
      </c>
      <c r="H161" s="74">
        <v>1</v>
      </c>
      <c r="I161" s="35">
        <f t="shared" si="17"/>
        <v>4160</v>
      </c>
      <c r="J161" s="181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</row>
    <row r="162" spans="1:23" s="148" customFormat="1">
      <c r="A162" s="315" t="s">
        <v>252</v>
      </c>
      <c r="B162" s="431" t="s">
        <v>81</v>
      </c>
      <c r="C162" s="431"/>
      <c r="D162" s="431"/>
      <c r="E162" s="314" t="s">
        <v>100</v>
      </c>
      <c r="F162" s="314" t="s">
        <v>74</v>
      </c>
      <c r="G162" s="73">
        <f>34000000*20%</f>
        <v>6800000</v>
      </c>
      <c r="H162" s="74">
        <v>1</v>
      </c>
      <c r="I162" s="35">
        <f t="shared" si="17"/>
        <v>6800</v>
      </c>
      <c r="J162" s="181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</row>
    <row r="163" spans="1:23" s="148" customFormat="1">
      <c r="A163" s="315" t="s">
        <v>244</v>
      </c>
      <c r="B163" s="431" t="s">
        <v>81</v>
      </c>
      <c r="C163" s="431"/>
      <c r="D163" s="431"/>
      <c r="E163" s="314" t="s">
        <v>100</v>
      </c>
      <c r="F163" s="314" t="s">
        <v>74</v>
      </c>
      <c r="G163" s="73">
        <f>34500000*20%</f>
        <v>6900000</v>
      </c>
      <c r="H163" s="74">
        <v>1</v>
      </c>
      <c r="I163" s="35">
        <f t="shared" si="17"/>
        <v>6900</v>
      </c>
      <c r="J163" s="181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</row>
    <row r="164" spans="1:23" s="148" customFormat="1">
      <c r="A164" s="315" t="s">
        <v>251</v>
      </c>
      <c r="B164" s="431" t="s">
        <v>81</v>
      </c>
      <c r="C164" s="431"/>
      <c r="D164" s="431"/>
      <c r="E164" s="314" t="s">
        <v>100</v>
      </c>
      <c r="F164" s="314" t="s">
        <v>74</v>
      </c>
      <c r="G164" s="73">
        <f>24000000*20%</f>
        <v>4800000</v>
      </c>
      <c r="H164" s="74">
        <v>1</v>
      </c>
      <c r="I164" s="35">
        <f t="shared" si="17"/>
        <v>4800</v>
      </c>
      <c r="J164" s="181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</row>
    <row r="165" spans="1:23" s="27" customFormat="1">
      <c r="A165" s="315" t="s">
        <v>239</v>
      </c>
      <c r="B165" s="431" t="s">
        <v>81</v>
      </c>
      <c r="C165" s="431"/>
      <c r="D165" s="431"/>
      <c r="E165" s="314" t="s">
        <v>100</v>
      </c>
      <c r="F165" s="314" t="s">
        <v>74</v>
      </c>
      <c r="G165" s="156">
        <f>38400000*20%</f>
        <v>7680000</v>
      </c>
      <c r="H165" s="74">
        <v>1</v>
      </c>
      <c r="I165" s="35">
        <f t="shared" si="17"/>
        <v>7680</v>
      </c>
      <c r="J165" s="181"/>
    </row>
    <row r="166" spans="1:23" s="27" customFormat="1">
      <c r="A166" s="315" t="s">
        <v>240</v>
      </c>
      <c r="B166" s="431" t="s">
        <v>81</v>
      </c>
      <c r="C166" s="431"/>
      <c r="D166" s="431"/>
      <c r="E166" s="314" t="s">
        <v>100</v>
      </c>
      <c r="F166" s="314" t="s">
        <v>74</v>
      </c>
      <c r="G166" s="156">
        <f>33900000*20%</f>
        <v>6780000</v>
      </c>
      <c r="H166" s="74">
        <v>1</v>
      </c>
      <c r="I166" s="35">
        <f t="shared" si="17"/>
        <v>6780</v>
      </c>
      <c r="J166" s="181"/>
    </row>
    <row r="167" spans="1:23" s="27" customFormat="1">
      <c r="A167" s="315" t="s">
        <v>241</v>
      </c>
      <c r="B167" s="431" t="s">
        <v>81</v>
      </c>
      <c r="C167" s="431"/>
      <c r="D167" s="431"/>
      <c r="E167" s="314" t="s">
        <v>100</v>
      </c>
      <c r="F167" s="314" t="s">
        <v>74</v>
      </c>
      <c r="G167" s="156">
        <f>24000000*20%</f>
        <v>4800000</v>
      </c>
      <c r="H167" s="74">
        <v>1</v>
      </c>
      <c r="I167" s="35">
        <f t="shared" si="17"/>
        <v>4800</v>
      </c>
      <c r="J167" s="181"/>
    </row>
    <row r="168" spans="1:23" s="27" customFormat="1">
      <c r="A168" s="315" t="s">
        <v>243</v>
      </c>
      <c r="B168" s="431" t="s">
        <v>81</v>
      </c>
      <c r="C168" s="431"/>
      <c r="D168" s="431"/>
      <c r="E168" s="314" t="s">
        <v>100</v>
      </c>
      <c r="F168" s="314" t="s">
        <v>74</v>
      </c>
      <c r="G168" s="156">
        <f>37920000*20%</f>
        <v>7584000</v>
      </c>
      <c r="H168" s="74">
        <v>1</v>
      </c>
      <c r="I168" s="35">
        <f t="shared" si="17"/>
        <v>7584</v>
      </c>
      <c r="J168" s="181"/>
    </row>
    <row r="169" spans="1:23" s="148" customFormat="1">
      <c r="A169" s="315" t="s">
        <v>246</v>
      </c>
      <c r="B169" s="431" t="s">
        <v>81</v>
      </c>
      <c r="C169" s="431"/>
      <c r="D169" s="431"/>
      <c r="E169" s="314" t="s">
        <v>100</v>
      </c>
      <c r="F169" s="314" t="s">
        <v>74</v>
      </c>
      <c r="G169" s="73">
        <f>22500000*20%</f>
        <v>4500000</v>
      </c>
      <c r="H169" s="74">
        <v>1</v>
      </c>
      <c r="I169" s="35">
        <f t="shared" si="17"/>
        <v>4500</v>
      </c>
      <c r="J169" s="181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</row>
    <row r="170" spans="1:23" s="148" customFormat="1">
      <c r="A170" s="315" t="s">
        <v>242</v>
      </c>
      <c r="B170" s="431" t="s">
        <v>81</v>
      </c>
      <c r="C170" s="431"/>
      <c r="D170" s="431"/>
      <c r="E170" s="314" t="s">
        <v>100</v>
      </c>
      <c r="F170" s="314" t="s">
        <v>74</v>
      </c>
      <c r="G170" s="73">
        <f>25800000*20%</f>
        <v>5160000</v>
      </c>
      <c r="H170" s="74">
        <v>1</v>
      </c>
      <c r="I170" s="35">
        <f t="shared" si="17"/>
        <v>5160</v>
      </c>
      <c r="J170" s="181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</row>
    <row r="171" spans="1:23" s="148" customFormat="1">
      <c r="A171" s="315" t="s">
        <v>247</v>
      </c>
      <c r="B171" s="431" t="s">
        <v>81</v>
      </c>
      <c r="C171" s="431"/>
      <c r="D171" s="431"/>
      <c r="E171" s="314" t="s">
        <v>100</v>
      </c>
      <c r="F171" s="314" t="s">
        <v>74</v>
      </c>
      <c r="G171" s="73">
        <f>24000000*20%</f>
        <v>4800000</v>
      </c>
      <c r="H171" s="74">
        <v>1</v>
      </c>
      <c r="I171" s="35">
        <f t="shared" si="17"/>
        <v>4800</v>
      </c>
      <c r="J171" s="181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</row>
    <row r="172" spans="1:23" s="148" customFormat="1">
      <c r="A172" s="315" t="s">
        <v>249</v>
      </c>
      <c r="B172" s="431" t="s">
        <v>81</v>
      </c>
      <c r="C172" s="431"/>
      <c r="D172" s="431"/>
      <c r="E172" s="314" t="s">
        <v>100</v>
      </c>
      <c r="F172" s="314" t="s">
        <v>74</v>
      </c>
      <c r="G172" s="73">
        <f>28200000*20%</f>
        <v>5640000</v>
      </c>
      <c r="H172" s="74">
        <v>1</v>
      </c>
      <c r="I172" s="35">
        <f t="shared" si="17"/>
        <v>5640</v>
      </c>
      <c r="J172" s="181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</row>
    <row r="173" spans="1:23" s="148" customFormat="1">
      <c r="A173" s="315" t="s">
        <v>245</v>
      </c>
      <c r="B173" s="431" t="s">
        <v>81</v>
      </c>
      <c r="C173" s="431"/>
      <c r="D173" s="431"/>
      <c r="E173" s="314" t="s">
        <v>100</v>
      </c>
      <c r="F173" s="314" t="s">
        <v>74</v>
      </c>
      <c r="G173" s="73">
        <f>18900000*20%</f>
        <v>3780000</v>
      </c>
      <c r="H173" s="74">
        <v>1</v>
      </c>
      <c r="I173" s="35">
        <f t="shared" si="17"/>
        <v>3780</v>
      </c>
      <c r="J173" s="181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</row>
    <row r="174" spans="1:23" s="27" customFormat="1">
      <c r="A174" s="315" t="s">
        <v>238</v>
      </c>
      <c r="B174" s="431" t="s">
        <v>81</v>
      </c>
      <c r="C174" s="431"/>
      <c r="D174" s="431"/>
      <c r="E174" s="314" t="s">
        <v>100</v>
      </c>
      <c r="F174" s="314" t="s">
        <v>74</v>
      </c>
      <c r="G174" s="156">
        <f>36960000*20%</f>
        <v>7392000</v>
      </c>
      <c r="H174" s="74">
        <v>1</v>
      </c>
      <c r="I174" s="35">
        <f t="shared" si="17"/>
        <v>7392</v>
      </c>
      <c r="J174" s="181"/>
    </row>
    <row r="175" spans="1:23" s="27" customFormat="1" ht="17.75" customHeight="1">
      <c r="A175" s="317">
        <v>50531140</v>
      </c>
      <c r="B175" s="433" t="s">
        <v>65</v>
      </c>
      <c r="C175" s="433"/>
      <c r="D175" s="433"/>
      <c r="E175" s="45" t="s">
        <v>54</v>
      </c>
      <c r="F175" s="45" t="s">
        <v>74</v>
      </c>
      <c r="G175" s="65">
        <v>400000</v>
      </c>
      <c r="H175" s="149">
        <v>1</v>
      </c>
      <c r="I175" s="35">
        <f t="shared" ref="I175:I180" si="18">+ROUNDDOWN(H175*G175/1000,1)</f>
        <v>400</v>
      </c>
      <c r="J175" s="181"/>
    </row>
    <row r="176" spans="1:23" s="27" customFormat="1" ht="17.75" customHeight="1">
      <c r="A176" s="317" t="s">
        <v>217</v>
      </c>
      <c r="B176" s="433" t="s">
        <v>65</v>
      </c>
      <c r="C176" s="433"/>
      <c r="D176" s="433"/>
      <c r="E176" s="45" t="s">
        <v>54</v>
      </c>
      <c r="F176" s="45" t="s">
        <v>74</v>
      </c>
      <c r="G176" s="65">
        <v>600000</v>
      </c>
      <c r="H176" s="149">
        <v>-1</v>
      </c>
      <c r="I176" s="35">
        <f t="shared" si="18"/>
        <v>-600</v>
      </c>
      <c r="J176" s="181"/>
    </row>
    <row r="177" spans="1:23" s="27" customFormat="1" ht="17.75" customHeight="1">
      <c r="A177" s="317" t="s">
        <v>301</v>
      </c>
      <c r="B177" s="433" t="s">
        <v>65</v>
      </c>
      <c r="C177" s="433"/>
      <c r="D177" s="433"/>
      <c r="E177" s="45" t="s">
        <v>54</v>
      </c>
      <c r="F177" s="45" t="s">
        <v>74</v>
      </c>
      <c r="G177" s="65">
        <v>600000</v>
      </c>
      <c r="H177" s="149">
        <v>-1</v>
      </c>
      <c r="I177" s="35">
        <f t="shared" si="18"/>
        <v>-600</v>
      </c>
      <c r="J177" s="181"/>
    </row>
    <row r="178" spans="1:23" s="27" customFormat="1" ht="17.75" customHeight="1">
      <c r="A178" s="317" t="s">
        <v>305</v>
      </c>
      <c r="B178" s="433" t="s">
        <v>65</v>
      </c>
      <c r="C178" s="433"/>
      <c r="D178" s="433"/>
      <c r="E178" s="45" t="s">
        <v>54</v>
      </c>
      <c r="F178" s="45" t="s">
        <v>74</v>
      </c>
      <c r="G178" s="65">
        <v>400000</v>
      </c>
      <c r="H178" s="149">
        <v>-1</v>
      </c>
      <c r="I178" s="35">
        <f t="shared" si="18"/>
        <v>-400</v>
      </c>
      <c r="J178" s="181"/>
    </row>
    <row r="179" spans="1:23" s="27" customFormat="1" ht="17.75" customHeight="1">
      <c r="A179" s="317" t="s">
        <v>300</v>
      </c>
      <c r="B179" s="433" t="s">
        <v>65</v>
      </c>
      <c r="C179" s="433"/>
      <c r="D179" s="433"/>
      <c r="E179" s="45" t="s">
        <v>54</v>
      </c>
      <c r="F179" s="45" t="s">
        <v>74</v>
      </c>
      <c r="G179" s="65">
        <v>1200000</v>
      </c>
      <c r="H179" s="149">
        <v>-1</v>
      </c>
      <c r="I179" s="35">
        <f t="shared" si="18"/>
        <v>-1200</v>
      </c>
      <c r="J179" s="181"/>
    </row>
    <row r="180" spans="1:23" s="27" customFormat="1" ht="17.75" customHeight="1">
      <c r="A180" s="317" t="s">
        <v>223</v>
      </c>
      <c r="B180" s="433" t="s">
        <v>65</v>
      </c>
      <c r="C180" s="433"/>
      <c r="D180" s="433"/>
      <c r="E180" s="45" t="s">
        <v>54</v>
      </c>
      <c r="F180" s="45" t="s">
        <v>74</v>
      </c>
      <c r="G180" s="65">
        <v>500000</v>
      </c>
      <c r="H180" s="149">
        <v>-1</v>
      </c>
      <c r="I180" s="35">
        <f t="shared" si="18"/>
        <v>-500</v>
      </c>
      <c r="J180" s="181"/>
    </row>
    <row r="181" spans="1:23" s="27" customFormat="1" ht="17.75" customHeight="1">
      <c r="A181" s="317" t="s">
        <v>224</v>
      </c>
      <c r="B181" s="433" t="s">
        <v>65</v>
      </c>
      <c r="C181" s="433"/>
      <c r="D181" s="433"/>
      <c r="E181" s="45" t="s">
        <v>54</v>
      </c>
      <c r="F181" s="45" t="s">
        <v>74</v>
      </c>
      <c r="G181" s="65">
        <v>500000</v>
      </c>
      <c r="H181" s="149">
        <v>-1</v>
      </c>
      <c r="I181" s="35">
        <f t="shared" ref="I181:I182" si="19">+ROUNDDOWN(H181*G181/1000,1)</f>
        <v>-500</v>
      </c>
      <c r="J181" s="181"/>
    </row>
    <row r="182" spans="1:23" s="27" customFormat="1" ht="17.75" customHeight="1">
      <c r="A182" s="317" t="s">
        <v>225</v>
      </c>
      <c r="B182" s="433" t="s">
        <v>65</v>
      </c>
      <c r="C182" s="433"/>
      <c r="D182" s="433"/>
      <c r="E182" s="45" t="s">
        <v>54</v>
      </c>
      <c r="F182" s="45" t="s">
        <v>74</v>
      </c>
      <c r="G182" s="65">
        <v>500000</v>
      </c>
      <c r="H182" s="149">
        <v>-1</v>
      </c>
      <c r="I182" s="35">
        <f t="shared" si="19"/>
        <v>-500</v>
      </c>
      <c r="J182" s="181"/>
    </row>
    <row r="183" spans="1:23" s="44" customFormat="1" ht="18" customHeight="1">
      <c r="A183" s="316">
        <v>71311360</v>
      </c>
      <c r="B183" s="420" t="s">
        <v>371</v>
      </c>
      <c r="C183" s="421"/>
      <c r="D183" s="422"/>
      <c r="E183" s="45" t="s">
        <v>54</v>
      </c>
      <c r="F183" s="45" t="s">
        <v>52</v>
      </c>
      <c r="G183" s="65">
        <v>981288</v>
      </c>
      <c r="H183" s="77">
        <v>1</v>
      </c>
      <c r="I183" s="72">
        <f>+ROUNDUP(H183*G183/1000,1)</f>
        <v>981.30000000000007</v>
      </c>
      <c r="J183" s="181"/>
    </row>
    <row r="184" spans="1:23" ht="54.8" customHeight="1">
      <c r="A184" s="116" t="s">
        <v>268</v>
      </c>
      <c r="B184" s="423" t="s">
        <v>269</v>
      </c>
      <c r="C184" s="424"/>
      <c r="D184" s="424"/>
      <c r="E184" s="424"/>
      <c r="F184" s="424"/>
      <c r="G184" s="424"/>
      <c r="H184" s="425"/>
      <c r="I184" s="117">
        <f>+I185+I187</f>
        <v>308386.89999999997</v>
      </c>
    </row>
    <row r="185" spans="1:23" s="23" customFormat="1" ht="20.95" customHeight="1">
      <c r="A185" s="173"/>
      <c r="B185" s="329" t="s">
        <v>79</v>
      </c>
      <c r="C185" s="426"/>
      <c r="D185" s="330"/>
      <c r="E185" s="71"/>
      <c r="F185" s="71"/>
      <c r="G185" s="71"/>
      <c r="H185" s="174"/>
      <c r="I185" s="72">
        <f>+I186</f>
        <v>300558.8</v>
      </c>
      <c r="J185" s="180"/>
    </row>
    <row r="186" spans="1:23" s="76" customFormat="1">
      <c r="A186" s="313" t="s">
        <v>220</v>
      </c>
      <c r="B186" s="431" t="s">
        <v>178</v>
      </c>
      <c r="C186" s="431"/>
      <c r="D186" s="431"/>
      <c r="E186" s="175" t="s">
        <v>184</v>
      </c>
      <c r="F186" s="314" t="s">
        <v>74</v>
      </c>
      <c r="G186" s="73"/>
      <c r="H186" s="149"/>
      <c r="I186" s="35">
        <v>300558.8</v>
      </c>
      <c r="J186" s="181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</row>
    <row r="187" spans="1:23" s="44" customFormat="1" ht="20.95" customHeight="1">
      <c r="A187" s="316"/>
      <c r="B187" s="329" t="s">
        <v>53</v>
      </c>
      <c r="C187" s="426"/>
      <c r="D187" s="427"/>
      <c r="E187" s="71" t="s">
        <v>80</v>
      </c>
      <c r="F187" s="71" t="s">
        <v>80</v>
      </c>
      <c r="G187" s="71" t="s">
        <v>80</v>
      </c>
      <c r="H187" s="78"/>
      <c r="I187" s="72">
        <f>SUM(I188:I193)</f>
        <v>7828.0999999999985</v>
      </c>
      <c r="J187" s="181"/>
    </row>
    <row r="188" spans="1:23" s="44" customFormat="1">
      <c r="A188" s="316" t="s">
        <v>101</v>
      </c>
      <c r="B188" s="432" t="s">
        <v>61</v>
      </c>
      <c r="C188" s="432"/>
      <c r="D188" s="432"/>
      <c r="E188" s="45" t="s">
        <v>54</v>
      </c>
      <c r="F188" s="45" t="s">
        <v>52</v>
      </c>
      <c r="G188" s="65"/>
      <c r="H188" s="149"/>
      <c r="I188" s="35">
        <v>8477.2999999999993</v>
      </c>
      <c r="J188" s="181"/>
    </row>
    <row r="189" spans="1:23" s="44" customFormat="1">
      <c r="A189" s="316" t="s">
        <v>102</v>
      </c>
      <c r="B189" s="432" t="s">
        <v>62</v>
      </c>
      <c r="C189" s="432"/>
      <c r="D189" s="432"/>
      <c r="E189" s="45" t="s">
        <v>55</v>
      </c>
      <c r="F189" s="45" t="s">
        <v>52</v>
      </c>
      <c r="G189" s="65"/>
      <c r="H189" s="149"/>
      <c r="I189" s="35">
        <v>1350.8</v>
      </c>
      <c r="J189" s="181"/>
    </row>
    <row r="190" spans="1:23" s="27" customFormat="1" ht="17.75" customHeight="1">
      <c r="A190" s="317" t="s">
        <v>270</v>
      </c>
      <c r="B190" s="433" t="s">
        <v>65</v>
      </c>
      <c r="C190" s="433"/>
      <c r="D190" s="433"/>
      <c r="E190" s="45" t="s">
        <v>54</v>
      </c>
      <c r="F190" s="45" t="s">
        <v>74</v>
      </c>
      <c r="G190" s="65">
        <v>500000</v>
      </c>
      <c r="H190" s="149">
        <v>-1</v>
      </c>
      <c r="I190" s="35">
        <f>+ROUNDDOWN(H190*G190/1000,1)</f>
        <v>-500</v>
      </c>
      <c r="J190" s="181"/>
    </row>
    <row r="191" spans="1:23" s="27" customFormat="1" ht="17.75" customHeight="1">
      <c r="A191" s="317" t="s">
        <v>273</v>
      </c>
      <c r="B191" s="433" t="s">
        <v>65</v>
      </c>
      <c r="C191" s="433"/>
      <c r="D191" s="433"/>
      <c r="E191" s="45" t="s">
        <v>54</v>
      </c>
      <c r="F191" s="45" t="s">
        <v>74</v>
      </c>
      <c r="G191" s="65">
        <v>500000</v>
      </c>
      <c r="H191" s="149">
        <v>-1</v>
      </c>
      <c r="I191" s="35">
        <f t="shared" ref="I191:I193" si="20">+ROUNDDOWN(H191*G191/1000,1)</f>
        <v>-500</v>
      </c>
      <c r="J191" s="181"/>
    </row>
    <row r="192" spans="1:23" s="27" customFormat="1" ht="17.75" customHeight="1">
      <c r="A192" s="317" t="s">
        <v>274</v>
      </c>
      <c r="B192" s="433" t="s">
        <v>65</v>
      </c>
      <c r="C192" s="433"/>
      <c r="D192" s="433"/>
      <c r="E192" s="45" t="s">
        <v>54</v>
      </c>
      <c r="F192" s="45" t="s">
        <v>74</v>
      </c>
      <c r="G192" s="65">
        <v>500000</v>
      </c>
      <c r="H192" s="149">
        <v>-1</v>
      </c>
      <c r="I192" s="35">
        <f t="shared" si="20"/>
        <v>-500</v>
      </c>
      <c r="J192" s="181"/>
    </row>
    <row r="193" spans="1:23" s="27" customFormat="1" ht="17.75" customHeight="1">
      <c r="A193" s="317" t="s">
        <v>275</v>
      </c>
      <c r="B193" s="433" t="s">
        <v>65</v>
      </c>
      <c r="C193" s="433"/>
      <c r="D193" s="433"/>
      <c r="E193" s="45" t="s">
        <v>54</v>
      </c>
      <c r="F193" s="45" t="s">
        <v>74</v>
      </c>
      <c r="G193" s="65">
        <v>500000</v>
      </c>
      <c r="H193" s="149">
        <v>-1</v>
      </c>
      <c r="I193" s="35">
        <f t="shared" si="20"/>
        <v>-500</v>
      </c>
      <c r="J193" s="181"/>
    </row>
    <row r="194" spans="1:23" s="3" customFormat="1">
      <c r="A194" s="178" t="s">
        <v>75</v>
      </c>
      <c r="B194" s="178" t="s">
        <v>76</v>
      </c>
      <c r="C194" s="178" t="s">
        <v>77</v>
      </c>
      <c r="D194" s="428" t="s">
        <v>78</v>
      </c>
      <c r="E194" s="429"/>
      <c r="F194" s="429"/>
      <c r="G194" s="429"/>
      <c r="H194" s="430"/>
      <c r="I194" s="179">
        <f>+I195+I201</f>
        <v>-82734.5</v>
      </c>
      <c r="J194" s="180"/>
    </row>
    <row r="195" spans="1:23" s="172" customFormat="1" ht="54.95" customHeight="1">
      <c r="A195" s="169" t="s">
        <v>369</v>
      </c>
      <c r="B195" s="450" t="s">
        <v>296</v>
      </c>
      <c r="C195" s="451"/>
      <c r="D195" s="451"/>
      <c r="E195" s="451"/>
      <c r="F195" s="451"/>
      <c r="G195" s="451"/>
      <c r="H195" s="452"/>
      <c r="I195" s="171">
        <f>+I196+I198</f>
        <v>-130775.90000000001</v>
      </c>
      <c r="J195" s="180"/>
    </row>
    <row r="196" spans="1:23" s="23" customFormat="1" ht="20.95" customHeight="1">
      <c r="A196" s="173"/>
      <c r="B196" s="329" t="s">
        <v>79</v>
      </c>
      <c r="C196" s="426"/>
      <c r="D196" s="330"/>
      <c r="E196" s="71"/>
      <c r="F196" s="71"/>
      <c r="G196" s="71"/>
      <c r="H196" s="174"/>
      <c r="I196" s="72">
        <f>+I197</f>
        <v>-126231.6</v>
      </c>
      <c r="J196" s="180"/>
    </row>
    <row r="197" spans="1:23" s="76" customFormat="1">
      <c r="A197" s="313" t="s">
        <v>220</v>
      </c>
      <c r="B197" s="431" t="s">
        <v>178</v>
      </c>
      <c r="C197" s="431"/>
      <c r="D197" s="431"/>
      <c r="E197" s="175" t="s">
        <v>100</v>
      </c>
      <c r="F197" s="314" t="s">
        <v>74</v>
      </c>
      <c r="G197" s="73">
        <v>126231600</v>
      </c>
      <c r="H197" s="149">
        <v>-1</v>
      </c>
      <c r="I197" s="35">
        <f t="shared" ref="I197" si="21">+ROUNDDOWN(H197*G197/1000,1)</f>
        <v>-126231.6</v>
      </c>
      <c r="J197" s="181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</row>
    <row r="198" spans="1:23" s="44" customFormat="1" ht="20.95" customHeight="1">
      <c r="A198" s="316"/>
      <c r="B198" s="329" t="s">
        <v>53</v>
      </c>
      <c r="C198" s="426"/>
      <c r="D198" s="427"/>
      <c r="E198" s="71" t="s">
        <v>80</v>
      </c>
      <c r="F198" s="71" t="s">
        <v>80</v>
      </c>
      <c r="G198" s="71" t="s">
        <v>80</v>
      </c>
      <c r="H198" s="78"/>
      <c r="I198" s="72">
        <f>SUM(I199:I200)</f>
        <v>-4544.3</v>
      </c>
      <c r="J198" s="181"/>
    </row>
    <row r="199" spans="1:23" s="44" customFormat="1">
      <c r="A199" s="316" t="s">
        <v>101</v>
      </c>
      <c r="B199" s="432" t="s">
        <v>61</v>
      </c>
      <c r="C199" s="432"/>
      <c r="D199" s="432"/>
      <c r="E199" s="45" t="s">
        <v>54</v>
      </c>
      <c r="F199" s="45" t="s">
        <v>52</v>
      </c>
      <c r="G199" s="65">
        <v>3786900</v>
      </c>
      <c r="H199" s="149">
        <v>-1</v>
      </c>
      <c r="I199" s="35">
        <f t="shared" ref="I199:I200" si="22">+ROUNDDOWN(H199*G199/1000,1)</f>
        <v>-3786.9</v>
      </c>
      <c r="J199" s="181"/>
    </row>
    <row r="200" spans="1:23" s="44" customFormat="1">
      <c r="A200" s="316" t="s">
        <v>102</v>
      </c>
      <c r="B200" s="432" t="s">
        <v>62</v>
      </c>
      <c r="C200" s="432"/>
      <c r="D200" s="432"/>
      <c r="E200" s="45" t="s">
        <v>55</v>
      </c>
      <c r="F200" s="45" t="s">
        <v>52</v>
      </c>
      <c r="G200" s="65">
        <v>757400</v>
      </c>
      <c r="H200" s="149">
        <v>-1</v>
      </c>
      <c r="I200" s="35">
        <f t="shared" si="22"/>
        <v>-757.4</v>
      </c>
      <c r="J200" s="181"/>
    </row>
    <row r="201" spans="1:23" s="172" customFormat="1" ht="54.95" customHeight="1">
      <c r="A201" s="169" t="s">
        <v>283</v>
      </c>
      <c r="B201" s="450" t="s">
        <v>284</v>
      </c>
      <c r="C201" s="451"/>
      <c r="D201" s="451"/>
      <c r="E201" s="451"/>
      <c r="F201" s="451"/>
      <c r="G201" s="451"/>
      <c r="H201" s="452"/>
      <c r="I201" s="171">
        <f>+I202+I206</f>
        <v>48041.4</v>
      </c>
      <c r="J201" s="180"/>
    </row>
    <row r="202" spans="1:23" s="23" customFormat="1" ht="20.95" customHeight="1">
      <c r="A202" s="173"/>
      <c r="B202" s="329" t="s">
        <v>79</v>
      </c>
      <c r="C202" s="426"/>
      <c r="D202" s="330"/>
      <c r="E202" s="71"/>
      <c r="F202" s="71"/>
      <c r="G202" s="71"/>
      <c r="H202" s="174"/>
      <c r="I202" s="72">
        <f>SUM(I203:I205)</f>
        <v>46146.9</v>
      </c>
      <c r="J202" s="180"/>
    </row>
    <row r="203" spans="1:23" s="76" customFormat="1" ht="17.75" customHeight="1">
      <c r="A203" s="313">
        <v>45451700</v>
      </c>
      <c r="B203" s="432" t="s">
        <v>285</v>
      </c>
      <c r="C203" s="432"/>
      <c r="D203" s="432"/>
      <c r="E203" s="45" t="s">
        <v>286</v>
      </c>
      <c r="F203" s="314" t="s">
        <v>74</v>
      </c>
      <c r="G203" s="73">
        <v>38923500</v>
      </c>
      <c r="H203" s="74">
        <v>1</v>
      </c>
      <c r="I203" s="35">
        <f t="shared" ref="I203:I205" si="23">+ROUNDUP(H203*G203/1000,1)</f>
        <v>38923.5</v>
      </c>
      <c r="J203" s="181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</row>
    <row r="204" spans="1:23" s="76" customFormat="1" ht="17.75" customHeight="1">
      <c r="A204" s="313">
        <v>45451700</v>
      </c>
      <c r="B204" s="432" t="s">
        <v>285</v>
      </c>
      <c r="C204" s="432"/>
      <c r="D204" s="432"/>
      <c r="E204" s="45" t="s">
        <v>286</v>
      </c>
      <c r="F204" s="314" t="s">
        <v>74</v>
      </c>
      <c r="G204" s="73">
        <v>3516300</v>
      </c>
      <c r="H204" s="74">
        <v>1</v>
      </c>
      <c r="I204" s="35">
        <f t="shared" si="23"/>
        <v>3516.3</v>
      </c>
      <c r="J204" s="181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</row>
    <row r="205" spans="1:23" s="76" customFormat="1" ht="17.75" customHeight="1">
      <c r="A205" s="313">
        <v>45451700</v>
      </c>
      <c r="B205" s="432" t="s">
        <v>285</v>
      </c>
      <c r="C205" s="432"/>
      <c r="D205" s="432"/>
      <c r="E205" s="45" t="s">
        <v>286</v>
      </c>
      <c r="F205" s="314" t="s">
        <v>74</v>
      </c>
      <c r="G205" s="73">
        <v>3707100</v>
      </c>
      <c r="H205" s="74">
        <v>1</v>
      </c>
      <c r="I205" s="35">
        <f t="shared" si="23"/>
        <v>3707.1</v>
      </c>
      <c r="J205" s="181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</row>
    <row r="206" spans="1:23" s="44" customFormat="1" ht="20.95" customHeight="1">
      <c r="A206" s="316"/>
      <c r="B206" s="329" t="s">
        <v>53</v>
      </c>
      <c r="C206" s="426"/>
      <c r="D206" s="427"/>
      <c r="E206" s="71" t="s">
        <v>80</v>
      </c>
      <c r="F206" s="71" t="s">
        <v>80</v>
      </c>
      <c r="G206" s="71" t="s">
        <v>80</v>
      </c>
      <c r="H206" s="78"/>
      <c r="I206" s="72">
        <f>SUM(I207:I213)</f>
        <v>1894.5</v>
      </c>
      <c r="J206" s="181"/>
    </row>
    <row r="207" spans="1:23" s="44" customFormat="1">
      <c r="A207" s="316" t="s">
        <v>287</v>
      </c>
      <c r="B207" s="432" t="s">
        <v>61</v>
      </c>
      <c r="C207" s="432"/>
      <c r="D207" s="432"/>
      <c r="E207" s="45" t="s">
        <v>54</v>
      </c>
      <c r="F207" s="45" t="s">
        <v>52</v>
      </c>
      <c r="G207" s="65"/>
      <c r="H207" s="74"/>
      <c r="I207" s="35">
        <v>1397.6</v>
      </c>
      <c r="J207" s="181"/>
    </row>
    <row r="208" spans="1:23" s="44" customFormat="1">
      <c r="A208" s="316" t="s">
        <v>291</v>
      </c>
      <c r="B208" s="432" t="s">
        <v>61</v>
      </c>
      <c r="C208" s="432"/>
      <c r="D208" s="432"/>
      <c r="E208" s="45" t="s">
        <v>54</v>
      </c>
      <c r="F208" s="45" t="s">
        <v>52</v>
      </c>
      <c r="G208" s="65"/>
      <c r="H208" s="74"/>
      <c r="I208" s="35">
        <v>66.2</v>
      </c>
      <c r="J208" s="181"/>
    </row>
    <row r="209" spans="1:10" s="44" customFormat="1">
      <c r="A209" s="316" t="s">
        <v>294</v>
      </c>
      <c r="B209" s="432" t="s">
        <v>61</v>
      </c>
      <c r="C209" s="432"/>
      <c r="D209" s="432"/>
      <c r="E209" s="45" t="s">
        <v>54</v>
      </c>
      <c r="F209" s="45" t="s">
        <v>52</v>
      </c>
      <c r="G209" s="65"/>
      <c r="H209" s="74"/>
      <c r="I209" s="35">
        <v>64.2</v>
      </c>
      <c r="J209" s="181"/>
    </row>
    <row r="210" spans="1:10" s="44" customFormat="1">
      <c r="A210" s="316" t="s">
        <v>288</v>
      </c>
      <c r="B210" s="432" t="s">
        <v>62</v>
      </c>
      <c r="C210" s="432"/>
      <c r="D210" s="432"/>
      <c r="E210" s="45" t="s">
        <v>55</v>
      </c>
      <c r="F210" s="45" t="s">
        <v>52</v>
      </c>
      <c r="G210" s="65"/>
      <c r="H210" s="74"/>
      <c r="I210" s="35">
        <v>195</v>
      </c>
      <c r="J210" s="181"/>
    </row>
    <row r="211" spans="1:10" s="44" customFormat="1">
      <c r="A211" s="316" t="s">
        <v>292</v>
      </c>
      <c r="B211" s="432" t="s">
        <v>62</v>
      </c>
      <c r="C211" s="432"/>
      <c r="D211" s="432"/>
      <c r="E211" s="45" t="s">
        <v>55</v>
      </c>
      <c r="F211" s="45" t="s">
        <v>52</v>
      </c>
      <c r="G211" s="65"/>
      <c r="H211" s="74"/>
      <c r="I211" s="35">
        <v>20.399999999999999</v>
      </c>
      <c r="J211" s="181"/>
    </row>
    <row r="212" spans="1:10" s="44" customFormat="1">
      <c r="A212" s="316" t="s">
        <v>295</v>
      </c>
      <c r="B212" s="432" t="s">
        <v>62</v>
      </c>
      <c r="C212" s="432"/>
      <c r="D212" s="432"/>
      <c r="E212" s="45" t="s">
        <v>55</v>
      </c>
      <c r="F212" s="45" t="s">
        <v>52</v>
      </c>
      <c r="G212" s="65"/>
      <c r="H212" s="74"/>
      <c r="I212" s="35">
        <v>20.5</v>
      </c>
      <c r="J212" s="181"/>
    </row>
    <row r="213" spans="1:10" s="44" customFormat="1" ht="18" customHeight="1">
      <c r="A213" s="316">
        <v>71311360</v>
      </c>
      <c r="B213" s="420" t="s">
        <v>371</v>
      </c>
      <c r="C213" s="421"/>
      <c r="D213" s="422"/>
      <c r="E213" s="45" t="s">
        <v>54</v>
      </c>
      <c r="F213" s="45" t="s">
        <v>52</v>
      </c>
      <c r="G213" s="65">
        <v>130536</v>
      </c>
      <c r="H213" s="77">
        <v>1</v>
      </c>
      <c r="I213" s="72">
        <f>+ROUNDUP(H213*G213/1000,1)</f>
        <v>130.6</v>
      </c>
      <c r="J213" s="181"/>
    </row>
  </sheetData>
  <mergeCells count="211">
    <mergeCell ref="B213:D213"/>
    <mergeCell ref="B195:H195"/>
    <mergeCell ref="B196:D196"/>
    <mergeCell ref="B197:D197"/>
    <mergeCell ref="B198:D198"/>
    <mergeCell ref="B199:D199"/>
    <mergeCell ref="B200:D200"/>
    <mergeCell ref="B193:D193"/>
    <mergeCell ref="B190:D190"/>
    <mergeCell ref="B191:D191"/>
    <mergeCell ref="B192:D192"/>
    <mergeCell ref="B212:D212"/>
    <mergeCell ref="B207:D207"/>
    <mergeCell ref="B210:D210"/>
    <mergeCell ref="B201:H201"/>
    <mergeCell ref="B202:D202"/>
    <mergeCell ref="B203:D203"/>
    <mergeCell ref="B206:D206"/>
    <mergeCell ref="B204:D204"/>
    <mergeCell ref="B208:D208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89:H89"/>
    <mergeCell ref="B81:D81"/>
    <mergeCell ref="B82:D82"/>
    <mergeCell ref="B83:D83"/>
    <mergeCell ref="B84:D84"/>
    <mergeCell ref="B94:D94"/>
    <mergeCell ref="B95:D95"/>
    <mergeCell ref="B96:D96"/>
    <mergeCell ref="B97:D97"/>
    <mergeCell ref="B98:D98"/>
    <mergeCell ref="B85:D85"/>
    <mergeCell ref="B86:D86"/>
    <mergeCell ref="B87:D87"/>
    <mergeCell ref="B88:D88"/>
    <mergeCell ref="B92:D92"/>
    <mergeCell ref="B93:D9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A13:H13"/>
    <mergeCell ref="D14:H14"/>
    <mergeCell ref="B15:H15"/>
    <mergeCell ref="B16:D16"/>
    <mergeCell ref="B53:D53"/>
    <mergeCell ref="B44:D44"/>
    <mergeCell ref="B45:D45"/>
    <mergeCell ref="B17:D17"/>
    <mergeCell ref="B18:D18"/>
    <mergeCell ref="B46:D46"/>
    <mergeCell ref="B47:D47"/>
    <mergeCell ref="B48:D48"/>
    <mergeCell ref="B49:D49"/>
    <mergeCell ref="B50:D50"/>
    <mergeCell ref="B51:D51"/>
    <mergeCell ref="B52:D52"/>
    <mergeCell ref="B23:D23"/>
    <mergeCell ref="B34:D34"/>
    <mergeCell ref="B35:D35"/>
    <mergeCell ref="B36:D36"/>
    <mergeCell ref="B25:D25"/>
    <mergeCell ref="B26:D26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44:D144"/>
    <mergeCell ref="B141:D141"/>
    <mergeCell ref="B133:D133"/>
    <mergeCell ref="B142:D142"/>
    <mergeCell ref="B131:D131"/>
    <mergeCell ref="B140:D140"/>
    <mergeCell ref="B139:D139"/>
    <mergeCell ref="B121:D121"/>
    <mergeCell ref="B122:D122"/>
    <mergeCell ref="B124:D124"/>
    <mergeCell ref="B143:D143"/>
    <mergeCell ref="B166:D166"/>
    <mergeCell ref="B167:D167"/>
    <mergeCell ref="B168:D168"/>
    <mergeCell ref="B163:D163"/>
    <mergeCell ref="B174:D174"/>
    <mergeCell ref="B159:D159"/>
    <mergeCell ref="B152:D152"/>
    <mergeCell ref="B154:D154"/>
    <mergeCell ref="B182:D182"/>
    <mergeCell ref="B180:D180"/>
    <mergeCell ref="B181:D181"/>
    <mergeCell ref="B175:D17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08:H108"/>
    <mergeCell ref="B113:D113"/>
    <mergeCell ref="D114:H114"/>
    <mergeCell ref="B120:D120"/>
    <mergeCell ref="B115:H115"/>
    <mergeCell ref="B117:D117"/>
    <mergeCell ref="B116:D116"/>
    <mergeCell ref="B128:D128"/>
    <mergeCell ref="B125:D125"/>
    <mergeCell ref="B126:D126"/>
    <mergeCell ref="B127:D127"/>
    <mergeCell ref="B19:D19"/>
    <mergeCell ref="B20:D20"/>
    <mergeCell ref="B37:D37"/>
    <mergeCell ref="B38:D38"/>
    <mergeCell ref="B39:D39"/>
    <mergeCell ref="B40:D40"/>
    <mergeCell ref="B41:D41"/>
    <mergeCell ref="B42:D42"/>
    <mergeCell ref="B43:D43"/>
    <mergeCell ref="B21:D21"/>
    <mergeCell ref="B22:D22"/>
    <mergeCell ref="B24:D24"/>
    <mergeCell ref="B27:D27"/>
    <mergeCell ref="B28:D28"/>
    <mergeCell ref="B29:D29"/>
    <mergeCell ref="B30:D30"/>
    <mergeCell ref="B31:D31"/>
    <mergeCell ref="B32:D32"/>
    <mergeCell ref="B33:D33"/>
    <mergeCell ref="D145:H145"/>
    <mergeCell ref="B146:H146"/>
    <mergeCell ref="B138:D138"/>
    <mergeCell ref="B132:D132"/>
    <mergeCell ref="B110:H110"/>
    <mergeCell ref="B111:D111"/>
    <mergeCell ref="B112:D112"/>
    <mergeCell ref="B119:D119"/>
    <mergeCell ref="B130:D130"/>
    <mergeCell ref="B134:D134"/>
    <mergeCell ref="B135:D135"/>
    <mergeCell ref="B123:D123"/>
    <mergeCell ref="B136:D136"/>
    <mergeCell ref="B137:D137"/>
    <mergeCell ref="D109:H109"/>
    <mergeCell ref="B129:D129"/>
    <mergeCell ref="B118:D118"/>
    <mergeCell ref="B150:D150"/>
    <mergeCell ref="B153:D153"/>
    <mergeCell ref="B147:D147"/>
    <mergeCell ref="B148:D148"/>
    <mergeCell ref="B179:D179"/>
    <mergeCell ref="B177:D177"/>
    <mergeCell ref="B176:D176"/>
    <mergeCell ref="B156:D156"/>
    <mergeCell ref="B157:D157"/>
    <mergeCell ref="B149:D149"/>
    <mergeCell ref="B158:D158"/>
    <mergeCell ref="B151:D151"/>
    <mergeCell ref="B155:D155"/>
    <mergeCell ref="B160:D160"/>
    <mergeCell ref="B170:D170"/>
    <mergeCell ref="B162:D162"/>
    <mergeCell ref="B164:D164"/>
    <mergeCell ref="B173:D173"/>
    <mergeCell ref="B169:D169"/>
    <mergeCell ref="B171:D171"/>
    <mergeCell ref="B178:D178"/>
    <mergeCell ref="B161:D161"/>
    <mergeCell ref="B172:D172"/>
    <mergeCell ref="B165:D165"/>
    <mergeCell ref="B183:D183"/>
    <mergeCell ref="B184:H184"/>
    <mergeCell ref="B187:D187"/>
    <mergeCell ref="D194:H194"/>
    <mergeCell ref="B185:D185"/>
    <mergeCell ref="B186:D186"/>
    <mergeCell ref="B188:D188"/>
    <mergeCell ref="B189:D189"/>
    <mergeCell ref="B211:D211"/>
    <mergeCell ref="B205:D205"/>
    <mergeCell ref="B209:D209"/>
  </mergeCells>
  <phoneticPr fontId="9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https://mul2.gov.am/tasks/1183759/oneclick?token=5cf8e5665f751a54afa11558bc4a3382</cp:keywords>
  <cp:lastModifiedBy>User</cp:lastModifiedBy>
  <cp:lastPrinted>2025-05-23T06:45:41Z</cp:lastPrinted>
  <dcterms:created xsi:type="dcterms:W3CDTF">2022-01-04T07:12:58Z</dcterms:created>
  <dcterms:modified xsi:type="dcterms:W3CDTF">2025-07-14T12:00:22Z</dcterms:modified>
</cp:coreProperties>
</file>