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0" yWindow="0" windowWidth="28800" windowHeight="9780" tabRatio="847" activeTab="2"/>
  </bookViews>
  <sheets>
    <sheet name="Հավելված N 1" sheetId="65" r:id="rId1"/>
    <sheet name="Հավելված N 2" sheetId="32" r:id="rId2"/>
    <sheet name="Հավելված N 3" sheetId="55" r:id="rId3"/>
    <sheet name="Հավելված N 4" sheetId="56" r:id="rId4"/>
    <sheet name="Հավելված N 5" sheetId="73" r:id="rId5"/>
    <sheet name="Հավելված N 6" sheetId="74" r:id="rId6"/>
    <sheet name="Հավելված N 7" sheetId="54" r:id="rId7"/>
  </sheets>
  <definedNames>
    <definedName name="a" localSheetId="0">#REF!</definedName>
    <definedName name="a" localSheetId="5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5">#REF!</definedName>
    <definedName name="AgencyCode" localSheetId="6">#REF!</definedName>
    <definedName name="AgencyCode">#REF!</definedName>
    <definedName name="AgencyName" localSheetId="1">#REF!</definedName>
    <definedName name="AgencyName" localSheetId="5">#REF!</definedName>
    <definedName name="AgencyName">#REF!</definedName>
    <definedName name="åû" localSheetId="5">#REF!</definedName>
    <definedName name="åû">#REF!</definedName>
    <definedName name="davit" localSheetId="5">#REF!</definedName>
    <definedName name="davit">#REF!</definedName>
    <definedName name="Functional1" localSheetId="1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mas" localSheetId="5">#REF!</definedName>
    <definedName name="mas">#REF!</definedName>
    <definedName name="mass" localSheetId="5">#REF!</definedName>
    <definedName name="mass">#REF!</definedName>
    <definedName name="PANature" localSheetId="1">#REF!</definedName>
    <definedName name="PANature" localSheetId="5">#REF!</definedName>
    <definedName name="PANature">#REF!</definedName>
    <definedName name="PAType" localSheetId="1">#REF!</definedName>
    <definedName name="PAType" localSheetId="5">#REF!</definedName>
    <definedName name="PAType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5">#REF!</definedName>
    <definedName name="PerformanceType">#REF!</definedName>
    <definedName name="x" localSheetId="5">#REF!</definedName>
    <definedName name="x">#REF!</definedName>
    <definedName name="Հավելված" localSheetId="5">#REF!</definedName>
    <definedName name="Հավելված">#REF!</definedName>
    <definedName name="Հավելված10" localSheetId="5">#REF!</definedName>
    <definedName name="Հավելված10">#REF!</definedName>
    <definedName name="Հավելված11" localSheetId="5">#REF!</definedName>
    <definedName name="Հավելված11">#REF!</definedName>
    <definedName name="Հավելված20" localSheetId="5">#REF!</definedName>
    <definedName name="Հավելված20">#REF!</definedName>
    <definedName name="Հավելված9" localSheetId="5">#REF!</definedName>
    <definedName name="Հավելված9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109" i="56" l="1"/>
  <c r="E93" i="56"/>
  <c r="F109" i="56"/>
  <c r="E109" i="56"/>
  <c r="E107" i="56" s="1"/>
  <c r="G93" i="56"/>
  <c r="G92" i="56"/>
  <c r="G91" i="56"/>
  <c r="F93" i="56"/>
  <c r="F92" i="56"/>
  <c r="F91" i="56"/>
  <c r="E92" i="56"/>
  <c r="E91" i="56"/>
  <c r="G77" i="56"/>
  <c r="F77" i="56"/>
  <c r="E77" i="56"/>
  <c r="H51" i="32" l="1"/>
  <c r="H50" i="32" s="1"/>
  <c r="H49" i="32" s="1"/>
  <c r="H48" i="32" s="1"/>
  <c r="H47" i="32" s="1"/>
  <c r="H45" i="32" s="1"/>
  <c r="I51" i="32"/>
  <c r="I50" i="32" s="1"/>
  <c r="I49" i="32" s="1"/>
  <c r="I48" i="32" s="1"/>
  <c r="I47" i="32" s="1"/>
  <c r="I45" i="32" s="1"/>
  <c r="J51" i="32"/>
  <c r="J50" i="32" s="1"/>
  <c r="J49" i="32" s="1"/>
  <c r="J48" i="32" s="1"/>
  <c r="J47" i="32" s="1"/>
  <c r="J45" i="32" s="1"/>
  <c r="G51" i="32"/>
  <c r="G50" i="32" s="1"/>
  <c r="G49" i="32" s="1"/>
  <c r="G48" i="32" s="1"/>
  <c r="I93" i="32"/>
  <c r="I92" i="32" s="1"/>
  <c r="G145" i="32"/>
  <c r="G144" i="32" s="1"/>
  <c r="G134" i="32"/>
  <c r="G133" i="32" s="1"/>
  <c r="G121" i="32"/>
  <c r="G120" i="32" s="1"/>
  <c r="G84" i="32"/>
  <c r="G64" i="32"/>
  <c r="I43" i="32" l="1"/>
  <c r="L15" i="74"/>
  <c r="L14" i="74" s="1"/>
  <c r="H43" i="32"/>
  <c r="K15" i="74"/>
  <c r="K14" i="74" s="1"/>
  <c r="J43" i="32"/>
  <c r="M15" i="74"/>
  <c r="M14" i="74" s="1"/>
  <c r="G47" i="32"/>
  <c r="G45" i="32" s="1"/>
  <c r="G93" i="32"/>
  <c r="G92" i="32" s="1"/>
  <c r="G91" i="32" s="1"/>
  <c r="G90" i="32" s="1"/>
  <c r="G89" i="32" s="1"/>
  <c r="G87" i="32" s="1"/>
  <c r="J93" i="32"/>
  <c r="J92" i="32" s="1"/>
  <c r="J91" i="32" s="1"/>
  <c r="J90" i="32" s="1"/>
  <c r="J89" i="32" s="1"/>
  <c r="J87" i="32" s="1"/>
  <c r="H93" i="32"/>
  <c r="H92" i="32" s="1"/>
  <c r="H91" i="32" s="1"/>
  <c r="H90" i="32" s="1"/>
  <c r="H89" i="32" s="1"/>
  <c r="H87" i="32" s="1"/>
  <c r="I91" i="32"/>
  <c r="I90" i="32" s="1"/>
  <c r="I89" i="32" s="1"/>
  <c r="I87" i="32" s="1"/>
  <c r="G43" i="32" l="1"/>
  <c r="J15" i="74"/>
  <c r="J14" i="74" s="1"/>
  <c r="H85" i="32"/>
  <c r="H29" i="65" s="1"/>
  <c r="K72" i="73" s="1"/>
  <c r="K21" i="74"/>
  <c r="K20" i="74" s="1"/>
  <c r="K13" i="74" s="1"/>
  <c r="G85" i="32"/>
  <c r="G29" i="65" s="1"/>
  <c r="J72" i="73" s="1"/>
  <c r="J21" i="74"/>
  <c r="J20" i="74" s="1"/>
  <c r="I85" i="32"/>
  <c r="I29" i="65" s="1"/>
  <c r="L72" i="73" s="1"/>
  <c r="L21" i="74"/>
  <c r="L20" i="74" s="1"/>
  <c r="L13" i="74" s="1"/>
  <c r="H23" i="65"/>
  <c r="H41" i="32"/>
  <c r="J85" i="32"/>
  <c r="J29" i="65" s="1"/>
  <c r="M72" i="73" s="1"/>
  <c r="M21" i="74"/>
  <c r="M20" i="74" s="1"/>
  <c r="M13" i="74" s="1"/>
  <c r="J23" i="65"/>
  <c r="J41" i="32"/>
  <c r="I23" i="65"/>
  <c r="I41" i="32"/>
  <c r="H56" i="56"/>
  <c r="G56" i="56"/>
  <c r="F56" i="56"/>
  <c r="E56" i="56"/>
  <c r="F122" i="56"/>
  <c r="G122" i="56"/>
  <c r="H122" i="56"/>
  <c r="E122" i="56"/>
  <c r="J22" i="65" l="1"/>
  <c r="M41" i="73"/>
  <c r="M40" i="73" s="1"/>
  <c r="H22" i="65"/>
  <c r="K41" i="73"/>
  <c r="K40" i="73" s="1"/>
  <c r="I22" i="65"/>
  <c r="L41" i="73"/>
  <c r="L40" i="73" s="1"/>
  <c r="J13" i="74"/>
  <c r="G23" i="65"/>
  <c r="G41" i="32"/>
  <c r="I57" i="54"/>
  <c r="E78" i="55"/>
  <c r="E71" i="55"/>
  <c r="E18" i="55"/>
  <c r="E17" i="55" s="1"/>
  <c r="E15" i="55" s="1"/>
  <c r="D36" i="56"/>
  <c r="F31" i="55"/>
  <c r="H31" i="55"/>
  <c r="E31" i="55"/>
  <c r="G32" i="55"/>
  <c r="G31" i="55" s="1"/>
  <c r="I91" i="54"/>
  <c r="E54" i="56"/>
  <c r="E52" i="56"/>
  <c r="E50" i="56"/>
  <c r="G37" i="55"/>
  <c r="H37" i="55"/>
  <c r="E37" i="55"/>
  <c r="G41" i="55"/>
  <c r="H41" i="55"/>
  <c r="E41" i="55"/>
  <c r="H44" i="55"/>
  <c r="G44" i="55"/>
  <c r="E44" i="55"/>
  <c r="H46" i="55"/>
  <c r="F46" i="55"/>
  <c r="E46" i="55"/>
  <c r="F48" i="55"/>
  <c r="H48" i="55"/>
  <c r="E48" i="55"/>
  <c r="D55" i="56"/>
  <c r="I113" i="54"/>
  <c r="I111" i="54"/>
  <c r="G49" i="55" s="1"/>
  <c r="G48" i="55" s="1"/>
  <c r="I112" i="54"/>
  <c r="I110" i="54"/>
  <c r="E51" i="56"/>
  <c r="I99" i="54"/>
  <c r="I105" i="54"/>
  <c r="D49" i="56"/>
  <c r="I106" i="54"/>
  <c r="I100" i="54"/>
  <c r="E45" i="56"/>
  <c r="I95" i="54"/>
  <c r="I98" i="54"/>
  <c r="F28" i="55"/>
  <c r="F26" i="55" s="1"/>
  <c r="G28" i="55"/>
  <c r="H28" i="55"/>
  <c r="F33" i="55"/>
  <c r="G33" i="55"/>
  <c r="H33" i="55"/>
  <c r="I73" i="54"/>
  <c r="I71" i="54"/>
  <c r="E18" i="56"/>
  <c r="E17" i="56" s="1"/>
  <c r="E15" i="56" s="1"/>
  <c r="G110" i="32" s="1"/>
  <c r="G109" i="32" s="1"/>
  <c r="G108" i="32" s="1"/>
  <c r="G107" i="32" s="1"/>
  <c r="G106" i="32" s="1"/>
  <c r="G104" i="32" s="1"/>
  <c r="F18" i="56"/>
  <c r="F17" i="56" s="1"/>
  <c r="F15" i="56" s="1"/>
  <c r="G18" i="56"/>
  <c r="G17" i="56" s="1"/>
  <c r="G15" i="56" s="1"/>
  <c r="D18" i="56"/>
  <c r="F17" i="55"/>
  <c r="F15" i="55" s="1"/>
  <c r="G17" i="55"/>
  <c r="G15" i="55" s="1"/>
  <c r="H17" i="55"/>
  <c r="H15" i="55" s="1"/>
  <c r="F24" i="55"/>
  <c r="G24" i="55"/>
  <c r="H24" i="55"/>
  <c r="D27" i="56"/>
  <c r="D25" i="56"/>
  <c r="I79" i="54"/>
  <c r="H26" i="55" l="1"/>
  <c r="F13" i="56"/>
  <c r="H110" i="32"/>
  <c r="H109" i="32" s="1"/>
  <c r="H108" i="32" s="1"/>
  <c r="H107" i="32" s="1"/>
  <c r="H106" i="32" s="1"/>
  <c r="H104" i="32" s="1"/>
  <c r="G26" i="55"/>
  <c r="G22" i="65"/>
  <c r="J41" i="73"/>
  <c r="J40" i="73" s="1"/>
  <c r="G102" i="32"/>
  <c r="G17" i="65" s="1"/>
  <c r="J28" i="74"/>
  <c r="E35" i="55"/>
  <c r="H35" i="55"/>
  <c r="G13" i="56"/>
  <c r="I110" i="32"/>
  <c r="I109" i="32" s="1"/>
  <c r="I108" i="32" s="1"/>
  <c r="I107" i="32" s="1"/>
  <c r="I106" i="32" s="1"/>
  <c r="I104" i="32" s="1"/>
  <c r="G47" i="55"/>
  <c r="G46" i="55" s="1"/>
  <c r="G35" i="55" s="1"/>
  <c r="D32" i="55"/>
  <c r="H36" i="56" s="1"/>
  <c r="E25" i="55"/>
  <c r="E24" i="55" s="1"/>
  <c r="D24" i="55" s="1"/>
  <c r="E35" i="56"/>
  <c r="D49" i="55"/>
  <c r="H55" i="56" s="1"/>
  <c r="D48" i="55"/>
  <c r="I70" i="54"/>
  <c r="F39" i="55"/>
  <c r="F21" i="55"/>
  <c r="F19" i="55" s="1"/>
  <c r="H21" i="55"/>
  <c r="H19" i="55" s="1"/>
  <c r="I84" i="54"/>
  <c r="I83" i="54"/>
  <c r="F24" i="56"/>
  <c r="E24" i="56"/>
  <c r="G36" i="56" l="1"/>
  <c r="J134" i="32"/>
  <c r="J133" i="32" s="1"/>
  <c r="I102" i="32"/>
  <c r="I17" i="65" s="1"/>
  <c r="L28" i="74"/>
  <c r="H35" i="56"/>
  <c r="J15" i="73"/>
  <c r="H102" i="32"/>
  <c r="H17" i="65" s="1"/>
  <c r="K28" i="74"/>
  <c r="E23" i="56"/>
  <c r="D25" i="55"/>
  <c r="H27" i="56" s="1"/>
  <c r="E27" i="56" s="1"/>
  <c r="F36" i="56"/>
  <c r="G55" i="56"/>
  <c r="G54" i="56" s="1"/>
  <c r="H54" i="56"/>
  <c r="F55" i="56"/>
  <c r="F54" i="56" s="1"/>
  <c r="G23" i="55"/>
  <c r="D23" i="55" s="1"/>
  <c r="H25" i="56" s="1"/>
  <c r="H26" i="56"/>
  <c r="F27" i="56" l="1"/>
  <c r="F26" i="56" s="1"/>
  <c r="G27" i="56"/>
  <c r="G26" i="56" s="1"/>
  <c r="E26" i="56"/>
  <c r="E21" i="56" s="1"/>
  <c r="G119" i="32"/>
  <c r="K15" i="73"/>
  <c r="F35" i="56"/>
  <c r="H134" i="32"/>
  <c r="H133" i="32" s="1"/>
  <c r="G35" i="56"/>
  <c r="I134" i="32"/>
  <c r="I133" i="32" s="1"/>
  <c r="G25" i="56"/>
  <c r="I121" i="32" s="1"/>
  <c r="I120" i="32" s="1"/>
  <c r="J121" i="32"/>
  <c r="J120" i="32" s="1"/>
  <c r="L15" i="73"/>
  <c r="G21" i="55"/>
  <c r="G19" i="55" s="1"/>
  <c r="F25" i="56"/>
  <c r="H119" i="32" l="1"/>
  <c r="F23" i="56"/>
  <c r="F21" i="56" s="1"/>
  <c r="H121" i="32"/>
  <c r="H120" i="32" s="1"/>
  <c r="F92" i="55"/>
  <c r="G92" i="55"/>
  <c r="H92" i="55"/>
  <c r="G117" i="56"/>
  <c r="G116" i="56"/>
  <c r="F117" i="56"/>
  <c r="F116" i="56"/>
  <c r="E117" i="56"/>
  <c r="E116" i="56"/>
  <c r="D117" i="56"/>
  <c r="D116" i="56"/>
  <c r="I54" i="54"/>
  <c r="I55" i="54"/>
  <c r="I59" i="54"/>
  <c r="I58" i="54"/>
  <c r="E115" i="56"/>
  <c r="F115" i="56"/>
  <c r="G115" i="56"/>
  <c r="I82" i="32" s="1"/>
  <c r="D115" i="56"/>
  <c r="I53" i="54"/>
  <c r="E93" i="55" s="1"/>
  <c r="G82" i="32" l="1"/>
  <c r="G81" i="32" s="1"/>
  <c r="H82" i="32"/>
  <c r="H81" i="32" s="1"/>
  <c r="G114" i="56"/>
  <c r="I81" i="32"/>
  <c r="E94" i="55"/>
  <c r="D94" i="55" s="1"/>
  <c r="H116" i="56" s="1"/>
  <c r="E114" i="56"/>
  <c r="D93" i="55"/>
  <c r="H115" i="56" s="1"/>
  <c r="E95" i="55"/>
  <c r="F114" i="56"/>
  <c r="I52" i="54"/>
  <c r="E92" i="55" l="1"/>
  <c r="D92" i="55" s="1"/>
  <c r="I64" i="54" l="1"/>
  <c r="G99" i="55" s="1"/>
  <c r="D99" i="55" s="1"/>
  <c r="H121" i="56" s="1"/>
  <c r="H98" i="55"/>
  <c r="F98" i="55"/>
  <c r="E98" i="55"/>
  <c r="D121" i="56"/>
  <c r="E120" i="56"/>
  <c r="E101" i="56"/>
  <c r="E99" i="56" s="1"/>
  <c r="D102" i="56"/>
  <c r="I50" i="54"/>
  <c r="I49" i="54"/>
  <c r="H82" i="55"/>
  <c r="H80" i="55" s="1"/>
  <c r="F82" i="55"/>
  <c r="F80" i="55" s="1"/>
  <c r="E82" i="55"/>
  <c r="E80" i="55" s="1"/>
  <c r="G95" i="56"/>
  <c r="F95" i="56"/>
  <c r="E95" i="56"/>
  <c r="E94" i="56" s="1"/>
  <c r="D95" i="56"/>
  <c r="F77" i="55"/>
  <c r="H77" i="55"/>
  <c r="D78" i="55"/>
  <c r="H95" i="56" s="1"/>
  <c r="I39" i="54"/>
  <c r="F74" i="55"/>
  <c r="G74" i="55"/>
  <c r="H74" i="55"/>
  <c r="F90" i="56"/>
  <c r="E90" i="56"/>
  <c r="D90" i="56"/>
  <c r="I35" i="54"/>
  <c r="I32" i="54"/>
  <c r="G73" i="32" l="1"/>
  <c r="G72" i="32" s="1"/>
  <c r="G71" i="32" s="1"/>
  <c r="G70" i="32" s="1"/>
  <c r="G69" i="32" s="1"/>
  <c r="G67" i="32" s="1"/>
  <c r="G65" i="32" s="1"/>
  <c r="E97" i="56"/>
  <c r="E76" i="55"/>
  <c r="D76" i="55" s="1"/>
  <c r="H90" i="56" s="1"/>
  <c r="G90" i="56" s="1"/>
  <c r="I48" i="54"/>
  <c r="I47" i="54" s="1"/>
  <c r="G83" i="55"/>
  <c r="D83" i="55" s="1"/>
  <c r="H102" i="56" s="1"/>
  <c r="G102" i="56" s="1"/>
  <c r="G101" i="56" s="1"/>
  <c r="G99" i="56" s="1"/>
  <c r="F121" i="56"/>
  <c r="F120" i="56" s="1"/>
  <c r="G121" i="56"/>
  <c r="G120" i="56" s="1"/>
  <c r="H120" i="56"/>
  <c r="G98" i="55"/>
  <c r="D98" i="55" s="1"/>
  <c r="E77" i="55"/>
  <c r="E74" i="55"/>
  <c r="F84" i="56"/>
  <c r="G38" i="54"/>
  <c r="H38" i="54"/>
  <c r="D80" i="56"/>
  <c r="F64" i="55"/>
  <c r="H64" i="55"/>
  <c r="I40" i="54"/>
  <c r="D79" i="56"/>
  <c r="G97" i="56" l="1"/>
  <c r="I73" i="32"/>
  <c r="I72" i="32" s="1"/>
  <c r="I71" i="32" s="1"/>
  <c r="I70" i="32" s="1"/>
  <c r="I69" i="32" s="1"/>
  <c r="I67" i="32" s="1"/>
  <c r="I65" i="32" s="1"/>
  <c r="J68" i="74"/>
  <c r="G27" i="65"/>
  <c r="J61" i="73" s="1"/>
  <c r="I38" i="54"/>
  <c r="F102" i="56"/>
  <c r="F101" i="56" s="1"/>
  <c r="F99" i="56" s="1"/>
  <c r="H101" i="56"/>
  <c r="H99" i="56" s="1"/>
  <c r="G82" i="55"/>
  <c r="G80" i="55" s="1"/>
  <c r="E76" i="56"/>
  <c r="F76" i="56"/>
  <c r="F75" i="56" l="1"/>
  <c r="E75" i="56"/>
  <c r="H97" i="56"/>
  <c r="J73" i="32"/>
  <c r="J72" i="32" s="1"/>
  <c r="J71" i="32" s="1"/>
  <c r="J70" i="32" s="1"/>
  <c r="J69" i="32" s="1"/>
  <c r="J67" i="32" s="1"/>
  <c r="J65" i="32" s="1"/>
  <c r="F97" i="56"/>
  <c r="H73" i="32"/>
  <c r="H72" i="32" s="1"/>
  <c r="H71" i="32" s="1"/>
  <c r="H70" i="32" s="1"/>
  <c r="H69" i="32" s="1"/>
  <c r="H67" i="32" s="1"/>
  <c r="H65" i="32" s="1"/>
  <c r="L68" i="74"/>
  <c r="I27" i="65"/>
  <c r="L61" i="73" s="1"/>
  <c r="D82" i="55"/>
  <c r="M68" i="74" l="1"/>
  <c r="J27" i="65"/>
  <c r="M61" i="73" s="1"/>
  <c r="K68" i="74"/>
  <c r="H27" i="65"/>
  <c r="K61" i="73" s="1"/>
  <c r="F70" i="56"/>
  <c r="E70" i="56"/>
  <c r="E69" i="56" s="1"/>
  <c r="D70" i="56"/>
  <c r="D68" i="56"/>
  <c r="F69" i="56" l="1"/>
  <c r="I25" i="54"/>
  <c r="I22" i="54"/>
  <c r="I17" i="54"/>
  <c r="E59" i="55" s="1"/>
  <c r="I24" i="54"/>
  <c r="I21" i="54"/>
  <c r="E57" i="55" s="1"/>
  <c r="I19" i="54"/>
  <c r="E53" i="55" s="1"/>
  <c r="I16" i="54" l="1"/>
  <c r="H58" i="55" l="1"/>
  <c r="G58" i="55"/>
  <c r="F58" i="55"/>
  <c r="H56" i="55"/>
  <c r="G56" i="55"/>
  <c r="F56" i="55"/>
  <c r="D119" i="56" l="1"/>
  <c r="D113" i="56"/>
  <c r="D111" i="56"/>
  <c r="D108" i="56"/>
  <c r="H96" i="55"/>
  <c r="F96" i="55"/>
  <c r="E96" i="55"/>
  <c r="H90" i="55"/>
  <c r="F90" i="55"/>
  <c r="E90" i="55"/>
  <c r="H88" i="55"/>
  <c r="F88" i="55"/>
  <c r="E88" i="55"/>
  <c r="I68" i="54"/>
  <c r="I67" i="54"/>
  <c r="I63" i="54"/>
  <c r="I62" i="54"/>
  <c r="I66" i="54"/>
  <c r="I65" i="54"/>
  <c r="I61" i="54"/>
  <c r="I60" i="54"/>
  <c r="H86" i="55"/>
  <c r="F86" i="55"/>
  <c r="E86" i="55"/>
  <c r="D96" i="56"/>
  <c r="D82" i="56"/>
  <c r="F67" i="55"/>
  <c r="H67" i="55"/>
  <c r="E67" i="55"/>
  <c r="F62" i="55"/>
  <c r="H62" i="55"/>
  <c r="I46" i="54"/>
  <c r="I45" i="54"/>
  <c r="I44" i="54"/>
  <c r="F84" i="55" l="1"/>
  <c r="H84" i="55"/>
  <c r="I56" i="54"/>
  <c r="I51" i="54" s="1"/>
  <c r="E84" i="55"/>
  <c r="G89" i="55"/>
  <c r="D89" i="55" s="1"/>
  <c r="H111" i="56" s="1"/>
  <c r="G97" i="55"/>
  <c r="G96" i="55" s="1"/>
  <c r="D96" i="55" s="1"/>
  <c r="G87" i="55"/>
  <c r="G91" i="55"/>
  <c r="G90" i="55" s="1"/>
  <c r="D90" i="55" s="1"/>
  <c r="D95" i="55" l="1"/>
  <c r="H117" i="56" s="1"/>
  <c r="J82" i="32" s="1"/>
  <c r="D97" i="55"/>
  <c r="H119" i="56" s="1"/>
  <c r="F119" i="56" s="1"/>
  <c r="F118" i="56" s="1"/>
  <c r="D91" i="55"/>
  <c r="H113" i="56" s="1"/>
  <c r="F113" i="56" s="1"/>
  <c r="F112" i="56" s="1"/>
  <c r="G88" i="55"/>
  <c r="D88" i="55" s="1"/>
  <c r="G111" i="56"/>
  <c r="G110" i="56" s="1"/>
  <c r="F111" i="56"/>
  <c r="F110" i="56" s="1"/>
  <c r="E110" i="56"/>
  <c r="H110" i="56"/>
  <c r="I43" i="54"/>
  <c r="G79" i="55" s="1"/>
  <c r="G77" i="55" s="1"/>
  <c r="I42" i="54"/>
  <c r="G68" i="55" s="1"/>
  <c r="D68" i="55" s="1"/>
  <c r="H82" i="56" s="1"/>
  <c r="I41" i="54"/>
  <c r="H114" i="56" l="1"/>
  <c r="J81" i="32"/>
  <c r="H118" i="56"/>
  <c r="G119" i="56"/>
  <c r="G118" i="56" s="1"/>
  <c r="H112" i="56"/>
  <c r="E118" i="56"/>
  <c r="G113" i="56"/>
  <c r="G112" i="56" s="1"/>
  <c r="G62" i="55"/>
  <c r="G65" i="55"/>
  <c r="E112" i="56"/>
  <c r="G82" i="56"/>
  <c r="F82" i="56"/>
  <c r="D79" i="55"/>
  <c r="H96" i="56" s="1"/>
  <c r="H94" i="56" s="1"/>
  <c r="D77" i="55"/>
  <c r="G64" i="55" l="1"/>
  <c r="D65" i="55"/>
  <c r="H79" i="56" s="1"/>
  <c r="J64" i="32" s="1"/>
  <c r="G96" i="56"/>
  <c r="G94" i="56" s="1"/>
  <c r="F96" i="56"/>
  <c r="F94" i="56" s="1"/>
  <c r="G79" i="56" l="1"/>
  <c r="I64" i="32" s="1"/>
  <c r="F79" i="56"/>
  <c r="H64" i="32" s="1"/>
  <c r="D89" i="56"/>
  <c r="D87" i="56"/>
  <c r="D85" i="56"/>
  <c r="D84" i="56"/>
  <c r="D76" i="56"/>
  <c r="D64" i="56"/>
  <c r="D53" i="56"/>
  <c r="D51" i="56"/>
  <c r="D48" i="56"/>
  <c r="D45" i="56"/>
  <c r="D46" i="56"/>
  <c r="D44" i="56"/>
  <c r="D38" i="56"/>
  <c r="D34" i="56"/>
  <c r="D33" i="56"/>
  <c r="G67" i="55" l="1"/>
  <c r="H81" i="56" l="1"/>
  <c r="J63" i="32" l="1"/>
  <c r="E81" i="56"/>
  <c r="F81" i="56"/>
  <c r="H72" i="55"/>
  <c r="G72" i="55"/>
  <c r="F72" i="55"/>
  <c r="F69" i="55"/>
  <c r="F60" i="55" s="1"/>
  <c r="G69" i="55"/>
  <c r="H69" i="55"/>
  <c r="H60" i="55" l="1"/>
  <c r="G60" i="55"/>
  <c r="G81" i="56"/>
  <c r="I63" i="32" s="1"/>
  <c r="H63" i="32"/>
  <c r="G63" i="32"/>
  <c r="I31" i="54"/>
  <c r="E70" i="55" s="1"/>
  <c r="I30" i="54"/>
  <c r="E63" i="55" s="1"/>
  <c r="E62" i="55" l="1"/>
  <c r="I28" i="54"/>
  <c r="D71" i="55"/>
  <c r="H85" i="56" s="1"/>
  <c r="D75" i="55"/>
  <c r="H89" i="56" s="1"/>
  <c r="H88" i="56" s="1"/>
  <c r="D74" i="55"/>
  <c r="D73" i="55"/>
  <c r="H87" i="56" s="1"/>
  <c r="E72" i="55"/>
  <c r="D72" i="55" s="1"/>
  <c r="D70" i="55"/>
  <c r="H84" i="56" s="1"/>
  <c r="E69" i="55" l="1"/>
  <c r="D69" i="55" s="1"/>
  <c r="E85" i="56"/>
  <c r="G85" i="56"/>
  <c r="F85" i="56"/>
  <c r="D67" i="55"/>
  <c r="G87" i="56"/>
  <c r="E87" i="56"/>
  <c r="E86" i="56" s="1"/>
  <c r="F87" i="56"/>
  <c r="G89" i="56"/>
  <c r="G88" i="56" s="1"/>
  <c r="E89" i="56"/>
  <c r="E88" i="56" s="1"/>
  <c r="F89" i="56"/>
  <c r="F88" i="56" s="1"/>
  <c r="G84" i="56"/>
  <c r="I23" i="54"/>
  <c r="I20" i="54"/>
  <c r="E55" i="55" l="1"/>
  <c r="I18" i="54"/>
  <c r="E83" i="56"/>
  <c r="F83" i="56"/>
  <c r="H54" i="55"/>
  <c r="G54" i="55"/>
  <c r="F54" i="55"/>
  <c r="F52" i="55"/>
  <c r="G52" i="55"/>
  <c r="H52" i="55"/>
  <c r="D53" i="55"/>
  <c r="H64" i="56" s="1"/>
  <c r="I108" i="54"/>
  <c r="I107" i="54"/>
  <c r="I101" i="54"/>
  <c r="I109" i="54"/>
  <c r="F40" i="55"/>
  <c r="F42" i="55" l="1"/>
  <c r="G50" i="55"/>
  <c r="H50" i="55"/>
  <c r="H13" i="55" s="1"/>
  <c r="F50" i="55"/>
  <c r="E64" i="56"/>
  <c r="E63" i="56" s="1"/>
  <c r="F64" i="56"/>
  <c r="F63" i="56" s="1"/>
  <c r="G64" i="56"/>
  <c r="G63" i="56" s="1"/>
  <c r="H63" i="56"/>
  <c r="I15" i="54"/>
  <c r="I14" i="54" s="1"/>
  <c r="E52" i="55"/>
  <c r="D40" i="55" l="1"/>
  <c r="H46" i="56" s="1"/>
  <c r="D39" i="55"/>
  <c r="H45" i="56" s="1"/>
  <c r="G46" i="56" l="1"/>
  <c r="E46" i="56"/>
  <c r="F46" i="56"/>
  <c r="G45" i="56"/>
  <c r="F45" i="56"/>
  <c r="I104" i="54"/>
  <c r="I102" i="54"/>
  <c r="I103" i="54"/>
  <c r="I97" i="54" s="1"/>
  <c r="I96" i="54"/>
  <c r="I94" i="54"/>
  <c r="I90" i="54"/>
  <c r="I89" i="54"/>
  <c r="E30" i="55" s="1"/>
  <c r="I88" i="54"/>
  <c r="E29" i="55" s="1"/>
  <c r="I87" i="54"/>
  <c r="D47" i="55"/>
  <c r="H53" i="56" s="1"/>
  <c r="D42" i="55"/>
  <c r="H48" i="56" s="1"/>
  <c r="H52" i="56" l="1"/>
  <c r="J145" i="32"/>
  <c r="J144" i="32" s="1"/>
  <c r="I86" i="54"/>
  <c r="E34" i="55"/>
  <c r="E33" i="55" s="1"/>
  <c r="I93" i="54"/>
  <c r="E48" i="56"/>
  <c r="F45" i="55"/>
  <c r="I85" i="54"/>
  <c r="F43" i="55"/>
  <c r="E28" i="55"/>
  <c r="G48" i="56"/>
  <c r="F48" i="56"/>
  <c r="G53" i="56"/>
  <c r="F53" i="56"/>
  <c r="D30" i="55"/>
  <c r="H34" i="56" s="1"/>
  <c r="F38" i="55"/>
  <c r="F37" i="55" s="1"/>
  <c r="D46" i="55"/>
  <c r="F52" i="56" l="1"/>
  <c r="H145" i="32"/>
  <c r="H144" i="32" s="1"/>
  <c r="G52" i="56"/>
  <c r="I145" i="32"/>
  <c r="I144" i="32" s="1"/>
  <c r="E26" i="55"/>
  <c r="D45" i="55"/>
  <c r="H51" i="56" s="1"/>
  <c r="H50" i="56" s="1"/>
  <c r="F44" i="55"/>
  <c r="D44" i="55" s="1"/>
  <c r="D43" i="55"/>
  <c r="H49" i="56" s="1"/>
  <c r="H47" i="56" s="1"/>
  <c r="F41" i="55"/>
  <c r="F35" i="55" s="1"/>
  <c r="F13" i="55" s="1"/>
  <c r="F51" i="56"/>
  <c r="F50" i="56" s="1"/>
  <c r="G51" i="56"/>
  <c r="G50" i="56" s="1"/>
  <c r="I92" i="54"/>
  <c r="E34" i="56"/>
  <c r="F34" i="56"/>
  <c r="G34" i="56"/>
  <c r="D38" i="55"/>
  <c r="H44" i="56" s="1"/>
  <c r="D37" i="55"/>
  <c r="D33" i="55"/>
  <c r="D34" i="55"/>
  <c r="H38" i="56" s="1"/>
  <c r="H37" i="56" s="1"/>
  <c r="D29" i="55"/>
  <c r="H33" i="56" s="1"/>
  <c r="H32" i="56" l="1"/>
  <c r="J132" i="32"/>
  <c r="H43" i="56"/>
  <c r="H41" i="56" s="1"/>
  <c r="J143" i="32"/>
  <c r="J142" i="32" s="1"/>
  <c r="H30" i="56"/>
  <c r="E49" i="56"/>
  <c r="E47" i="56" s="1"/>
  <c r="F49" i="56"/>
  <c r="F47" i="56" s="1"/>
  <c r="G49" i="56"/>
  <c r="G47" i="56" s="1"/>
  <c r="D31" i="55"/>
  <c r="D41" i="55"/>
  <c r="H28" i="56"/>
  <c r="G38" i="56"/>
  <c r="G37" i="56" s="1"/>
  <c r="E38" i="56"/>
  <c r="E37" i="56" s="1"/>
  <c r="F38" i="56"/>
  <c r="F37" i="56" s="1"/>
  <c r="F44" i="56"/>
  <c r="E44" i="56"/>
  <c r="G44" i="56"/>
  <c r="E33" i="56"/>
  <c r="G33" i="56"/>
  <c r="F33" i="56"/>
  <c r="D26" i="55"/>
  <c r="D28" i="55"/>
  <c r="F43" i="56" l="1"/>
  <c r="F41" i="56" s="1"/>
  <c r="H143" i="32"/>
  <c r="G43" i="56"/>
  <c r="G41" i="56" s="1"/>
  <c r="I143" i="32"/>
  <c r="F32" i="56"/>
  <c r="H132" i="32"/>
  <c r="E32" i="56"/>
  <c r="E30" i="56" s="1"/>
  <c r="E28" i="56" s="1"/>
  <c r="G132" i="32"/>
  <c r="G32" i="56"/>
  <c r="I132" i="32"/>
  <c r="E43" i="56"/>
  <c r="E41" i="56" s="1"/>
  <c r="G143" i="32"/>
  <c r="J141" i="32"/>
  <c r="J140" i="32" s="1"/>
  <c r="J139" i="32" s="1"/>
  <c r="J137" i="32" s="1"/>
  <c r="M45" i="74" s="1"/>
  <c r="F30" i="56"/>
  <c r="F28" i="56" s="1"/>
  <c r="G30" i="56"/>
  <c r="G28" i="56" s="1"/>
  <c r="D35" i="55"/>
  <c r="I82" i="54"/>
  <c r="I81" i="54"/>
  <c r="I78" i="54"/>
  <c r="J135" i="32" l="1"/>
  <c r="J21" i="65" s="1"/>
  <c r="M32" i="73" s="1"/>
  <c r="E22" i="55"/>
  <c r="H142" i="32"/>
  <c r="F39" i="56"/>
  <c r="E39" i="56"/>
  <c r="G142" i="32"/>
  <c r="I142" i="32"/>
  <c r="G39" i="56"/>
  <c r="I80" i="54"/>
  <c r="I77" i="54"/>
  <c r="D18" i="55" s="1"/>
  <c r="H18" i="56" s="1"/>
  <c r="H17" i="56" s="1"/>
  <c r="H15" i="56" s="1"/>
  <c r="E21" i="55"/>
  <c r="E19" i="55" s="1"/>
  <c r="G131" i="32"/>
  <c r="J131" i="32"/>
  <c r="I131" i="32"/>
  <c r="H131" i="32"/>
  <c r="H13" i="56" l="1"/>
  <c r="J110" i="32"/>
  <c r="J109" i="32" s="1"/>
  <c r="J108" i="32" s="1"/>
  <c r="J107" i="32" s="1"/>
  <c r="J106" i="32" s="1"/>
  <c r="J104" i="32" s="1"/>
  <c r="I141" i="32"/>
  <c r="I140" i="32" s="1"/>
  <c r="I139" i="32" s="1"/>
  <c r="I137" i="32" s="1"/>
  <c r="L45" i="74" s="1"/>
  <c r="G141" i="32"/>
  <c r="G140" i="32" s="1"/>
  <c r="G139" i="32" s="1"/>
  <c r="G137" i="32" s="1"/>
  <c r="J45" i="74" s="1"/>
  <c r="H141" i="32"/>
  <c r="H140" i="32" s="1"/>
  <c r="H139" i="32" s="1"/>
  <c r="H137" i="32" s="1"/>
  <c r="K45" i="74" s="1"/>
  <c r="H130" i="32"/>
  <c r="H129" i="32" s="1"/>
  <c r="H128" i="32" s="1"/>
  <c r="H126" i="32" s="1"/>
  <c r="I130" i="32"/>
  <c r="I129" i="32" s="1"/>
  <c r="I128" i="32" s="1"/>
  <c r="I126" i="32" s="1"/>
  <c r="J130" i="32"/>
  <c r="J129" i="32" s="1"/>
  <c r="J128" i="32" s="1"/>
  <c r="J126" i="32" s="1"/>
  <c r="G130" i="32"/>
  <c r="G129" i="32" s="1"/>
  <c r="G128" i="32" s="1"/>
  <c r="G126" i="32" s="1"/>
  <c r="I76" i="54"/>
  <c r="I69" i="54" s="1"/>
  <c r="D15" i="55"/>
  <c r="D17" i="55"/>
  <c r="D87" i="55"/>
  <c r="H108" i="56" s="1"/>
  <c r="G86" i="55"/>
  <c r="H37" i="54"/>
  <c r="I37" i="54" s="1"/>
  <c r="I33" i="54" s="1"/>
  <c r="J84" i="32" l="1"/>
  <c r="H107" i="56"/>
  <c r="J102" i="32"/>
  <c r="J17" i="65" s="1"/>
  <c r="M28" i="74"/>
  <c r="H135" i="32"/>
  <c r="H21" i="65" s="1"/>
  <c r="K32" i="73" s="1"/>
  <c r="G135" i="32"/>
  <c r="G21" i="65" s="1"/>
  <c r="J32" i="73" s="1"/>
  <c r="I135" i="32"/>
  <c r="I21" i="65" s="1"/>
  <c r="L32" i="73" s="1"/>
  <c r="J124" i="32"/>
  <c r="I124" i="32"/>
  <c r="I122" i="32" s="1"/>
  <c r="H124" i="32"/>
  <c r="G124" i="32"/>
  <c r="D80" i="55"/>
  <c r="G84" i="55"/>
  <c r="G13" i="55" s="1"/>
  <c r="E66" i="55"/>
  <c r="D66" i="55" s="1"/>
  <c r="H80" i="56" s="1"/>
  <c r="I27" i="54"/>
  <c r="I26" i="54" s="1"/>
  <c r="I13" i="54" s="1"/>
  <c r="H105" i="56"/>
  <c r="H103" i="56" s="1"/>
  <c r="G108" i="56"/>
  <c r="G107" i="56" s="1"/>
  <c r="E105" i="56"/>
  <c r="E103" i="56" s="1"/>
  <c r="F108" i="56"/>
  <c r="F107" i="56" s="1"/>
  <c r="D86" i="55"/>
  <c r="D63" i="55"/>
  <c r="H76" i="56" s="1"/>
  <c r="J62" i="32" s="1"/>
  <c r="G83" i="56"/>
  <c r="H83" i="56"/>
  <c r="H75" i="56" l="1"/>
  <c r="G105" i="56"/>
  <c r="G103" i="56" s="1"/>
  <c r="I84" i="32"/>
  <c r="I83" i="32" s="1"/>
  <c r="L41" i="74"/>
  <c r="L40" i="74" s="1"/>
  <c r="I20" i="65"/>
  <c r="M41" i="74"/>
  <c r="M40" i="74" s="1"/>
  <c r="J20" i="65"/>
  <c r="F105" i="56"/>
  <c r="F103" i="56" s="1"/>
  <c r="H84" i="32"/>
  <c r="H83" i="32" s="1"/>
  <c r="J41" i="74"/>
  <c r="J40" i="74" s="1"/>
  <c r="G20" i="65"/>
  <c r="K41" i="74"/>
  <c r="K40" i="74" s="1"/>
  <c r="H20" i="65"/>
  <c r="M15" i="73"/>
  <c r="G122" i="32"/>
  <c r="J122" i="32"/>
  <c r="H122" i="32"/>
  <c r="D84" i="55"/>
  <c r="E64" i="55"/>
  <c r="E60" i="55" s="1"/>
  <c r="D60" i="55" s="1"/>
  <c r="G80" i="56"/>
  <c r="G78" i="56" s="1"/>
  <c r="E80" i="56"/>
  <c r="G62" i="32" s="1"/>
  <c r="F80" i="56"/>
  <c r="H62" i="32" s="1"/>
  <c r="H78" i="56"/>
  <c r="G76" i="56"/>
  <c r="G83" i="32"/>
  <c r="J83" i="32"/>
  <c r="D62" i="55"/>
  <c r="I62" i="32" l="1"/>
  <c r="G75" i="56"/>
  <c r="I19" i="65"/>
  <c r="L28" i="73"/>
  <c r="L27" i="73" s="1"/>
  <c r="F78" i="56"/>
  <c r="E78" i="56"/>
  <c r="E73" i="56" s="1"/>
  <c r="E71" i="56" s="1"/>
  <c r="G19" i="65"/>
  <c r="J28" i="73"/>
  <c r="J27" i="73" s="1"/>
  <c r="J19" i="65"/>
  <c r="M28" i="73"/>
  <c r="M27" i="73" s="1"/>
  <c r="H19" i="65"/>
  <c r="K28" i="73"/>
  <c r="K27" i="73" s="1"/>
  <c r="I80" i="32"/>
  <c r="I79" i="32" s="1"/>
  <c r="I78" i="32" s="1"/>
  <c r="I76" i="32" s="1"/>
  <c r="H80" i="32"/>
  <c r="H79" i="32" s="1"/>
  <c r="H78" i="32" s="1"/>
  <c r="H76" i="32" s="1"/>
  <c r="J80" i="32"/>
  <c r="J79" i="32" s="1"/>
  <c r="J78" i="32" s="1"/>
  <c r="J76" i="32" s="1"/>
  <c r="G80" i="32"/>
  <c r="G79" i="32" s="1"/>
  <c r="G78" i="32" s="1"/>
  <c r="G76" i="32" s="1"/>
  <c r="D64" i="55"/>
  <c r="D57" i="55"/>
  <c r="H68" i="56" s="1"/>
  <c r="E56" i="55"/>
  <c r="D56" i="55" s="1"/>
  <c r="D59" i="55"/>
  <c r="H70" i="56" s="1"/>
  <c r="G70" i="56" s="1"/>
  <c r="E58" i="55"/>
  <c r="D58" i="55" s="1"/>
  <c r="J74" i="32" l="1"/>
  <c r="H74" i="32"/>
  <c r="I74" i="32"/>
  <c r="G74" i="32"/>
  <c r="G69" i="56"/>
  <c r="H69" i="56"/>
  <c r="G68" i="56"/>
  <c r="G67" i="56" s="1"/>
  <c r="H67" i="56"/>
  <c r="E68" i="56"/>
  <c r="E67" i="56" s="1"/>
  <c r="F68" i="56"/>
  <c r="F67" i="56" s="1"/>
  <c r="J73" i="74" l="1"/>
  <c r="G28" i="65"/>
  <c r="J66" i="73" s="1"/>
  <c r="L73" i="74"/>
  <c r="I28" i="65"/>
  <c r="L66" i="73" s="1"/>
  <c r="K73" i="74"/>
  <c r="H28" i="65"/>
  <c r="K66" i="73" s="1"/>
  <c r="M73" i="74"/>
  <c r="J28" i="65"/>
  <c r="M66" i="73" s="1"/>
  <c r="F86" i="56"/>
  <c r="F73" i="56" s="1"/>
  <c r="F71" i="56" s="1"/>
  <c r="G86" i="56"/>
  <c r="G73" i="56" s="1"/>
  <c r="G71" i="56" s="1"/>
  <c r="H86" i="56"/>
  <c r="H73" i="56" s="1"/>
  <c r="H71" i="56" s="1"/>
  <c r="I61" i="32" l="1"/>
  <c r="J61" i="32"/>
  <c r="H61" i="32"/>
  <c r="I60" i="32" l="1"/>
  <c r="I59" i="32" s="1"/>
  <c r="H60" i="32"/>
  <c r="H59" i="32" s="1"/>
  <c r="J60" i="32"/>
  <c r="J59" i="32" s="1"/>
  <c r="G61" i="32"/>
  <c r="G60" i="32" s="1"/>
  <c r="D24" i="56" l="1"/>
  <c r="D66" i="56"/>
  <c r="G59" i="32" l="1"/>
  <c r="G58" i="32" s="1"/>
  <c r="G56" i="32" s="1"/>
  <c r="J60" i="74" s="1"/>
  <c r="H58" i="32"/>
  <c r="H56" i="32" s="1"/>
  <c r="K60" i="74" s="1"/>
  <c r="H54" i="32" l="1"/>
  <c r="H26" i="65" s="1"/>
  <c r="K53" i="73" s="1"/>
  <c r="G54" i="32"/>
  <c r="I58" i="32"/>
  <c r="I56" i="32" s="1"/>
  <c r="L60" i="74" s="1"/>
  <c r="G52" i="32" l="1"/>
  <c r="G39" i="32" s="1"/>
  <c r="G26" i="65"/>
  <c r="J53" i="73" s="1"/>
  <c r="H52" i="32"/>
  <c r="H39" i="32" s="1"/>
  <c r="H37" i="32" s="1"/>
  <c r="H35" i="32" s="1"/>
  <c r="I54" i="32"/>
  <c r="I26" i="65" s="1"/>
  <c r="L53" i="73" s="1"/>
  <c r="I52" i="32" l="1"/>
  <c r="I39" i="32" s="1"/>
  <c r="I37" i="32" l="1"/>
  <c r="I35" i="32" s="1"/>
  <c r="E54" i="55"/>
  <c r="E50" i="55" s="1"/>
  <c r="E13" i="55" s="1"/>
  <c r="D13" i="55" s="1"/>
  <c r="D22" i="55" l="1"/>
  <c r="H24" i="56" s="1"/>
  <c r="H23" i="56" l="1"/>
  <c r="H21" i="56" s="1"/>
  <c r="J119" i="32"/>
  <c r="G24" i="56"/>
  <c r="D19" i="55"/>
  <c r="D21" i="55"/>
  <c r="G23" i="56" l="1"/>
  <c r="G21" i="56" s="1"/>
  <c r="I119" i="32"/>
  <c r="H19" i="56"/>
  <c r="J118" i="32"/>
  <c r="D52" i="55"/>
  <c r="D55" i="55"/>
  <c r="H66" i="56" s="1"/>
  <c r="J117" i="32" l="1"/>
  <c r="J116" i="32" s="1"/>
  <c r="J115" i="32" s="1"/>
  <c r="J113" i="32" s="1"/>
  <c r="M32" i="74" s="1"/>
  <c r="M27" i="74" s="1"/>
  <c r="E19" i="56"/>
  <c r="G118" i="32"/>
  <c r="F19" i="56"/>
  <c r="H118" i="32"/>
  <c r="G19" i="56"/>
  <c r="I118" i="32"/>
  <c r="G66" i="56"/>
  <c r="F66" i="56"/>
  <c r="E66" i="56"/>
  <c r="H65" i="56"/>
  <c r="J111" i="32" l="1"/>
  <c r="G117" i="32"/>
  <c r="G116" i="32" s="1"/>
  <c r="G115" i="32" s="1"/>
  <c r="G113" i="32" s="1"/>
  <c r="J32" i="74" s="1"/>
  <c r="J27" i="74" s="1"/>
  <c r="I117" i="32"/>
  <c r="I116" i="32" s="1"/>
  <c r="I115" i="32" s="1"/>
  <c r="I113" i="32" s="1"/>
  <c r="L32" i="74" s="1"/>
  <c r="L27" i="74" s="1"/>
  <c r="H117" i="32"/>
  <c r="H116" i="32" s="1"/>
  <c r="H115" i="32" s="1"/>
  <c r="H113" i="32" s="1"/>
  <c r="K32" i="74" s="1"/>
  <c r="K27" i="74" s="1"/>
  <c r="E13" i="56"/>
  <c r="H61" i="56"/>
  <c r="E65" i="56"/>
  <c r="E61" i="56" s="1"/>
  <c r="G34" i="32" s="1"/>
  <c r="F65" i="56"/>
  <c r="F61" i="56" s="1"/>
  <c r="H34" i="32" s="1"/>
  <c r="G65" i="56"/>
  <c r="G61" i="56" s="1"/>
  <c r="I34" i="32" s="1"/>
  <c r="J58" i="32"/>
  <c r="J56" i="32" s="1"/>
  <c r="M60" i="74" s="1"/>
  <c r="J100" i="32" l="1"/>
  <c r="J18" i="65"/>
  <c r="J34" i="32"/>
  <c r="J33" i="32" s="1"/>
  <c r="J32" i="32" s="1"/>
  <c r="J31" i="32" s="1"/>
  <c r="J30" i="32" s="1"/>
  <c r="J28" i="32" s="1"/>
  <c r="M54" i="74" s="1"/>
  <c r="M53" i="74" s="1"/>
  <c r="M26" i="74" s="1"/>
  <c r="M11" i="74" s="1"/>
  <c r="I111" i="32"/>
  <c r="I18" i="65" s="1"/>
  <c r="G111" i="32"/>
  <c r="G18" i="65" s="1"/>
  <c r="H111" i="32"/>
  <c r="J54" i="32"/>
  <c r="J26" i="65" s="1"/>
  <c r="M53" i="73" s="1"/>
  <c r="H59" i="56"/>
  <c r="J98" i="32"/>
  <c r="J96" i="32" s="1"/>
  <c r="J94" i="32" s="1"/>
  <c r="H39" i="56"/>
  <c r="H11" i="56" l="1"/>
  <c r="H100" i="32"/>
  <c r="H98" i="32" s="1"/>
  <c r="H96" i="32" s="1"/>
  <c r="H94" i="32" s="1"/>
  <c r="H18" i="65"/>
  <c r="M19" i="73"/>
  <c r="M14" i="73" s="1"/>
  <c r="J16" i="65"/>
  <c r="J19" i="73"/>
  <c r="J14" i="73" s="1"/>
  <c r="G16" i="65"/>
  <c r="L19" i="73"/>
  <c r="L14" i="73" s="1"/>
  <c r="I16" i="65"/>
  <c r="J52" i="32"/>
  <c r="J39" i="32" s="1"/>
  <c r="G100" i="32"/>
  <c r="G98" i="32" s="1"/>
  <c r="G96" i="32" s="1"/>
  <c r="G94" i="32" s="1"/>
  <c r="I100" i="32"/>
  <c r="I98" i="32" s="1"/>
  <c r="I96" i="32" s="1"/>
  <c r="I94" i="32" s="1"/>
  <c r="G59" i="56"/>
  <c r="G11" i="56" s="1"/>
  <c r="I33" i="32"/>
  <c r="I32" i="32" s="1"/>
  <c r="I31" i="32" s="1"/>
  <c r="I30" i="32" s="1"/>
  <c r="I28" i="32" s="1"/>
  <c r="L54" i="74" s="1"/>
  <c r="L53" i="74" s="1"/>
  <c r="L26" i="74" s="1"/>
  <c r="L11" i="74" s="1"/>
  <c r="F59" i="56"/>
  <c r="F11" i="56" s="1"/>
  <c r="H33" i="32"/>
  <c r="H32" i="32" s="1"/>
  <c r="H31" i="32" s="1"/>
  <c r="H30" i="32" s="1"/>
  <c r="H28" i="32" s="1"/>
  <c r="K54" i="74" s="1"/>
  <c r="K53" i="74" s="1"/>
  <c r="K26" i="74" s="1"/>
  <c r="K11" i="74" s="1"/>
  <c r="E59" i="56"/>
  <c r="E11" i="56" s="1"/>
  <c r="G33" i="32"/>
  <c r="G32" i="32" s="1"/>
  <c r="G31" i="32" s="1"/>
  <c r="G30" i="32" s="1"/>
  <c r="G28" i="32" s="1"/>
  <c r="J54" i="74" s="1"/>
  <c r="J53" i="74" s="1"/>
  <c r="J26" i="74" s="1"/>
  <c r="J11" i="74" s="1"/>
  <c r="J37" i="32"/>
  <c r="J35" i="32" s="1"/>
  <c r="J26" i="32"/>
  <c r="J24" i="32" l="1"/>
  <c r="J25" i="65"/>
  <c r="K19" i="73"/>
  <c r="K14" i="73" s="1"/>
  <c r="H16" i="65"/>
  <c r="G26" i="32"/>
  <c r="G25" i="65" s="1"/>
  <c r="I26" i="32"/>
  <c r="I25" i="65" s="1"/>
  <c r="H26" i="32"/>
  <c r="H25" i="65" s="1"/>
  <c r="G24" i="65" l="1"/>
  <c r="G15" i="65" s="1"/>
  <c r="G13" i="65" s="1"/>
  <c r="J47" i="73"/>
  <c r="J46" i="73" s="1"/>
  <c r="J13" i="73" s="1"/>
  <c r="J11" i="73" s="1"/>
  <c r="I24" i="65"/>
  <c r="I15" i="65" s="1"/>
  <c r="I13" i="65" s="1"/>
  <c r="L47" i="73"/>
  <c r="L46" i="73" s="1"/>
  <c r="L13" i="73" s="1"/>
  <c r="L11" i="73" s="1"/>
  <c r="J24" i="65"/>
  <c r="J15" i="65" s="1"/>
  <c r="J13" i="65" s="1"/>
  <c r="M47" i="73"/>
  <c r="M46" i="73" s="1"/>
  <c r="M13" i="73" s="1"/>
  <c r="M11" i="73" s="1"/>
  <c r="H24" i="65"/>
  <c r="H15" i="65" s="1"/>
  <c r="H13" i="65" s="1"/>
  <c r="K47" i="73"/>
  <c r="K46" i="73" s="1"/>
  <c r="K13" i="73" s="1"/>
  <c r="K11" i="73" s="1"/>
  <c r="I24" i="32"/>
  <c r="H24" i="32"/>
  <c r="H22" i="32" s="1"/>
  <c r="G24" i="32"/>
  <c r="G22" i="32" s="1"/>
  <c r="I22" i="32" l="1"/>
  <c r="G20" i="32" l="1"/>
  <c r="G18" i="32" s="1"/>
  <c r="D50" i="55" l="1"/>
  <c r="D54" i="55"/>
  <c r="H20" i="32" l="1"/>
  <c r="H18" i="32" s="1"/>
  <c r="H16" i="32" s="1"/>
  <c r="H15" i="32" s="1"/>
  <c r="H13" i="32" s="1"/>
  <c r="I20" i="32"/>
  <c r="I18" i="32" s="1"/>
  <c r="I16" i="32" s="1"/>
  <c r="I15" i="32" s="1"/>
  <c r="I13" i="32" s="1"/>
  <c r="G11" i="55" l="1"/>
  <c r="H11" i="55"/>
  <c r="F11" i="55"/>
  <c r="J22" i="32" l="1"/>
  <c r="E11" i="55"/>
  <c r="D11" i="55" s="1"/>
  <c r="J20" i="32" l="1"/>
  <c r="J18" i="32" s="1"/>
  <c r="J16" i="32" s="1"/>
  <c r="J15" i="32" s="1"/>
  <c r="J13" i="32" s="1"/>
  <c r="G37" i="32" l="1"/>
  <c r="G35" i="32" s="1"/>
  <c r="G16" i="32" s="1"/>
  <c r="G15" i="32" s="1"/>
  <c r="G13" i="32" s="1"/>
</calcChain>
</file>

<file path=xl/sharedStrings.xml><?xml version="1.0" encoding="utf-8"?>
<sst xmlns="http://schemas.openxmlformats.org/spreadsheetml/2006/main" count="942" uniqueCount="310">
  <si>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</si>
  <si>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</si>
  <si>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</si>
  <si>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</si>
  <si>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</si>
  <si>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</si>
  <si>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</si>
  <si>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</si>
  <si>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</si>
  <si>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</si>
  <si>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</si>
  <si>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</si>
  <si>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</si>
  <si>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</si>
  <si>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</si>
  <si>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</si>
  <si>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</si>
  <si>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</si>
  <si>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</si>
  <si>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</si>
  <si>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</si>
  <si>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</si>
  <si>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</si>
  <si>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</si>
  <si>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</si>
  <si>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</si>
  <si>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</si>
  <si>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</si>
  <si>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</si>
  <si>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</si>
  <si>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</si>
  <si>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</si>
  <si>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</si>
  <si>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</si>
  <si>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</si>
  <si>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</si>
  <si>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</si>
  <si>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</si>
  <si>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</si>
  <si>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</si>
  <si>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</si>
  <si>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</si>
  <si>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</si>
  <si>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</si>
  <si>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</si>
  <si>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Առաջին կիսամյակ</t>
  </si>
  <si>
    <t>Առաջին եռամսյակ</t>
  </si>
  <si>
    <t xml:space="preserve"> - Շենքերի և շինությունների շինարարություն</t>
  </si>
  <si>
    <t>ՀՀ Արմավիրի մարզ</t>
  </si>
  <si>
    <t>դրամ</t>
  </si>
  <si>
    <t xml:space="preserve"> ՄԱՍ III. ԾԱՌԱՅՈՒԹՅՈՒՆՆԵՐ</t>
  </si>
  <si>
    <t>ԳՀ</t>
  </si>
  <si>
    <t>ՄԱ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</si>
  <si>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</si>
  <si>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</si>
  <si>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</si>
  <si>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</si>
  <si>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 xml:space="preserve"> տեխնիկական հսկողության ծառայություններ</t>
  </si>
  <si>
    <t xml:space="preserve"> հեղինակային հսկողության ծառայություններ</t>
  </si>
  <si>
    <t xml:space="preserve"> փորձաքննության ծառայություններ</t>
  </si>
  <si>
    <t xml:space="preserve"> - Նախագծահետազոտական ծախսեր</t>
  </si>
  <si>
    <t xml:space="preserve"> այդ թվում՝</t>
  </si>
  <si>
    <t>ՀՀ Արագածոտնի մարզ</t>
  </si>
  <si>
    <t xml:space="preserve"> դրամ</t>
  </si>
  <si>
    <t>Բաժին N 09</t>
  </si>
  <si>
    <t>Խումբ N 06</t>
  </si>
  <si>
    <t>Դաս N 01</t>
  </si>
  <si>
    <t xml:space="preserve"> ՄԱՍ II.  ԱՇԽԱՏԱՆՔՆԵՐ</t>
  </si>
  <si>
    <t xml:space="preserve"> </t>
  </si>
  <si>
    <t>09</t>
  </si>
  <si>
    <t>06</t>
  </si>
  <si>
    <t>01</t>
  </si>
  <si>
    <t>Կրթությանը տրամադրվող օժանդակ ծառայություններ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</si>
  <si>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</si>
  <si>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</si>
  <si>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>ԱՅԼ ՀԻՄՆԱԿԱՆ ՄԻՋՈՑՆԵՐ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</si>
  <si>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</si>
  <si>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</si>
  <si>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>1236-32001</t>
  </si>
  <si>
    <t xml:space="preserve"> Մանկապարտեզների նոր շենքերի կառուցում</t>
  </si>
  <si>
    <t>Հավելված N 4</t>
  </si>
  <si>
    <t>1163-32001</t>
  </si>
  <si>
    <t>Մասսայական սպորտ</t>
  </si>
  <si>
    <t xml:space="preserve"> Մարզական օբյեկտների շինարարություն</t>
  </si>
  <si>
    <t xml:space="preserve"> 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</si>
  <si>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>Մանկապարտեզների նոր շենքերի կառուցում</t>
  </si>
  <si>
    <t>ՀՀ Շիրակի մարզ</t>
  </si>
  <si>
    <t>Մարզական օբյեկտների շինարարություն</t>
  </si>
  <si>
    <t>ԲՄ</t>
  </si>
  <si>
    <t xml:space="preserve"> ընդհանուր շինարարական աշխատանքներ</t>
  </si>
  <si>
    <t>Խումբ N 01</t>
  </si>
  <si>
    <t xml:space="preserve"> Նախադպրոցական կրթություն</t>
  </si>
  <si>
    <t xml:space="preserve"> Նախադպրոցական և տարրական ընդհանուր կրթություն</t>
  </si>
  <si>
    <t xml:space="preserve"> - Շենքերի և շինությունների կապիտալ վերանորոգում</t>
  </si>
  <si>
    <t>Հավելված N 5</t>
  </si>
  <si>
    <t>Հանրակրթական դպրոցների նոր շենքերի կառուցում</t>
  </si>
  <si>
    <t>ՀՀ Արարատի մարզ</t>
  </si>
  <si>
    <t>ՀՀ Վայոց Ձորի մարզ</t>
  </si>
  <si>
    <t>Կրթահամալիրների կառուցում</t>
  </si>
  <si>
    <t>02</t>
  </si>
  <si>
    <t xml:space="preserve"> Միջնակարգ ընդհանուր կրթություն</t>
  </si>
  <si>
    <t xml:space="preserve"> Հիմնական ընդհանուր կրթություն</t>
  </si>
  <si>
    <t xml:space="preserve"> Հանրակրթական դպրոցների նոր շենքերի կառուցում</t>
  </si>
  <si>
    <t xml:space="preserve"> Կրթահամալիրների կառուցում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</si>
  <si>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</si>
  <si>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>ՀՀ քաղաքաշինության կոմիտե</t>
  </si>
  <si>
    <t>Խումբ N 02</t>
  </si>
  <si>
    <t>1236-32003</t>
  </si>
  <si>
    <t>ՀԲՄ</t>
  </si>
  <si>
    <t>ՀՀ Գեղարքունիքի մարզ</t>
  </si>
  <si>
    <t>ՀՀ Լոռու մարզ</t>
  </si>
  <si>
    <t>1236-32005</t>
  </si>
  <si>
    <t>ՀՀ Կոտայքի մարզ</t>
  </si>
  <si>
    <t>ՀՀ Տավուշի մարզ</t>
  </si>
  <si>
    <t>Երևան քաղաք</t>
  </si>
  <si>
    <t xml:space="preserve"> Ապահով դպրոց</t>
  </si>
  <si>
    <t xml:space="preserve"> Հանրակրթական կրթություն իրականացնող ուսումնական հաստատությունների նոր մարզադահլիճների կառուցում</t>
  </si>
  <si>
    <t xml:space="preserve"> Հանրակրթական կրթություն իրականացնող ուսումնական հաստատությունների մարզադահլիճների վերակառուցում</t>
  </si>
  <si>
    <t xml:space="preserve"> ՄԱՍ II. ԱՇԽԱՏԱՆՔՆԵՐ</t>
  </si>
  <si>
    <t>«Երևանի Միքայել Նալբանդյանի անվան հ.33 հիմնական դպրոց» ՊՈԱԿ</t>
  </si>
  <si>
    <t>«Երևանի Ս. Խանզադյանի անվան հ. 184 ավագ դպրոց» ՊՈԱԿ</t>
  </si>
  <si>
    <t>«Երևանի Մ. Սարյանի անվան հ. 86 հիմնական դպրոց» ՊՈԱԿ</t>
  </si>
  <si>
    <t>«Ակունք գյուղի միջնակարգ դպրոց» ՊՈԱԿ</t>
  </si>
  <si>
    <t>1183-32007</t>
  </si>
  <si>
    <t xml:space="preserve">  ընդհանուր շինարարական աշխատանքներ</t>
  </si>
  <si>
    <t xml:space="preserve"> ԲՄ</t>
  </si>
  <si>
    <t>1183-32009</t>
  </si>
  <si>
    <t xml:space="preserve"> վերակառուցման աշխատանքներ</t>
  </si>
  <si>
    <t>«Երևանի Վ. Թեքեյանի անվան թիվ 92 հիմնական դպրոց» ՊՈԱԿ</t>
  </si>
  <si>
    <t>«Երևանի հ. 37 հիմնական դպրոց» ՊՈԱԿ</t>
  </si>
  <si>
    <t>«Մասիսի թիվ 5 ավագ դպրոց» ՊՈԱԿ</t>
  </si>
  <si>
    <t xml:space="preserve">  նախագծերի պատրաստում, ծախսերի գնահատում</t>
  </si>
  <si>
    <t>«Նիզամիի միջնակարգ դպրոց» ՊՈԱԿ</t>
  </si>
  <si>
    <t>«Հայկաշենի Գ. Կիրակոսյանի անվան միջնակարգ դպրոց» ՊՈԱԿ</t>
  </si>
  <si>
    <t>«Նավուրի միջնակարգ դպրոց» ՊՈԱԿ</t>
  </si>
  <si>
    <t>գ․ Հացաշենի մոդուլային կրթահամալիր</t>
  </si>
  <si>
    <t>գ․ Արփունքի մոդուլային կրթահամալիր</t>
  </si>
  <si>
    <t>գ․ Նուռնուսի մոդուլային կրթահամալիր</t>
  </si>
  <si>
    <t>գ․ Գողթանիկի մոդուլային կրթահամալիր</t>
  </si>
  <si>
    <t>Ապահով դպրոց</t>
  </si>
  <si>
    <t>այդ թվում՝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</si>
  <si>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 </t>
  </si>
  <si>
    <t xml:space="preserve"> Հանրակրթական ուսուցում իրականացնող ուսումնական հաստատությունների մարզադահլիճների վերակառուցման նախագծանախահաշվային փաստաթղթերի մշակում </t>
  </si>
  <si>
    <t>ՀՀ Արմավիրի մարզի Այգևան համայնքում «Մոդուլային» տիպի 144 տեղ հզորությամբ մսուր-մանկապարտեզ</t>
  </si>
  <si>
    <t xml:space="preserve">ՀՀ Գեղարքունիքի մարզի Աստղաձոր համայնքում «Մոդուլային» տիպի 144 տեղ հզորությամբ մսուր-մանկապարտեզ </t>
  </si>
  <si>
    <t xml:space="preserve">ՀՀ Լոռու մարզի Սպիտակ համայնքում «Մոդուլային» տիպի 144 տեղ հզորությամբ մսուր-մանկապարտեզ </t>
  </si>
  <si>
    <t>ՀՀ Տավուշի մարզի Այրում համայնքի Բագրատաշեն բնակավայրում «Մոդուլային» տիպի 144 տեղ հզորությամբ մսուր-մանկապարտեզ</t>
  </si>
  <si>
    <t>«ՀԱՅԱUՏԱՆԻ ՀԱՆՐԱՊԵՏՈՒԹՅԱՆ 2025 ԹՎԱԿԱՆԻ ՊԵՏԱԿԱՆ ԲՅՈՒՋԵԻ ՄԱUԻՆ» ՀԱՅԱUՏԱՆԻ ՀԱՆՐԱՊԵՏՈՒԹՅԱՆ OՐԵՆՔԻ N 1 ՀԱՎԵԼՎԱԾԻ N 3 ԱՂՅՈՒՍԱԿՈՒՄ ԿԱՏԱՐՎՈՂ ՓՈՓՈԽՈՒԹՅՈՒՆՆԵՐԸ ԵՎ ԼՐԱՑՈՒՄՆԵՐԸ</t>
  </si>
  <si>
    <t>ՀՀ կառավարության  2025 թվականի</t>
  </si>
  <si>
    <t>ՀԱՅԱՍՏԱՆԻ ՀԱՆՐԱՊԵՏՈՒԹՅԱՆ ԿԱՌԱՎԱՐՈՒԹՅԱՆ 2024 ԹՎԱԿԱՆԻ ԴԵԿՏԵՄԲԵՐԻ 27-Ի N 2060-Ն ՈՐՈՇՄԱՆ N 5 ՀԱՎԵԼՎԱԾԻ N 2 ԱՂՅՈՒՍԱԿՈՒՄ ԿԱՏԱՐՎՈՂ ՓՈՓՈԽՈՒԹՅՈՒՆՆԵՐԸ ԵՎ ԼՐԱՑՈՒՄՆԵՐԸ</t>
  </si>
  <si>
    <t>«Լուսակնի միջնակարգ դպրոց» ՊՈԱԿ</t>
  </si>
  <si>
    <t xml:space="preserve"> միջնակարգ դպրոցների կառուցման աշխատանքներ</t>
  </si>
  <si>
    <t>71351540-3</t>
  </si>
  <si>
    <t>98111140-2</t>
  </si>
  <si>
    <t>«Լեռնահովիտ գյուղի Վ. Բարեղամյանի անվան հիմնական դպրոց» ՊՈԱԿ</t>
  </si>
  <si>
    <t>«Ջիլի միջնակարգ դպրոց» ՊՈԱԿ</t>
  </si>
  <si>
    <t>«Արեգնադեմի միջնակարգ դպրոց» ՊՈԱԿ</t>
  </si>
  <si>
    <t>ՀՀ Սյունիքի մարզ</t>
  </si>
  <si>
    <t>«Վաղատինի միջնակարգ դպրոց» ՊՈԱԿ</t>
  </si>
  <si>
    <t>71351540-13</t>
  </si>
  <si>
    <t>«Դարբասի միջնակարգ դպրոց» ՊՈԱԿ</t>
  </si>
  <si>
    <t>«Դովեղի միջնակարգ դպրոց» ՊՈԱԿ</t>
  </si>
  <si>
    <t>45211231-7</t>
  </si>
  <si>
    <t>71351540-15</t>
  </si>
  <si>
    <t>Հանրակրթական դպրոցների շենքերի վերակառուցում, հիմնանորոգում</t>
  </si>
  <si>
    <t>«Երևանի թիվ 22 հիմնական դպրոց» ՊՈԱԿ</t>
  </si>
  <si>
    <t>1236-32004</t>
  </si>
  <si>
    <t xml:space="preserve"> Հանրակրթական դպրոցների շենքերի վերակառուցում, հիմնանորոգում</t>
  </si>
  <si>
    <t>գ․ Գոշի մոդուլային կրթահամալիր</t>
  </si>
  <si>
    <t>Սիսիան համայնքի Գորայքի կրթահամալիր</t>
  </si>
  <si>
    <t>45221142-8</t>
  </si>
  <si>
    <t>71351540-8</t>
  </si>
  <si>
    <t>Սիսիան համայնքի Ախլաթյանի կրթահամալիր</t>
  </si>
  <si>
    <t>Տեղ համայնքի Քարաշենի կրթահամալիր</t>
  </si>
  <si>
    <t>71351540-12</t>
  </si>
  <si>
    <t>45221142-18</t>
  </si>
  <si>
    <t>45221142-15</t>
  </si>
  <si>
    <t>Հեծանվային սպորտի և Հրանտ Շահինյանի անվան  սպորտային, գեղարվեստական մարմնամարզության  և ակրոբատիկայի օլիմպիական մանկապատանեկան մարզադպրոցներ</t>
  </si>
  <si>
    <t>Աճարկուտ բնակավայրում մեկցանցանի բասկետբոլի դաշտի կառուցում</t>
  </si>
  <si>
    <t>Արթուր Աբրահամի անվան մարզահամալիր</t>
  </si>
  <si>
    <t xml:space="preserve"> նախագծերի պատրաստում, ծախսերի գնահատում</t>
  </si>
  <si>
    <t>ՀՄԱ</t>
  </si>
  <si>
    <t>Աջակցություն համայնքներին մարզական հաստատությունների շենքային պայմանների բարելավման համար</t>
  </si>
  <si>
    <t xml:space="preserve">Արթուր Ալեքսանյանի անվան նոր սպորտային համալիր </t>
  </si>
  <si>
    <t>1163-12001</t>
  </si>
  <si>
    <t xml:space="preserve"> Աջակցություն համայնքներին մարզական հաստատությունների շենքային պայմանների բարելավման համար</t>
  </si>
  <si>
    <t>45211131-1</t>
  </si>
  <si>
    <t xml:space="preserve"> մարզական օբյեկտների շինարարական աշխատանքներ</t>
  </si>
  <si>
    <t>71351540-1</t>
  </si>
  <si>
    <t>98111140-1</t>
  </si>
  <si>
    <t>ՀՀ Գեղարքունիքի մարզի Գագարինի միջնակարգ դպրոց ՊՈԱԿ</t>
  </si>
  <si>
    <t>«Ալավերդու թիվ 12 հիմնական դպրոց» ՊՈԱԿ</t>
  </si>
  <si>
    <t>«Վ․ Գետաշենի թիվ 2 միջնակարգ դպրոց» ՊՈԱԿ</t>
  </si>
  <si>
    <t>«ք. Մարալիկի թիվ 1 միջնակարգ դպրոց» ՊՈԱԿ</t>
  </si>
  <si>
    <t>«ք. Գորիսի Ա.Բակունցի անվան թիվ 1 ավագ դպրոց»ՊՈԱԿ</t>
  </si>
  <si>
    <t>«Մրգաստանի միջնակարգ դպրոց» ՊՈԱԿ</t>
  </si>
  <si>
    <t>Հանրակրթական դպրոցների, մանկապարտեզների և կրթահամալիրների գույքով և տեխնիկայով ապահովում</t>
  </si>
  <si>
    <t>ՀՀ պետական դպրոցների՝ ԳՏՃՄ լաբորատորիաներով ապահովում</t>
  </si>
  <si>
    <t xml:space="preserve">ՀՀ կառավարության  2025 թվականի </t>
  </si>
  <si>
    <t xml:space="preserve">ՀԱՅԱՍՏԱՆԻ ՀԱՆՐԱՊԵՏՈՒԹՅԱՆ ԿԱՌԱՎԱՐՈՒԹՅԱՆ 2024 ԹՎԱԿԱՆԻ ԴԵԿՏԵՄԲԵՐԻ 27-Ի N 2060-Ն N 10 ՀԱՎԵԼՎԱԾՈՒՄ ԿԱՏԱՐՎՈՂ  ՓՈՓՈԽՈՒԹՅՈՒՆՆԵՐԸ ԵՎ ԼՐԱՑՈՒՄՆԵՐԸ
</t>
  </si>
  <si>
    <t>Ցուցանիշների փոփոխությունը (ավելացումները նշված են դրական նշանով, իսկ նվազեցումները՝ փակագծերում)</t>
  </si>
  <si>
    <t>ՀԱՅԱՍՏԱՆԻ ՀԱՆՐԱՊԵՏՈՒԹՅԱՆ ԿԱՌԱՎԱՐՈՒԹՅԱՆ 2024 ԹՎԱԿԱՆԻ ԴԵԿՏԵՄԲԵՐԻ 27-Ի N 2060-Ն ՈՐՈՇՄԱՆ N 3 ԵՎ N 4 ՀԱՎԵԼՎԱԾՆԵՐՈՒՄ ԿԱՏԱՐՎՈՂ  ՓՈՓՈԽՈՒԹՅՈՒՆՆԵՐԸ ԵՎ ԼՐԱՑՈՒՄՆԵՐԸ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</si>
  <si>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</si>
  <si>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</si>
  <si>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</si>
  <si>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Այլ մեքենաներ և սարքավորումներ</t>
  </si>
  <si>
    <t xml:space="preserve">Հավելված N 7 </t>
  </si>
  <si>
    <t xml:space="preserve"> Կրթության որակի ապահովում</t>
  </si>
  <si>
    <t>«ՀԱՅԱUՏԱՆԻ ՀԱՆՐԱՊԵՏՈՒԹՅԱՆ 2025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</si>
  <si>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</si>
  <si>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</si>
  <si>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</si>
  <si>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</si>
  <si>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եռամսյակ</t>
  </si>
  <si>
    <t xml:space="preserve"> Առաջին կիսամյակ</t>
  </si>
  <si>
    <t>ԸՆԴԱՄԵՆԸ</t>
  </si>
  <si>
    <t>1163</t>
  </si>
  <si>
    <t>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</si>
  <si>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>Սպորտի նկատմամբ հետաքրքրվածության և մասնակցության ընդլայնում</t>
  </si>
  <si>
    <t>1163 - 12001</t>
  </si>
  <si>
    <t>Համայնքային ենթակայության մարզական հաստատությունների  վերանորոգում և կառուցում</t>
  </si>
  <si>
    <t>Տրանսֆերտների տրամադրում</t>
  </si>
  <si>
    <t>1163 - 32001</t>
  </si>
  <si>
    <t>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</si>
  <si>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>Այլ պետական կազմակերպությունների կողմից օգտագործվող ոչ ֆինանսական ակտիվների հետ գործառնություններ</t>
  </si>
  <si>
    <t>1183</t>
  </si>
  <si>
    <t>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</si>
  <si>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>Դպրոցական միջավայրի բարելավում</t>
  </si>
  <si>
    <t>1183 - 32007</t>
  </si>
  <si>
    <t>Հանրակրթական կրթություն իրականացնող ուսումնական հաստատությունների նոր մարզադահլիճների կառուցում</t>
  </si>
  <si>
    <t>Հանրակրթական ուսուցում իրականացնող ուսումնական հաստատությունների նոր մարզադահլիճների կառուցման նախագծանախահաշվային փաստաթղթերի մշակում</t>
  </si>
  <si>
    <t>1183 - 32009</t>
  </si>
  <si>
    <t>Հանրակրթական կրթություն իրականացնող ուսումնական հաստատությունների մարզադահլիճների վերակառուցում</t>
  </si>
  <si>
    <t>Հանրակրթական ուսուցում իրականացնող ուսումնական հաստատությունների մարզադահլիճների վերակառուցման նախագծանախահաշվային փաստաթղթերի մշակում</t>
  </si>
  <si>
    <t>1192</t>
  </si>
  <si>
    <t>Կրթության որակի ապահովում</t>
  </si>
  <si>
    <t>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</si>
  <si>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>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</si>
  <si>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>1192 - 32007</t>
  </si>
  <si>
    <t>ՀՀ պետական դպրոցների` ԳՏՃՄ լաբորատորիաներով ապահովում</t>
  </si>
  <si>
    <t>ՀՀ պետական դպրոցների համար ԳՏՃՄ առարկաների լաբորատոր սարքավարումների և կահույքի ձեռքբերում</t>
  </si>
  <si>
    <t>1236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</si>
  <si>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</si>
  <si>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</si>
  <si>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</si>
  <si>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>1236 - 32001</t>
  </si>
  <si>
    <t>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</t>
  </si>
  <si>
    <t>1236 - 32003</t>
  </si>
  <si>
    <t>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</si>
  <si>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>1236 - 32004</t>
  </si>
  <si>
    <t>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</t>
  </si>
  <si>
    <t>1236 - 32005</t>
  </si>
  <si>
    <t>1236 - 32006</t>
  </si>
  <si>
    <t>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</si>
  <si>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</si>
  <si>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</si>
  <si>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</si>
  <si>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</si>
  <si>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</si>
  <si>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</si>
  <si>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</si>
  <si>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</si>
  <si>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</si>
  <si>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</si>
  <si>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</si>
  <si>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</si>
  <si>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</si>
  <si>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</si>
  <si>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</si>
  <si>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ՀՀ ԿՐԹՈՒԹՅԱՆ, ԳԻՏՈՒԹՅԱՆ, ՄՇԱԿՈԻՅԹԻ ԵՎ ՍՊՈՐՏԻ ՆԱԽԱՐԱՐՈՒԹՅՈՒՆ</t>
  </si>
  <si>
    <t xml:space="preserve"> 1163 </t>
  </si>
  <si>
    <t xml:space="preserve"> Մասսայական սպորտ </t>
  </si>
  <si>
    <t xml:space="preserve"> Համայնքային ենթակայության մարզական հաստատությունների  վերանորոգում և կառուցում </t>
  </si>
  <si>
    <t xml:space="preserve"> Տրանսֆերտների տրամադրում </t>
  </si>
  <si>
    <t xml:space="preserve"> Շահառուների ընտրության չափորոշիչները` ՀՀ համայնքների ենթակայության մարզական հաստատությունների շենքային պայմանների բարելավման անհրաժեշտությունը </t>
  </si>
  <si>
    <t/>
  </si>
  <si>
    <t xml:space="preserve"> Ակտիվն օգտագործող կազմակերպության անվանումը` Մարզական հաստատություններ </t>
  </si>
  <si>
    <t>Նախագծանահաշվային փաստաթղթերի քանակ, հատ</t>
  </si>
  <si>
    <t>Կառուցման ենթակա օբյյեկտների թիվ, հատ</t>
  </si>
  <si>
    <t>Հաստատությունների քանակ, որոնց շինարարական աշխատանքների ավարտվածության աստիճանը 100% է, հատ</t>
  </si>
  <si>
    <t xml:space="preserve">1163 - 12001 </t>
  </si>
  <si>
    <t xml:space="preserve">1163 - 32001 </t>
  </si>
  <si>
    <t xml:space="preserve"> Ակտիվն օգտագործող կազմակերպությունների անվանումները` Հանրակրթական դպրոցներ </t>
  </si>
  <si>
    <t>Նախագծանախահաշվային փաստաթղթերի քանակ, հատ</t>
  </si>
  <si>
    <t>Հաստատությունների քանակ, որոնց շինարարական աշխատանքների ավարտվածության աստիճանը 100 տոկոս է</t>
  </si>
  <si>
    <t>Հիմնանորոգվող ուսումնական հաստատությունների քանակ, հատ</t>
  </si>
  <si>
    <t xml:space="preserve"> ՀՀ պետական դպրոցների համար ԳՏՃՄ առարկաների լաբորատոր սարքավարումների և կահույքի ձեռքբերում </t>
  </si>
  <si>
    <t xml:space="preserve"> Ակտիվն օգտագործող կազմակերպության անվանումը` Հանրակրթական ուսումնական հաստատություններ </t>
  </si>
  <si>
    <t xml:space="preserve"> Նախադպրոցական կրթության հասանելիության ապահովման նպատակով՛ մանկապարտեզների հիմնում, նոր շենքերի (մասնաշենքերի), ներառյալ՛ «Մոդուլային» տիպի շենքերի կառուցում և նախագծում </t>
  </si>
  <si>
    <t xml:space="preserve"> Ակտիվն օգտագործող կազմակերպության անվանումը` Նախադպրոցական կրթություն իրականացնող ուսումնական հաստատություններ </t>
  </si>
  <si>
    <t>Կառուցվող մանկապարտեզների քանակ, հատ</t>
  </si>
  <si>
    <t xml:space="preserve"> Հաստատությունների քանակ, որոնց շինարարական աշխատանքների ավարտվածության աստիճանը 100 տոկոս է</t>
  </si>
  <si>
    <t xml:space="preserve">  Ակտիվն օգտագործող կազմակերպությունների անվանումները` Հանրակրթական դպրոցներ </t>
  </si>
  <si>
    <t>Կառուցվող մոդուլային դպրոցների թիվը, հատ</t>
  </si>
  <si>
    <t>Մոդուլային դպրոցների թիվը, որոնց շինարարական աշխատանքների ավարտվածության աստիճանը 100 տոկոս է</t>
  </si>
  <si>
    <t>Տարվա ընթացքում կառուցումն ավարտված մոդուլային դպրոցների ընդհանուր հզորությունը (շահառուների թիվը), մարդ</t>
  </si>
  <si>
    <t xml:space="preserve"> 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 </t>
  </si>
  <si>
    <t xml:space="preserve"> Ակտիվն օգտագործող կազմակերպությունների անվանումները` Ստեղծվող կրթահամալիրներ </t>
  </si>
  <si>
    <t>Սյունիքի մարզում ՀՀ-ում կրթական որակյալ ծառայությունների հասանելիության ապահովման ծրագրի շրջանակներում կառուցվող կրթահամալիրների (կրթական կենտրոնների) քանակ, հատ</t>
  </si>
  <si>
    <t xml:space="preserve"> 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 </t>
  </si>
  <si>
    <t xml:space="preserve"> Ակտիվն օգտագործող կազմակերպությունների անվանումները` Հանրակրթական դպրոցներ, մանկապարտեզներ և կրթահամալիրներ </t>
  </si>
  <si>
    <t>ՀԱՅԱՍՏԱՆԻ ՀԱՆՐԱՊԵՏՈՒԹՅԱՆ ԿԱՌԱՎԱՐՈՒԹՅԱՆ 2024 ԹՎԱԿԱՆԻ ԴԵԿՏԵՄԲԵՐԻ 27-Ի N 2060-Ն ՈՐՈՇՄԱՆ N 9 ՀԱՎԵԼՎԱԾՈՒՄ ԿԱՏԱՐՎՈՂ ՓՈՓՈԽՈՒԹՅՈՒՆՆԵՐԸ ԵՎ ԼՐԱՑՈՒՄՆԵՐԸ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</si>
  <si>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</si>
  <si>
    <t>ԲՍԿ</t>
  </si>
  <si>
    <t>ՀՀ ՔԱՂԱՔԱՇԻՆՈՒԹՅԱՆ ԿՈՄԻՏԵ</t>
  </si>
  <si>
    <t>գ. Ներքին Սասնաշենի միջնակարգ դպրոց</t>
  </si>
  <si>
    <t xml:space="preserve">«գ. Անգեղակոթի միջնակարգ դպրոց» ՊՈԱԿ </t>
  </si>
  <si>
    <t xml:space="preserve">«գ. Բռնակոթի միջնակարգ դպրոց» ՊՈԱԿ </t>
  </si>
  <si>
    <t xml:space="preserve">«գ. Կոռնիձորի միջնակարգ դպրոց» ՊՈԱԿ </t>
  </si>
  <si>
    <t>գ. Ռյա Թազայի կրթահամալիր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</si>
</sst>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General_)"/>
    <numFmt numFmtId="173" formatCode="_-* #,##0.0\ _р_._-;\-* #,##0.0\ _р_._-;_-* &quot;-&quot;?\ _р_._-;_-@_-"/>
    <numFmt numFmtId="174" formatCode="_-* #,##0.00\ _р_._-;\-* #,##0.00\ _р_._-;_-* &quot;-&quot;??\ _р_._-;_-@_-"/>
    <numFmt numFmtId="175" formatCode="0_);\(0\)"/>
    <numFmt numFmtId="176" formatCode="_(* #,##0_);_(* \(#,##0\);_(* &quot;-&quot;??_);_(@_)"/>
  </numFmts>
  <fonts count="10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b/>
      <sz val="12"/>
      <name val="GHEA Grapalat"/>
      <family val="3"/>
    </font>
    <font>
      <sz val="11"/>
      <color rgb="FFFF0000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116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8" fillId="0" borderId="8" applyNumberFormat="0" applyFill="0" applyAlignment="0" applyProtection="0"/>
    <xf numFmtId="0" fontId="29" fillId="8" borderId="9" applyNumberFormat="0" applyAlignment="0" applyProtection="0"/>
    <xf numFmtId="0" fontId="30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3" applyNumberFormat="0" applyFill="0" applyAlignment="0" applyProtection="0"/>
    <xf numFmtId="0" fontId="35" fillId="25" borderId="0" applyNumberFormat="0" applyBorder="0" applyAlignment="0" applyProtection="0"/>
    <xf numFmtId="0" fontId="43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8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6" applyNumberFormat="0" applyAlignment="0" applyProtection="0"/>
    <xf numFmtId="0" fontId="40" fillId="3" borderId="0" applyNumberFormat="0" applyBorder="0" applyAlignment="0" applyProtection="0"/>
    <xf numFmtId="0" fontId="47" fillId="7" borderId="7" applyNumberFormat="0" applyAlignment="0" applyProtection="0"/>
    <xf numFmtId="0" fontId="44" fillId="6" borderId="6" applyNumberFormat="0" applyAlignment="0" applyProtection="0"/>
    <xf numFmtId="0" fontId="42" fillId="0" borderId="4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9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1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2" applyNumberFormat="0" applyAlignment="0" applyProtection="0"/>
    <xf numFmtId="0" fontId="57" fillId="53" borderId="13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4" applyNumberFormat="0" applyFill="0" applyAlignment="0" applyProtection="0"/>
    <xf numFmtId="0" fontId="61" fillId="0" borderId="15" applyNumberFormat="0" applyFill="0" applyAlignment="0" applyProtection="0"/>
    <xf numFmtId="0" fontId="62" fillId="0" borderId="16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2" applyNumberFormat="0" applyAlignment="0" applyProtection="0"/>
    <xf numFmtId="0" fontId="64" fillId="0" borderId="17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0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4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2" fontId="82" fillId="0" borderId="25">
      <protection locked="0"/>
    </xf>
    <xf numFmtId="172" fontId="83" fillId="56" borderId="25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6" fillId="0" borderId="0"/>
    <xf numFmtId="43" fontId="86" fillId="0" borderId="0" applyFont="0" applyFill="0" applyBorder="0" applyAlignment="0" applyProtection="0"/>
    <xf numFmtId="174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95" fillId="5" borderId="0" applyNumberFormat="0" applyBorder="0" applyAlignment="0" applyProtection="0"/>
    <xf numFmtId="0" fontId="15" fillId="0" borderId="0">
      <alignment horizontal="left" vertical="top" wrapText="1"/>
    </xf>
    <xf numFmtId="0" fontId="24" fillId="5" borderId="0" applyNumberFormat="0" applyBorder="0" applyAlignment="0" applyProtection="0"/>
    <xf numFmtId="0" fontId="1" fillId="9" borderId="10" applyNumberFormat="0" applyFont="0" applyAlignment="0" applyProtection="0"/>
    <xf numFmtId="0" fontId="33" fillId="1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5" fontId="96" fillId="0" borderId="0" applyFill="0" applyBorder="0" applyProtection="0">
      <alignment horizontal="right" vertical="top"/>
    </xf>
    <xf numFmtId="0" fontId="16" fillId="0" borderId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3" fillId="29" borderId="0" applyNumberFormat="0" applyBorder="0" applyAlignment="0" applyProtection="0"/>
    <xf numFmtId="0" fontId="33" fillId="13" borderId="0" applyNumberFormat="0" applyBorder="0" applyAlignment="0" applyProtection="0"/>
    <xf numFmtId="0" fontId="33" fillId="25" borderId="0" applyNumberFormat="0" applyBorder="0" applyAlignment="0" applyProtection="0"/>
    <xf numFmtId="0" fontId="33" fillId="21" borderId="0" applyNumberFormat="0" applyBorder="0" applyAlignment="0" applyProtection="0"/>
    <xf numFmtId="0" fontId="33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3" fillId="42" borderId="12" applyNumberFormat="0" applyAlignment="0" applyProtection="0"/>
    <xf numFmtId="0" fontId="9" fillId="0" borderId="0"/>
    <xf numFmtId="0" fontId="63" fillId="42" borderId="12" applyNumberFormat="0" applyAlignment="0" applyProtection="0"/>
    <xf numFmtId="43" fontId="16" fillId="0" borderId="0" applyFont="0" applyFill="0" applyBorder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13" fillId="11" borderId="0" applyNumberFormat="0" applyBorder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1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6" fillId="55" borderId="24" applyNumberFormat="0" applyFont="0" applyAlignment="0" applyProtection="0"/>
    <xf numFmtId="0" fontId="68" fillId="0" borderId="2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55" borderId="24" applyNumberFormat="0" applyFont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" fillId="0" borderId="0"/>
    <xf numFmtId="0" fontId="1" fillId="0" borderId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51" fillId="55" borderId="24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1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51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</cellStyleXfs>
  <cellXfs count="409">
    <xf numFmtId="0" fontId="0" fillId="0" borderId="0" xfId="0"/>
    <xf numFmtId="169" fontId="17" fillId="2" borderId="21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1" xfId="0" applyFont="1" applyFill="1" applyBorder="1" applyAlignment="1">
      <alignment horizontal="left" vertical="top" wrapText="1"/>
    </xf>
    <xf numFmtId="166" fontId="73" fillId="2" borderId="21" xfId="7" applyNumberFormat="1" applyFont="1" applyFill="1" applyBorder="1" applyAlignment="1">
      <alignment horizontal="center" vertical="center" wrapText="1"/>
    </xf>
    <xf numFmtId="169" fontId="73" fillId="2" borderId="21" xfId="7" applyNumberFormat="1" applyFont="1" applyFill="1" applyBorder="1" applyAlignment="1">
      <alignment horizontal="center" vertical="center" wrapText="1"/>
    </xf>
    <xf numFmtId="166" fontId="73" fillId="2" borderId="21" xfId="7" applyNumberFormat="1" applyFont="1" applyFill="1" applyBorder="1" applyAlignment="1">
      <alignment horizontal="right" vertical="center" wrapText="1"/>
    </xf>
    <xf numFmtId="169" fontId="17" fillId="2" borderId="21" xfId="7" applyNumberFormat="1" applyFont="1" applyFill="1" applyBorder="1" applyAlignment="1">
      <alignment horizontal="center" vertical="top" wrapText="1"/>
    </xf>
    <xf numFmtId="0" fontId="73" fillId="2" borderId="2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43" fontId="73" fillId="2" borderId="21" xfId="7" applyFont="1" applyFill="1" applyBorder="1" applyAlignment="1">
      <alignment horizontal="center" vertical="center" wrapText="1"/>
    </xf>
    <xf numFmtId="169" fontId="17" fillId="2" borderId="21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1" xfId="0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vertical="top" wrapText="1"/>
    </xf>
    <xf numFmtId="169" fontId="73" fillId="2" borderId="26" xfId="7" applyNumberFormat="1" applyFont="1" applyFill="1" applyBorder="1" applyAlignment="1">
      <alignment horizontal="right" vertical="center" wrapText="1"/>
    </xf>
    <xf numFmtId="0" fontId="73" fillId="2" borderId="0" xfId="0" applyFont="1" applyFill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1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17" fillId="2" borderId="26" xfId="0" applyFont="1" applyFill="1" applyBorder="1" applyAlignment="1">
      <alignment horizontal="center" vertical="center" wrapText="1"/>
    </xf>
    <xf numFmtId="0" fontId="73" fillId="2" borderId="0" xfId="299" applyFont="1" applyFill="1"/>
    <xf numFmtId="169" fontId="73" fillId="2" borderId="0" xfId="96" applyNumberFormat="1" applyFont="1" applyFill="1" applyAlignment="1">
      <alignment vertical="top" wrapText="1"/>
    </xf>
    <xf numFmtId="169" fontId="73" fillId="2" borderId="0" xfId="96" applyNumberFormat="1" applyFont="1" applyFill="1" applyAlignment="1">
      <alignment vertical="center" wrapText="1"/>
    </xf>
    <xf numFmtId="0" fontId="17" fillId="2" borderId="0" xfId="96" applyFont="1" applyFill="1" applyAlignment="1">
      <alignment horizontal="center" vertical="center" wrapText="1"/>
    </xf>
    <xf numFmtId="49" fontId="17" fillId="2" borderId="26" xfId="96" applyNumberFormat="1" applyFont="1" applyFill="1" applyBorder="1" applyAlignment="1">
      <alignment horizontal="center" vertical="center" textRotation="90" wrapText="1"/>
    </xf>
    <xf numFmtId="168" fontId="17" fillId="2" borderId="26" xfId="96" applyNumberFormat="1" applyFont="1" applyFill="1" applyBorder="1" applyAlignment="1">
      <alignment horizontal="center" vertical="center" wrapText="1"/>
    </xf>
    <xf numFmtId="0" fontId="17" fillId="2" borderId="26" xfId="96" applyFont="1" applyFill="1" applyBorder="1" applyAlignment="1">
      <alignment horizontal="center" vertical="center" wrapText="1"/>
    </xf>
    <xf numFmtId="165" fontId="17" fillId="2" borderId="26" xfId="6" applyFont="1" applyFill="1" applyBorder="1" applyAlignment="1">
      <alignment horizontal="center" vertical="center"/>
    </xf>
    <xf numFmtId="169" fontId="17" fillId="2" borderId="26" xfId="96" applyNumberFormat="1" applyFont="1" applyFill="1" applyBorder="1" applyAlignment="1">
      <alignment horizontal="center" vertical="center" wrapText="1"/>
    </xf>
    <xf numFmtId="0" fontId="73" fillId="2" borderId="26" xfId="96" applyFont="1" applyFill="1" applyBorder="1" applyAlignment="1">
      <alignment horizontal="center" vertical="center" wrapText="1"/>
    </xf>
    <xf numFmtId="0" fontId="87" fillId="2" borderId="26" xfId="96" applyFont="1" applyFill="1" applyBorder="1" applyAlignment="1">
      <alignment horizontal="center" vertical="center" wrapText="1"/>
    </xf>
    <xf numFmtId="168" fontId="73" fillId="2" borderId="26" xfId="96" applyNumberFormat="1" applyFont="1" applyFill="1" applyBorder="1" applyAlignment="1">
      <alignment horizontal="center" vertical="center" wrapText="1"/>
    </xf>
    <xf numFmtId="0" fontId="74" fillId="2" borderId="26" xfId="299" applyFont="1" applyFill="1" applyBorder="1" applyAlignment="1">
      <alignment horizontal="center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87" fillId="2" borderId="26" xfId="253" applyFont="1" applyFill="1" applyBorder="1" applyAlignment="1">
      <alignment horizontal="center" vertical="center" wrapText="1"/>
    </xf>
    <xf numFmtId="0" fontId="85" fillId="2" borderId="26" xfId="253" applyFont="1" applyFill="1" applyBorder="1" applyAlignment="1">
      <alignment horizontal="center" vertical="center" wrapText="1"/>
    </xf>
    <xf numFmtId="0" fontId="88" fillId="2" borderId="29" xfId="96" applyFont="1" applyFill="1" applyBorder="1" applyAlignment="1">
      <alignment horizontal="center" vertical="center" wrapText="1"/>
    </xf>
    <xf numFmtId="0" fontId="74" fillId="2" borderId="26" xfId="0" applyFont="1" applyFill="1" applyBorder="1" applyAlignment="1">
      <alignment horizontal="center"/>
    </xf>
    <xf numFmtId="0" fontId="17" fillId="0" borderId="26" xfId="96" applyFont="1" applyBorder="1" applyAlignment="1">
      <alignment horizontal="left" vertical="center" wrapText="1"/>
    </xf>
    <xf numFmtId="0" fontId="73" fillId="2" borderId="22" xfId="0" applyFont="1" applyFill="1" applyBorder="1" applyAlignment="1">
      <alignment vertical="top" wrapText="1"/>
    </xf>
    <xf numFmtId="0" fontId="73" fillId="2" borderId="1" xfId="0" applyFont="1" applyFill="1" applyBorder="1" applyAlignment="1">
      <alignment vertical="top" wrapText="1"/>
    </xf>
    <xf numFmtId="166" fontId="73" fillId="2" borderId="26" xfId="7" applyNumberFormat="1" applyFont="1" applyFill="1" applyBorder="1" applyAlignment="1">
      <alignment horizontal="right" vertical="center" wrapText="1"/>
    </xf>
    <xf numFmtId="0" fontId="85" fillId="2" borderId="26" xfId="0" applyFont="1" applyFill="1" applyBorder="1" applyAlignment="1">
      <alignment vertical="center" wrapText="1"/>
    </xf>
    <xf numFmtId="175" fontId="73" fillId="0" borderId="26" xfId="0" applyNumberFormat="1" applyFont="1" applyBorder="1" applyAlignment="1">
      <alignment horizontal="center" vertical="center"/>
    </xf>
    <xf numFmtId="169" fontId="73" fillId="2" borderId="26" xfId="0" applyNumberFormat="1" applyFont="1" applyFill="1" applyBorder="1" applyAlignment="1">
      <alignment horizontal="right" vertical="center" wrapText="1"/>
    </xf>
    <xf numFmtId="0" fontId="88" fillId="2" borderId="29" xfId="96" applyFont="1" applyFill="1" applyBorder="1" applyAlignment="1">
      <alignment horizontal="left" vertical="center" wrapText="1"/>
    </xf>
    <xf numFmtId="0" fontId="17" fillId="2" borderId="22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73" fillId="2" borderId="2" xfId="0" applyFont="1" applyFill="1" applyBorder="1" applyAlignment="1">
      <alignment vertical="top" wrapText="1"/>
    </xf>
    <xf numFmtId="169" fontId="85" fillId="2" borderId="21" xfId="7" applyNumberFormat="1" applyFont="1" applyFill="1" applyBorder="1" applyAlignment="1">
      <alignment horizontal="right" vertical="center" wrapText="1"/>
    </xf>
    <xf numFmtId="169" fontId="73" fillId="2" borderId="21" xfId="7" applyNumberFormat="1" applyFont="1" applyFill="1" applyBorder="1" applyAlignment="1">
      <alignment horizontal="right" vertical="center" wrapText="1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73" fillId="2" borderId="0" xfId="1734" applyFont="1" applyFill="1" applyAlignment="1">
      <alignment horizontal="right" vertical="center"/>
    </xf>
    <xf numFmtId="0" fontId="17" fillId="2" borderId="0" xfId="1734" applyFont="1" applyFill="1" applyAlignment="1">
      <alignment horizontal="center" vertical="center" wrapText="1"/>
    </xf>
    <xf numFmtId="0" fontId="73" fillId="2" borderId="26" xfId="1735" applyFont="1" applyFill="1" applyBorder="1" applyAlignment="1">
      <alignment horizontal="center" vertical="center" wrapText="1"/>
    </xf>
    <xf numFmtId="0" fontId="73" fillId="2" borderId="26" xfId="1736" applyFont="1" applyFill="1" applyBorder="1" applyAlignment="1">
      <alignment horizontal="center" vertical="center"/>
    </xf>
    <xf numFmtId="0" fontId="73" fillId="2" borderId="26" xfId="1735" applyFont="1" applyFill="1" applyBorder="1" applyAlignment="1">
      <alignment horizontal="center"/>
    </xf>
    <xf numFmtId="173" fontId="73" fillId="2" borderId="0" xfId="299" applyNumberFormat="1" applyFont="1" applyFill="1"/>
    <xf numFmtId="0" fontId="73" fillId="2" borderId="0" xfId="299" applyFont="1" applyFill="1" applyAlignment="1">
      <alignment vertical="center"/>
    </xf>
    <xf numFmtId="0" fontId="73" fillId="2" borderId="0" xfId="299" applyFont="1" applyFill="1" applyAlignment="1">
      <alignment horizontal="center" vertical="center"/>
    </xf>
    <xf numFmtId="0" fontId="17" fillId="2" borderId="0" xfId="0" applyFont="1" applyFill="1" applyAlignment="1">
      <alignment horizontal="center" wrapText="1"/>
    </xf>
    <xf numFmtId="0" fontId="73" fillId="2" borderId="26" xfId="208" applyFont="1" applyFill="1" applyBorder="1" applyAlignment="1">
      <alignment horizontal="center"/>
    </xf>
    <xf numFmtId="0" fontId="73" fillId="2" borderId="26" xfId="208" applyFont="1" applyFill="1" applyBorder="1" applyAlignment="1">
      <alignment horizontal="left"/>
    </xf>
    <xf numFmtId="169" fontId="73" fillId="0" borderId="26" xfId="208" applyNumberFormat="1" applyFont="1" applyBorder="1"/>
    <xf numFmtId="43" fontId="73" fillId="2" borderId="26" xfId="217" applyFont="1" applyFill="1" applyBorder="1"/>
    <xf numFmtId="0" fontId="73" fillId="2" borderId="26" xfId="208" applyFont="1" applyFill="1" applyBorder="1"/>
    <xf numFmtId="0" fontId="90" fillId="2" borderId="0" xfId="208" applyFont="1" applyFill="1"/>
    <xf numFmtId="169" fontId="88" fillId="2" borderId="26" xfId="2030" applyNumberFormat="1" applyFont="1" applyFill="1" applyBorder="1" applyAlignment="1">
      <alignment vertical="center"/>
    </xf>
    <xf numFmtId="166" fontId="88" fillId="2" borderId="26" xfId="2030" applyNumberFormat="1" applyFont="1" applyFill="1" applyBorder="1" applyAlignment="1">
      <alignment vertical="center"/>
    </xf>
    <xf numFmtId="0" fontId="89" fillId="2" borderId="0" xfId="208" applyFont="1" applyFill="1"/>
    <xf numFmtId="0" fontId="85" fillId="2" borderId="29" xfId="208" applyFont="1" applyFill="1" applyBorder="1" applyAlignment="1">
      <alignment vertical="center" wrapText="1"/>
    </xf>
    <xf numFmtId="169" fontId="85" fillId="2" borderId="26" xfId="2030" applyNumberFormat="1" applyFont="1" applyFill="1" applyBorder="1" applyAlignment="1">
      <alignment vertical="center"/>
    </xf>
    <xf numFmtId="166" fontId="85" fillId="2" borderId="26" xfId="2030" applyNumberFormat="1" applyFont="1" applyFill="1" applyBorder="1" applyAlignment="1">
      <alignment vertical="center"/>
    </xf>
    <xf numFmtId="0" fontId="85" fillId="2" borderId="26" xfId="208" applyFont="1" applyFill="1" applyBorder="1" applyAlignment="1">
      <alignment vertical="center"/>
    </xf>
    <xf numFmtId="0" fontId="89" fillId="2" borderId="0" xfId="208" applyFont="1" applyFill="1" applyAlignment="1">
      <alignment vertical="center"/>
    </xf>
    <xf numFmtId="0" fontId="73" fillId="2" borderId="27" xfId="0" applyFont="1" applyFill="1" applyBorder="1" applyAlignment="1">
      <alignment vertical="center"/>
    </xf>
    <xf numFmtId="0" fontId="73" fillId="2" borderId="28" xfId="0" applyFont="1" applyFill="1" applyBorder="1" applyAlignment="1">
      <alignment vertical="center"/>
    </xf>
    <xf numFmtId="0" fontId="73" fillId="2" borderId="29" xfId="0" applyFont="1" applyFill="1" applyBorder="1" applyAlignment="1">
      <alignment vertical="center"/>
    </xf>
    <xf numFmtId="0" fontId="73" fillId="57" borderId="26" xfId="0" applyFont="1" applyFill="1" applyBorder="1" applyAlignment="1">
      <alignment wrapText="1"/>
    </xf>
    <xf numFmtId="39" fontId="73" fillId="57" borderId="29" xfId="0" applyNumberFormat="1" applyFont="1" applyFill="1" applyBorder="1" applyAlignment="1">
      <alignment horizontal="right" vertical="center" wrapText="1"/>
    </xf>
    <xf numFmtId="169" fontId="73" fillId="2" borderId="29" xfId="0" applyNumberFormat="1" applyFont="1" applyFill="1" applyBorder="1" applyAlignment="1">
      <alignment horizontal="right" vertical="top" wrapText="1"/>
    </xf>
    <xf numFmtId="0" fontId="73" fillId="2" borderId="0" xfId="0" applyFont="1" applyFill="1" applyAlignment="1">
      <alignment vertical="top"/>
    </xf>
    <xf numFmtId="0" fontId="73" fillId="2" borderId="26" xfId="0" applyFont="1" applyFill="1" applyBorder="1" applyAlignment="1">
      <alignment horizontal="center" vertical="center" wrapText="1"/>
    </xf>
    <xf numFmtId="165" fontId="73" fillId="2" borderId="26" xfId="6" applyFont="1" applyFill="1" applyBorder="1" applyAlignment="1">
      <alignment horizontal="center" vertical="center"/>
    </xf>
    <xf numFmtId="0" fontId="73" fillId="2" borderId="0" xfId="0" applyFont="1" applyFill="1" applyAlignment="1">
      <alignment horizontal="left" vertical="center" wrapText="1"/>
    </xf>
    <xf numFmtId="0" fontId="73" fillId="2" borderId="29" xfId="0" applyFont="1" applyFill="1" applyBorder="1" applyAlignment="1">
      <alignment horizontal="center" vertical="center"/>
    </xf>
    <xf numFmtId="0" fontId="93" fillId="2" borderId="1" xfId="0" applyFont="1" applyFill="1" applyBorder="1"/>
    <xf numFmtId="0" fontId="93" fillId="2" borderId="26" xfId="0" applyFont="1" applyFill="1" applyBorder="1"/>
    <xf numFmtId="166" fontId="14" fillId="2" borderId="26" xfId="253" applyNumberFormat="1" applyFont="1" applyFill="1" applyBorder="1" applyAlignment="1">
      <alignment vertical="center"/>
    </xf>
    <xf numFmtId="0" fontId="73" fillId="2" borderId="31" xfId="0" applyFont="1" applyFill="1" applyBorder="1" applyAlignment="1">
      <alignment horizontal="center" vertical="top" wrapText="1"/>
    </xf>
    <xf numFmtId="0" fontId="73" fillId="2" borderId="31" xfId="0" applyFont="1" applyFill="1" applyBorder="1" applyAlignment="1">
      <alignment horizontal="left" vertical="top" wrapText="1"/>
    </xf>
    <xf numFmtId="0" fontId="17" fillId="2" borderId="31" xfId="0" applyFont="1" applyFill="1" applyBorder="1" applyAlignment="1">
      <alignment horizontal="left" vertical="top" wrapText="1"/>
    </xf>
    <xf numFmtId="0" fontId="17" fillId="2" borderId="31" xfId="0" applyFont="1" applyFill="1" applyBorder="1" applyAlignment="1">
      <alignment horizontal="left" vertical="center" wrapText="1"/>
    </xf>
    <xf numFmtId="0" fontId="73" fillId="2" borderId="31" xfId="0" applyFont="1" applyFill="1" applyBorder="1" applyAlignment="1">
      <alignment horizontal="left" vertical="center" wrapText="1"/>
    </xf>
    <xf numFmtId="166" fontId="74" fillId="2" borderId="0" xfId="253" applyNumberFormat="1" applyFont="1" applyFill="1" applyAlignment="1">
      <alignment wrapText="1"/>
    </xf>
    <xf numFmtId="166" fontId="74" fillId="2" borderId="0" xfId="253" applyNumberFormat="1" applyFont="1" applyFill="1" applyAlignment="1">
      <alignment horizontal="center"/>
    </xf>
    <xf numFmtId="166" fontId="14" fillId="2" borderId="26" xfId="165" applyNumberFormat="1" applyFont="1" applyFill="1" applyBorder="1" applyAlignment="1">
      <alignment horizontal="center" vertical="center" wrapText="1"/>
    </xf>
    <xf numFmtId="166" fontId="73" fillId="2" borderId="26" xfId="96" applyNumberFormat="1" applyFont="1" applyFill="1" applyBorder="1" applyAlignment="1">
      <alignment vertical="center" wrapText="1"/>
    </xf>
    <xf numFmtId="166" fontId="88" fillId="2" borderId="26" xfId="6" applyNumberFormat="1" applyFont="1" applyFill="1" applyBorder="1" applyAlignment="1">
      <alignment horizontal="center" vertical="center"/>
    </xf>
    <xf numFmtId="166" fontId="74" fillId="2" borderId="26" xfId="253" applyNumberFormat="1" applyFont="1" applyFill="1" applyBorder="1"/>
    <xf numFmtId="166" fontId="74" fillId="2" borderId="26" xfId="7" applyNumberFormat="1" applyFont="1" applyFill="1" applyBorder="1" applyAlignment="1">
      <alignment vertical="center"/>
    </xf>
    <xf numFmtId="166" fontId="17" fillId="2" borderId="26" xfId="96" applyNumberFormat="1" applyFont="1" applyFill="1" applyBorder="1" applyAlignment="1">
      <alignment horizontal="center" vertical="center" wrapText="1"/>
    </xf>
    <xf numFmtId="166" fontId="74" fillId="2" borderId="0" xfId="253" applyNumberFormat="1" applyFont="1" applyFill="1"/>
    <xf numFmtId="166" fontId="91" fillId="0" borderId="26" xfId="96" applyNumberFormat="1" applyFont="1" applyBorder="1" applyAlignment="1">
      <alignment horizontal="center" vertical="center" wrapText="1"/>
    </xf>
    <xf numFmtId="0" fontId="17" fillId="0" borderId="26" xfId="96" applyFont="1" applyBorder="1" applyAlignment="1">
      <alignment horizontal="center" vertical="center" wrapText="1"/>
    </xf>
    <xf numFmtId="169" fontId="17" fillId="0" borderId="26" xfId="96" applyNumberFormat="1" applyFont="1" applyBorder="1" applyAlignment="1">
      <alignment horizontal="center" vertical="center" wrapText="1"/>
    </xf>
    <xf numFmtId="165" fontId="17" fillId="0" borderId="26" xfId="6" applyFont="1" applyFill="1" applyBorder="1" applyAlignment="1">
      <alignment horizontal="center" vertical="center"/>
    </xf>
    <xf numFmtId="0" fontId="73" fillId="0" borderId="0" xfId="299" applyFont="1"/>
    <xf numFmtId="0" fontId="73" fillId="0" borderId="26" xfId="208" applyFont="1" applyBorder="1" applyAlignment="1">
      <alignment horizontal="center"/>
    </xf>
    <xf numFmtId="0" fontId="73" fillId="0" borderId="26" xfId="208" applyFont="1" applyBorder="1" applyAlignment="1">
      <alignment horizontal="left"/>
    </xf>
    <xf numFmtId="43" fontId="73" fillId="0" borderId="26" xfId="217" applyFont="1" applyFill="1" applyBorder="1"/>
    <xf numFmtId="0" fontId="73" fillId="0" borderId="26" xfId="208" applyFont="1" applyBorder="1"/>
    <xf numFmtId="0" fontId="90" fillId="0" borderId="0" xfId="208" applyFont="1"/>
    <xf numFmtId="0" fontId="17" fillId="2" borderId="31" xfId="0" applyFont="1" applyFill="1" applyBorder="1" applyAlignment="1">
      <alignment horizontal="center" vertical="center" wrapText="1"/>
    </xf>
    <xf numFmtId="39" fontId="17" fillId="2" borderId="26" xfId="96" applyNumberFormat="1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/>
    </xf>
    <xf numFmtId="0" fontId="85" fillId="2" borderId="31" xfId="165" applyFont="1" applyFill="1" applyBorder="1">
      <alignment horizontal="left" vertical="top" wrapText="1"/>
    </xf>
    <xf numFmtId="0" fontId="74" fillId="0" borderId="23" xfId="0" applyFont="1" applyBorder="1" applyAlignment="1">
      <alignment horizontal="left" vertical="top" wrapText="1"/>
    </xf>
    <xf numFmtId="0" fontId="73" fillId="0" borderId="23" xfId="0" applyFont="1" applyBorder="1" applyAlignment="1">
      <alignment horizontal="left" vertical="top" wrapText="1"/>
    </xf>
    <xf numFmtId="0" fontId="85" fillId="2" borderId="34" xfId="0" applyFont="1" applyFill="1" applyBorder="1" applyAlignment="1">
      <alignment vertical="center" wrapText="1"/>
    </xf>
    <xf numFmtId="0" fontId="73" fillId="2" borderId="0" xfId="253" applyFont="1" applyFill="1"/>
    <xf numFmtId="166" fontId="17" fillId="2" borderId="26" xfId="253" applyNumberFormat="1" applyFont="1" applyFill="1" applyBorder="1" applyAlignment="1">
      <alignment vertical="center"/>
    </xf>
    <xf numFmtId="166" fontId="73" fillId="2" borderId="34" xfId="7" applyNumberFormat="1" applyFont="1" applyFill="1" applyBorder="1" applyAlignment="1">
      <alignment horizontal="right" vertical="center" wrapText="1"/>
    </xf>
    <xf numFmtId="0" fontId="17" fillId="2" borderId="1" xfId="0" applyFont="1" applyFill="1" applyBorder="1" applyAlignment="1">
      <alignment vertical="top" wrapText="1"/>
    </xf>
    <xf numFmtId="0" fontId="17" fillId="2" borderId="34" xfId="0" applyFont="1" applyFill="1" applyBorder="1" applyAlignment="1">
      <alignment horizontal="left" vertical="top" wrapText="1"/>
    </xf>
    <xf numFmtId="169" fontId="73" fillId="2" borderId="34" xfId="7" applyNumberFormat="1" applyFont="1" applyFill="1" applyBorder="1" applyAlignment="1">
      <alignment horizontal="center" vertical="center" wrapText="1"/>
    </xf>
    <xf numFmtId="0" fontId="73" fillId="2" borderId="34" xfId="0" applyFont="1" applyFill="1" applyBorder="1" applyAlignment="1">
      <alignment horizontal="left" vertical="top" wrapText="1"/>
    </xf>
    <xf numFmtId="0" fontId="73" fillId="2" borderId="34" xfId="0" applyFont="1" applyFill="1" applyBorder="1" applyAlignment="1">
      <alignment horizontal="left" vertical="center" wrapText="1"/>
    </xf>
    <xf numFmtId="169" fontId="17" fillId="2" borderId="34" xfId="7" applyNumberFormat="1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center"/>
    </xf>
    <xf numFmtId="0" fontId="17" fillId="2" borderId="34" xfId="0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left" vertical="center" wrapText="1"/>
    </xf>
    <xf numFmtId="169" fontId="17" fillId="2" borderId="34" xfId="7" applyNumberFormat="1" applyFont="1" applyFill="1" applyBorder="1" applyAlignment="1">
      <alignment horizontal="right" vertical="center" wrapText="1"/>
    </xf>
    <xf numFmtId="0" fontId="85" fillId="2" borderId="34" xfId="165" applyFont="1" applyFill="1" applyBorder="1">
      <alignment horizontal="left" vertical="top" wrapText="1"/>
    </xf>
    <xf numFmtId="169" fontId="85" fillId="2" borderId="34" xfId="7" applyNumberFormat="1" applyFont="1" applyFill="1" applyBorder="1" applyAlignment="1">
      <alignment horizontal="right" vertical="center" wrapText="1"/>
    </xf>
    <xf numFmtId="166" fontId="73" fillId="2" borderId="34" xfId="7" applyNumberFormat="1" applyFont="1" applyFill="1" applyBorder="1" applyAlignment="1">
      <alignment horizontal="center" vertical="center" wrapText="1"/>
    </xf>
    <xf numFmtId="169" fontId="73" fillId="2" borderId="34" xfId="7" applyNumberFormat="1" applyFont="1" applyFill="1" applyBorder="1" applyAlignment="1">
      <alignment horizontal="right" vertical="center" wrapText="1"/>
    </xf>
    <xf numFmtId="0" fontId="73" fillId="2" borderId="34" xfId="0" applyFont="1" applyFill="1" applyBorder="1" applyAlignment="1">
      <alignment horizontal="center" vertical="top" wrapText="1"/>
    </xf>
    <xf numFmtId="0" fontId="93" fillId="2" borderId="34" xfId="0" applyFont="1" applyFill="1" applyBorder="1"/>
    <xf numFmtId="0" fontId="73" fillId="57" borderId="34" xfId="0" applyFont="1" applyFill="1" applyBorder="1" applyAlignment="1">
      <alignment wrapText="1"/>
    </xf>
    <xf numFmtId="0" fontId="73" fillId="2" borderId="34" xfId="0" applyFont="1" applyFill="1" applyBorder="1" applyAlignment="1">
      <alignment vertical="top" wrapText="1"/>
    </xf>
    <xf numFmtId="0" fontId="85" fillId="2" borderId="29" xfId="0" applyFont="1" applyFill="1" applyBorder="1" applyAlignment="1">
      <alignment vertical="center" wrapText="1"/>
    </xf>
    <xf numFmtId="0" fontId="17" fillId="2" borderId="34" xfId="96" applyFont="1" applyFill="1" applyBorder="1" applyAlignment="1">
      <alignment horizontal="center" vertical="center" wrapText="1"/>
    </xf>
    <xf numFmtId="0" fontId="17" fillId="2" borderId="34" xfId="96" applyFont="1" applyFill="1" applyBorder="1" applyAlignment="1">
      <alignment horizontal="left" vertical="center" wrapText="1"/>
    </xf>
    <xf numFmtId="43" fontId="73" fillId="2" borderId="0" xfId="0" applyNumberFormat="1" applyFont="1" applyFill="1"/>
    <xf numFmtId="0" fontId="73" fillId="2" borderId="34" xfId="253" applyFont="1" applyFill="1" applyBorder="1" applyAlignment="1">
      <alignment horizontal="center"/>
    </xf>
    <xf numFmtId="0" fontId="73" fillId="2" borderId="34" xfId="0" applyFont="1" applyFill="1" applyBorder="1"/>
    <xf numFmtId="169" fontId="17" fillId="2" borderId="34" xfId="96" applyNumberFormat="1" applyFont="1" applyFill="1" applyBorder="1" applyAlignment="1">
      <alignment horizontal="center" vertical="center" wrapText="1"/>
    </xf>
    <xf numFmtId="49" fontId="17" fillId="2" borderId="1" xfId="0" applyNumberFormat="1" applyFont="1" applyFill="1" applyBorder="1" applyAlignment="1">
      <alignment horizontal="center" vertical="top" wrapText="1"/>
    </xf>
    <xf numFmtId="49" fontId="17" fillId="2" borderId="0" xfId="96" applyNumberFormat="1" applyFont="1" applyFill="1" applyAlignment="1">
      <alignment horizontal="center" vertical="center" wrapText="1"/>
    </xf>
    <xf numFmtId="0" fontId="74" fillId="2" borderId="22" xfId="253" applyFont="1" applyFill="1" applyBorder="1" applyAlignment="1">
      <alignment horizontal="center"/>
    </xf>
    <xf numFmtId="0" fontId="73" fillId="2" borderId="22" xfId="253" applyFont="1" applyFill="1" applyBorder="1" applyAlignment="1">
      <alignment horizontal="center"/>
    </xf>
    <xf numFmtId="0" fontId="73" fillId="2" borderId="34" xfId="0" applyFont="1" applyFill="1" applyBorder="1" applyAlignment="1">
      <alignment horizontal="center" vertical="center" wrapText="1"/>
    </xf>
    <xf numFmtId="169" fontId="73" fillId="57" borderId="29" xfId="0" applyNumberFormat="1" applyFont="1" applyFill="1" applyBorder="1" applyAlignment="1">
      <alignment horizontal="right" vertical="center" wrapText="1"/>
    </xf>
    <xf numFmtId="0" fontId="73" fillId="2" borderId="32" xfId="1737" applyFont="1" applyFill="1" applyBorder="1" applyAlignment="1">
      <alignment vertical="center"/>
    </xf>
    <xf numFmtId="0" fontId="73" fillId="2" borderId="33" xfId="1737" applyFont="1" applyFill="1" applyBorder="1" applyAlignment="1">
      <alignment vertical="center"/>
    </xf>
    <xf numFmtId="0" fontId="73" fillId="2" borderId="33" xfId="1737" applyFont="1" applyFill="1" applyBorder="1" applyAlignment="1">
      <alignment horizontal="center" vertical="center"/>
    </xf>
    <xf numFmtId="169" fontId="73" fillId="2" borderId="29" xfId="1737" applyNumberFormat="1" applyFont="1" applyFill="1" applyBorder="1" applyAlignment="1">
      <alignment vertical="center"/>
    </xf>
    <xf numFmtId="174" fontId="73" fillId="2" borderId="0" xfId="2027" applyFont="1" applyFill="1"/>
    <xf numFmtId="0" fontId="73" fillId="2" borderId="34" xfId="299" applyFont="1" applyFill="1" applyBorder="1" applyAlignment="1">
      <alignment horizontal="center" vertical="center" wrapText="1"/>
    </xf>
    <xf numFmtId="165" fontId="73" fillId="2" borderId="34" xfId="6" applyFont="1" applyFill="1" applyBorder="1" applyAlignment="1">
      <alignment horizontal="center" vertical="center"/>
    </xf>
    <xf numFmtId="171" fontId="73" fillId="2" borderId="34" xfId="6" applyNumberFormat="1" applyFont="1" applyFill="1" applyBorder="1" applyAlignment="1">
      <alignment horizontal="center" vertical="center"/>
    </xf>
    <xf numFmtId="169" fontId="73" fillId="2" borderId="34" xfId="299" applyNumberFormat="1" applyFont="1" applyFill="1" applyBorder="1" applyAlignment="1">
      <alignment horizontal="right" vertical="center" wrapText="1"/>
    </xf>
    <xf numFmtId="0" fontId="73" fillId="2" borderId="0" xfId="299" applyFont="1" applyFill="1" applyAlignment="1">
      <alignment horizontal="left" vertical="center" wrapText="1"/>
    </xf>
    <xf numFmtId="169" fontId="73" fillId="2" borderId="34" xfId="0" applyNumberFormat="1" applyFont="1" applyFill="1" applyBorder="1" applyAlignment="1">
      <alignment horizontal="right" vertical="center" wrapText="1"/>
    </xf>
    <xf numFmtId="0" fontId="73" fillId="0" borderId="34" xfId="0" applyFont="1" applyBorder="1"/>
    <xf numFmtId="0" fontId="73" fillId="0" borderId="0" xfId="0" applyFont="1"/>
    <xf numFmtId="0" fontId="88" fillId="2" borderId="34" xfId="0" applyFont="1" applyFill="1" applyBorder="1" applyAlignment="1">
      <alignment vertical="center" wrapText="1"/>
    </xf>
    <xf numFmtId="166" fontId="88" fillId="2" borderId="34" xfId="7" applyNumberFormat="1" applyFont="1" applyFill="1" applyBorder="1"/>
    <xf numFmtId="166" fontId="85" fillId="2" borderId="34" xfId="7" applyNumberFormat="1" applyFont="1" applyFill="1" applyBorder="1" applyAlignment="1">
      <alignment vertical="center"/>
    </xf>
    <xf numFmtId="0" fontId="73" fillId="2" borderId="32" xfId="0" applyFont="1" applyFill="1" applyBorder="1" applyAlignment="1">
      <alignment vertical="center"/>
    </xf>
    <xf numFmtId="0" fontId="73" fillId="2" borderId="33" xfId="0" applyFont="1" applyFill="1" applyBorder="1" applyAlignment="1">
      <alignment vertical="center"/>
    </xf>
    <xf numFmtId="0" fontId="73" fillId="2" borderId="22" xfId="0" applyFont="1" applyFill="1" applyBorder="1" applyAlignment="1">
      <alignment horizontal="center"/>
    </xf>
    <xf numFmtId="0" fontId="73" fillId="2" borderId="34" xfId="208" applyFont="1" applyFill="1" applyBorder="1" applyAlignment="1">
      <alignment horizontal="center"/>
    </xf>
    <xf numFmtId="0" fontId="73" fillId="2" borderId="34" xfId="208" applyFont="1" applyFill="1" applyBorder="1"/>
    <xf numFmtId="169" fontId="73" fillId="0" borderId="34" xfId="0" applyNumberFormat="1" applyFont="1" applyBorder="1" applyAlignment="1">
      <alignment horizontal="right" vertical="center" wrapText="1"/>
    </xf>
    <xf numFmtId="175" fontId="73" fillId="0" borderId="34" xfId="0" applyNumberFormat="1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left" vertical="center" wrapText="1"/>
    </xf>
    <xf numFmtId="0" fontId="73" fillId="2" borderId="0" xfId="1660" applyFont="1" applyFill="1" applyAlignment="1">
      <alignment vertical="top"/>
    </xf>
    <xf numFmtId="0" fontId="73" fillId="2" borderId="0" xfId="299" applyFont="1" applyFill="1" applyAlignment="1">
      <alignment vertical="top"/>
    </xf>
    <xf numFmtId="0" fontId="73" fillId="2" borderId="0" xfId="1660" applyFont="1" applyFill="1"/>
    <xf numFmtId="0" fontId="73" fillId="2" borderId="0" xfId="2028" applyFont="1" applyFill="1"/>
    <xf numFmtId="43" fontId="73" fillId="2" borderId="0" xfId="299" applyNumberFormat="1" applyFont="1" applyFill="1"/>
    <xf numFmtId="0" fontId="17" fillId="2" borderId="34" xfId="96" applyFont="1" applyFill="1" applyBorder="1" applyAlignment="1">
      <alignment vertical="center" wrapText="1"/>
    </xf>
    <xf numFmtId="166" fontId="85" fillId="2" borderId="34" xfId="300" applyNumberFormat="1" applyFont="1" applyFill="1" applyBorder="1" applyAlignment="1">
      <alignment vertical="center"/>
    </xf>
    <xf numFmtId="0" fontId="17" fillId="2" borderId="22" xfId="0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center" vertical="top" wrapText="1"/>
    </xf>
    <xf numFmtId="0" fontId="17" fillId="2" borderId="22" xfId="96" applyFont="1" applyFill="1" applyBorder="1" applyAlignment="1">
      <alignment horizontal="center" vertical="center" wrapText="1"/>
    </xf>
    <xf numFmtId="0" fontId="73" fillId="2" borderId="22" xfId="208" applyFont="1" applyFill="1" applyBorder="1" applyAlignment="1">
      <alignment horizontal="center"/>
    </xf>
    <xf numFmtId="0" fontId="73" fillId="2" borderId="2" xfId="208" applyFont="1" applyFill="1" applyBorder="1" applyAlignment="1">
      <alignment horizontal="center"/>
    </xf>
    <xf numFmtId="0" fontId="73" fillId="2" borderId="23" xfId="0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left" vertical="center" wrapText="1"/>
    </xf>
    <xf numFmtId="0" fontId="73" fillId="2" borderId="34" xfId="299" applyFont="1" applyFill="1" applyBorder="1" applyAlignment="1">
      <alignment horizontal="left" vertical="center" wrapText="1"/>
    </xf>
    <xf numFmtId="0" fontId="100" fillId="2" borderId="0" xfId="299" applyFont="1" applyFill="1"/>
    <xf numFmtId="0" fontId="100" fillId="2" borderId="0" xfId="0" applyFont="1" applyFill="1"/>
    <xf numFmtId="0" fontId="100" fillId="0" borderId="0" xfId="0" applyFont="1"/>
    <xf numFmtId="43" fontId="100" fillId="2" borderId="0" xfId="0" applyNumberFormat="1" applyFont="1" applyFill="1"/>
    <xf numFmtId="0" fontId="99" fillId="2" borderId="1" xfId="96" applyFont="1" applyFill="1" applyBorder="1" applyAlignment="1">
      <alignment horizontal="center" vertical="center" wrapText="1"/>
    </xf>
    <xf numFmtId="0" fontId="100" fillId="2" borderId="0" xfId="0" applyFont="1" applyFill="1" applyAlignment="1">
      <alignment vertical="top"/>
    </xf>
    <xf numFmtId="0" fontId="100" fillId="2" borderId="0" xfId="0" applyFont="1" applyFill="1" applyAlignment="1">
      <alignment vertical="center"/>
    </xf>
    <xf numFmtId="0" fontId="100" fillId="2" borderId="0" xfId="0" applyFont="1" applyFill="1" applyAlignment="1">
      <alignment horizontal="left" vertical="center" wrapText="1"/>
    </xf>
    <xf numFmtId="0" fontId="100" fillId="2" borderId="0" xfId="253" applyFont="1" applyFill="1"/>
    <xf numFmtId="43" fontId="73" fillId="2" borderId="34" xfId="7" applyFont="1" applyFill="1" applyBorder="1" applyAlignment="1">
      <alignment vertical="center"/>
    </xf>
    <xf numFmtId="0" fontId="93" fillId="2" borderId="2" xfId="0" applyFont="1" applyFill="1" applyBorder="1" applyAlignment="1">
      <alignment horizontal="center"/>
    </xf>
    <xf numFmtId="0" fontId="73" fillId="2" borderId="2" xfId="253" applyFont="1" applyFill="1" applyBorder="1" applyAlignment="1">
      <alignment horizontal="center"/>
    </xf>
    <xf numFmtId="0" fontId="73" fillId="2" borderId="26" xfId="299" applyFont="1" applyFill="1" applyBorder="1" applyAlignment="1">
      <alignment horizontal="center"/>
    </xf>
    <xf numFmtId="0" fontId="73" fillId="2" borderId="26" xfId="0" applyFont="1" applyFill="1" applyBorder="1" applyAlignment="1">
      <alignment horizontal="center"/>
    </xf>
    <xf numFmtId="166" fontId="73" fillId="2" borderId="26" xfId="253" applyNumberFormat="1" applyFont="1" applyFill="1" applyBorder="1"/>
    <xf numFmtId="0" fontId="73" fillId="2" borderId="23" xfId="0" applyFont="1" applyFill="1" applyBorder="1" applyAlignment="1">
      <alignment horizontal="left" vertical="top" wrapText="1"/>
    </xf>
    <xf numFmtId="166" fontId="73" fillId="2" borderId="26" xfId="7" applyNumberFormat="1" applyFont="1" applyFill="1" applyBorder="1" applyAlignment="1">
      <alignment vertical="center"/>
    </xf>
    <xf numFmtId="0" fontId="73" fillId="2" borderId="34" xfId="299" applyFont="1" applyFill="1" applyBorder="1" applyAlignment="1">
      <alignment vertical="top"/>
    </xf>
    <xf numFmtId="169" fontId="73" fillId="2" borderId="34" xfId="7" applyNumberFormat="1" applyFont="1" applyFill="1" applyBorder="1" applyAlignment="1">
      <alignment horizontal="right" vertical="top" wrapText="1"/>
    </xf>
    <xf numFmtId="0" fontId="73" fillId="2" borderId="34" xfId="96" applyFont="1" applyFill="1" applyBorder="1" applyAlignment="1">
      <alignment horizontal="center" vertical="center" wrapText="1"/>
    </xf>
    <xf numFmtId="49" fontId="17" fillId="2" borderId="34" xfId="96" applyNumberFormat="1" applyFont="1" applyFill="1" applyBorder="1" applyAlignment="1">
      <alignment horizontal="center" vertical="center" textRotation="90" wrapText="1"/>
    </xf>
    <xf numFmtId="166" fontId="73" fillId="0" borderId="26" xfId="7" applyNumberFormat="1" applyFont="1" applyFill="1" applyBorder="1" applyAlignment="1">
      <alignment vertical="center"/>
    </xf>
    <xf numFmtId="169" fontId="17" fillId="58" borderId="21" xfId="7" applyNumberFormat="1" applyFont="1" applyFill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74" fillId="2" borderId="34" xfId="0" applyFont="1" applyFill="1" applyBorder="1" applyAlignment="1">
      <alignment vertical="center" wrapText="1"/>
    </xf>
    <xf numFmtId="0" fontId="73" fillId="2" borderId="34" xfId="0" applyFont="1" applyFill="1" applyBorder="1" applyAlignment="1">
      <alignment vertical="center" wrapText="1"/>
    </xf>
    <xf numFmtId="0" fontId="85" fillId="2" borderId="23" xfId="165" applyFont="1" applyFill="1" applyBorder="1">
      <alignment horizontal="left" vertical="top" wrapText="1"/>
    </xf>
    <xf numFmtId="0" fontId="17" fillId="2" borderId="23" xfId="0" applyFont="1" applyFill="1" applyBorder="1" applyAlignment="1">
      <alignment horizontal="center"/>
    </xf>
    <xf numFmtId="0" fontId="17" fillId="2" borderId="2" xfId="0" applyFont="1" applyFill="1" applyBorder="1" applyAlignment="1">
      <alignment vertical="top" wrapText="1"/>
    </xf>
    <xf numFmtId="0" fontId="17" fillId="2" borderId="36" xfId="0" applyFont="1" applyFill="1" applyBorder="1" applyAlignment="1">
      <alignment vertical="top" wrapText="1"/>
    </xf>
    <xf numFmtId="0" fontId="17" fillId="2" borderId="37" xfId="0" applyFont="1" applyFill="1" applyBorder="1" applyAlignment="1">
      <alignment vertical="top" wrapText="1"/>
    </xf>
    <xf numFmtId="0" fontId="17" fillId="2" borderId="34" xfId="0" applyFont="1" applyFill="1" applyBorder="1" applyAlignment="1">
      <alignment vertical="center" wrapText="1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74" fillId="0" borderId="0" xfId="0" applyFont="1" applyAlignment="1">
      <alignment horizontal="left" vertical="center" wrapText="1"/>
    </xf>
    <xf numFmtId="43" fontId="73" fillId="2" borderId="34" xfId="7" applyFont="1" applyFill="1" applyBorder="1" applyAlignment="1">
      <alignment vertical="center" wrapText="1"/>
    </xf>
    <xf numFmtId="43" fontId="17" fillId="2" borderId="34" xfId="7" applyFont="1" applyFill="1" applyBorder="1" applyAlignment="1">
      <alignment vertical="center" wrapText="1"/>
    </xf>
    <xf numFmtId="43" fontId="17" fillId="2" borderId="34" xfId="0" applyNumberFormat="1" applyFont="1" applyFill="1" applyBorder="1" applyAlignment="1">
      <alignment vertical="center" wrapText="1"/>
    </xf>
    <xf numFmtId="0" fontId="93" fillId="0" borderId="0" xfId="0" applyFont="1" applyAlignment="1">
      <alignment horizontal="left" vertical="top" wrapText="1"/>
    </xf>
    <xf numFmtId="0" fontId="74" fillId="2" borderId="0" xfId="0" applyFont="1" applyFill="1" applyAlignment="1">
      <alignment vertical="center" wrapText="1"/>
    </xf>
    <xf numFmtId="0" fontId="14" fillId="2" borderId="0" xfId="0" applyFont="1" applyFill="1" applyAlignment="1">
      <alignment vertical="center" wrapText="1"/>
    </xf>
    <xf numFmtId="0" fontId="14" fillId="2" borderId="34" xfId="0" applyFont="1" applyFill="1" applyBorder="1" applyAlignment="1">
      <alignment vertical="center" wrapText="1"/>
    </xf>
    <xf numFmtId="43" fontId="14" fillId="2" borderId="34" xfId="7" applyFont="1" applyFill="1" applyBorder="1" applyAlignment="1">
      <alignment vertical="center" wrapText="1"/>
    </xf>
    <xf numFmtId="0" fontId="74" fillId="2" borderId="34" xfId="0" applyFont="1" applyFill="1" applyBorder="1" applyAlignment="1">
      <alignment horizontal="right" vertical="center" wrapText="1"/>
    </xf>
    <xf numFmtId="0" fontId="74" fillId="2" borderId="34" xfId="0" applyFont="1" applyFill="1" applyBorder="1" applyAlignment="1">
      <alignment horizontal="center" vertical="center" wrapText="1"/>
    </xf>
    <xf numFmtId="0" fontId="14" fillId="2" borderId="34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center" vertical="center" wrapText="1"/>
    </xf>
    <xf numFmtId="0" fontId="73" fillId="2" borderId="0" xfId="0" applyFont="1" applyFill="1" applyAlignment="1">
      <alignment vertical="center" wrapText="1"/>
    </xf>
    <xf numFmtId="0" fontId="17" fillId="2" borderId="0" xfId="0" applyFont="1" applyFill="1" applyAlignment="1">
      <alignment vertical="center" wrapText="1"/>
    </xf>
    <xf numFmtId="0" fontId="73" fillId="2" borderId="34" xfId="0" applyFont="1" applyFill="1" applyBorder="1" applyAlignment="1">
      <alignment horizontal="right" vertical="center" wrapText="1"/>
    </xf>
    <xf numFmtId="0" fontId="73" fillId="0" borderId="0" xfId="0" applyFont="1" applyAlignment="1">
      <alignment horizontal="left" vertical="top" wrapText="1"/>
    </xf>
    <xf numFmtId="0" fontId="74" fillId="2" borderId="38" xfId="0" applyFont="1" applyFill="1" applyBorder="1" applyAlignment="1">
      <alignment vertical="center" wrapText="1"/>
    </xf>
    <xf numFmtId="0" fontId="74" fillId="2" borderId="23" xfId="0" applyFont="1" applyFill="1" applyBorder="1" applyAlignment="1">
      <alignment vertical="center" wrapText="1"/>
    </xf>
    <xf numFmtId="0" fontId="14" fillId="2" borderId="23" xfId="0" applyFont="1" applyFill="1" applyBorder="1" applyAlignment="1">
      <alignment vertical="center" wrapText="1"/>
    </xf>
    <xf numFmtId="176" fontId="73" fillId="2" borderId="34" xfId="7" applyNumberFormat="1" applyFont="1" applyFill="1" applyBorder="1" applyAlignment="1">
      <alignment vertical="center" wrapText="1"/>
    </xf>
    <xf numFmtId="176" fontId="73" fillId="2" borderId="34" xfId="7" applyNumberFormat="1" applyFont="1" applyFill="1" applyBorder="1" applyAlignment="1">
      <alignment horizontal="right" vertical="center" wrapText="1"/>
    </xf>
    <xf numFmtId="0" fontId="73" fillId="2" borderId="23" xfId="0" applyFont="1" applyFill="1" applyBorder="1" applyAlignment="1">
      <alignment vertical="center" wrapText="1"/>
    </xf>
    <xf numFmtId="166" fontId="74" fillId="2" borderId="0" xfId="253" applyNumberFormat="1" applyFont="1" applyFill="1" applyAlignment="1">
      <alignment vertical="top" wrapText="1"/>
    </xf>
    <xf numFmtId="169" fontId="17" fillId="57" borderId="26" xfId="96" applyNumberFormat="1" applyFont="1" applyFill="1" applyBorder="1" applyAlignment="1">
      <alignment horizontal="center" vertical="center" wrapText="1"/>
    </xf>
    <xf numFmtId="169" fontId="17" fillId="59" borderId="26" xfId="96" applyNumberFormat="1" applyFont="1" applyFill="1" applyBorder="1" applyAlignment="1">
      <alignment horizontal="center" vertical="top" wrapText="1"/>
    </xf>
    <xf numFmtId="0" fontId="73" fillId="0" borderId="0" xfId="0" applyFont="1" applyAlignment="1">
      <alignment horizontal="center" vertical="top" wrapText="1"/>
    </xf>
    <xf numFmtId="0" fontId="17" fillId="0" borderId="23" xfId="0" applyFont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center"/>
    </xf>
    <xf numFmtId="0" fontId="17" fillId="0" borderId="34" xfId="0" applyFont="1" applyBorder="1" applyAlignment="1">
      <alignment horizontal="left" vertical="center" wrapText="1"/>
    </xf>
    <xf numFmtId="0" fontId="73" fillId="0" borderId="34" xfId="0" applyFont="1" applyBorder="1" applyAlignment="1">
      <alignment horizontal="left" vertical="center" wrapText="1"/>
    </xf>
    <xf numFmtId="0" fontId="73" fillId="2" borderId="27" xfId="0" applyFont="1" applyFill="1" applyBorder="1" applyAlignment="1">
      <alignment horizontal="center" vertical="center" wrapText="1"/>
    </xf>
    <xf numFmtId="0" fontId="73" fillId="2" borderId="28" xfId="0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17" fillId="2" borderId="34" xfId="0" applyFont="1" applyFill="1" applyBorder="1" applyAlignment="1">
      <alignment horizontal="center"/>
    </xf>
    <xf numFmtId="0" fontId="17" fillId="2" borderId="22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17" fillId="2" borderId="35" xfId="0" applyFont="1" applyFill="1" applyBorder="1" applyAlignment="1">
      <alignment horizontal="center"/>
    </xf>
    <xf numFmtId="0" fontId="17" fillId="2" borderId="36" xfId="0" applyFont="1" applyFill="1" applyBorder="1" applyAlignment="1">
      <alignment horizontal="center"/>
    </xf>
    <xf numFmtId="0" fontId="17" fillId="2" borderId="37" xfId="0" applyFont="1" applyFill="1" applyBorder="1" applyAlignment="1">
      <alignment horizontal="center"/>
    </xf>
    <xf numFmtId="0" fontId="73" fillId="2" borderId="22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17" fillId="2" borderId="34" xfId="0" applyFont="1" applyFill="1" applyBorder="1" applyAlignment="1">
      <alignment horizontal="left" vertical="top" wrapText="1"/>
    </xf>
    <xf numFmtId="0" fontId="17" fillId="2" borderId="3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49" fontId="17" fillId="2" borderId="22" xfId="0" applyNumberFormat="1" applyFont="1" applyFill="1" applyBorder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0" fontId="17" fillId="2" borderId="23" xfId="0" applyFont="1" applyFill="1" applyBorder="1" applyAlignment="1">
      <alignment horizontal="left" vertical="top" wrapText="1"/>
    </xf>
    <xf numFmtId="49" fontId="97" fillId="2" borderId="35" xfId="0" applyNumberFormat="1" applyFont="1" applyFill="1" applyBorder="1" applyAlignment="1">
      <alignment horizontal="center" vertical="top" wrapText="1"/>
    </xf>
    <xf numFmtId="49" fontId="97" fillId="2" borderId="36" xfId="0" applyNumberFormat="1" applyFont="1" applyFill="1" applyBorder="1" applyAlignment="1">
      <alignment horizontal="center" vertical="top" wrapText="1"/>
    </xf>
    <xf numFmtId="0" fontId="73" fillId="2" borderId="23" xfId="0" applyFont="1" applyFill="1" applyBorder="1" applyAlignment="1">
      <alignment horizontal="center" vertical="top" wrapText="1"/>
    </xf>
    <xf numFmtId="0" fontId="17" fillId="2" borderId="31" xfId="0" applyFont="1" applyFill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49" fontId="97" fillId="2" borderId="22" xfId="0" applyNumberFormat="1" applyFont="1" applyFill="1" applyBorder="1" applyAlignment="1">
      <alignment horizontal="center" vertical="top" wrapText="1"/>
    </xf>
    <xf numFmtId="49" fontId="97" fillId="2" borderId="1" xfId="0" applyNumberFormat="1" applyFont="1" applyFill="1" applyBorder="1" applyAlignment="1">
      <alignment horizontal="center" vertical="top" wrapText="1"/>
    </xf>
    <xf numFmtId="0" fontId="17" fillId="2" borderId="22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00" fillId="2" borderId="22" xfId="208" applyFont="1" applyFill="1" applyBorder="1" applyAlignment="1">
      <alignment horizontal="center"/>
    </xf>
    <xf numFmtId="0" fontId="100" fillId="2" borderId="2" xfId="208" applyFont="1" applyFill="1" applyBorder="1" applyAlignment="1">
      <alignment horizontal="center"/>
    </xf>
    <xf numFmtId="0" fontId="99" fillId="2" borderId="22" xfId="96" applyFont="1" applyFill="1" applyBorder="1" applyAlignment="1">
      <alignment horizontal="center" vertical="center" wrapText="1"/>
    </xf>
    <xf numFmtId="0" fontId="99" fillId="2" borderId="1" xfId="96" applyFont="1" applyFill="1" applyBorder="1" applyAlignment="1">
      <alignment horizontal="center" vertical="center" wrapText="1"/>
    </xf>
    <xf numFmtId="0" fontId="17" fillId="2" borderId="22" xfId="96" applyFont="1" applyFill="1" applyBorder="1" applyAlignment="1">
      <alignment horizontal="center" vertical="center" wrapText="1"/>
    </xf>
    <xf numFmtId="0" fontId="17" fillId="2" borderId="2" xfId="96" applyFont="1" applyFill="1" applyBorder="1" applyAlignment="1">
      <alignment horizontal="center" vertical="center" wrapText="1"/>
    </xf>
    <xf numFmtId="168" fontId="17" fillId="2" borderId="22" xfId="96" applyNumberFormat="1" applyFont="1" applyFill="1" applyBorder="1" applyAlignment="1">
      <alignment horizontal="center" vertical="center" wrapText="1"/>
    </xf>
    <xf numFmtId="168" fontId="17" fillId="2" borderId="2" xfId="96" applyNumberFormat="1" applyFont="1" applyFill="1" applyBorder="1" applyAlignment="1">
      <alignment horizontal="center" vertical="center" wrapText="1"/>
    </xf>
    <xf numFmtId="0" fontId="73" fillId="2" borderId="22" xfId="208" applyFont="1" applyFill="1" applyBorder="1" applyAlignment="1">
      <alignment horizontal="center"/>
    </xf>
    <xf numFmtId="0" fontId="73" fillId="2" borderId="1" xfId="208" applyFont="1" applyFill="1" applyBorder="1" applyAlignment="1">
      <alignment horizontal="center"/>
    </xf>
    <xf numFmtId="0" fontId="73" fillId="2" borderId="2" xfId="208" applyFont="1" applyFill="1" applyBorder="1" applyAlignment="1">
      <alignment horizontal="center"/>
    </xf>
    <xf numFmtId="0" fontId="73" fillId="2" borderId="22" xfId="0" applyFont="1" applyFill="1" applyBorder="1" applyAlignment="1">
      <alignment horizontal="center"/>
    </xf>
    <xf numFmtId="0" fontId="73" fillId="2" borderId="2" xfId="0" applyFont="1" applyFill="1" applyBorder="1" applyAlignment="1">
      <alignment horizontal="center"/>
    </xf>
    <xf numFmtId="168" fontId="73" fillId="2" borderId="27" xfId="96" applyNumberFormat="1" applyFont="1" applyFill="1" applyBorder="1" applyAlignment="1">
      <alignment horizontal="center" vertical="center" wrapText="1"/>
    </xf>
    <xf numFmtId="168" fontId="73" fillId="2" borderId="28" xfId="96" applyNumberFormat="1" applyFont="1" applyFill="1" applyBorder="1" applyAlignment="1">
      <alignment horizontal="center" vertical="center" wrapText="1"/>
    </xf>
    <xf numFmtId="168" fontId="73" fillId="2" borderId="29" xfId="96" applyNumberFormat="1" applyFont="1" applyFill="1" applyBorder="1" applyAlignment="1">
      <alignment horizontal="center" vertical="center" wrapText="1"/>
    </xf>
    <xf numFmtId="0" fontId="17" fillId="2" borderId="1" xfId="96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0" xfId="1660" applyFont="1" applyFill="1" applyAlignment="1">
      <alignment vertical="center" wrapText="1"/>
    </xf>
    <xf numFmtId="0" fontId="73" fillId="2" borderId="30" xfId="2028" applyFont="1" applyFill="1" applyBorder="1" applyAlignment="1">
      <alignment horizontal="right"/>
    </xf>
    <xf numFmtId="49" fontId="17" fillId="2" borderId="27" xfId="96" applyNumberFormat="1" applyFont="1" applyFill="1" applyBorder="1" applyAlignment="1">
      <alignment horizontal="center" vertical="center" wrapText="1"/>
    </xf>
    <xf numFmtId="49" fontId="17" fillId="2" borderId="29" xfId="96" applyNumberFormat="1" applyFont="1" applyFill="1" applyBorder="1" applyAlignment="1">
      <alignment horizontal="center" vertical="center" wrapText="1"/>
    </xf>
    <xf numFmtId="0" fontId="93" fillId="2" borderId="22" xfId="0" applyFont="1" applyFill="1" applyBorder="1" applyAlignment="1">
      <alignment horizontal="center"/>
    </xf>
    <xf numFmtId="0" fontId="93" fillId="2" borderId="2" xfId="0" applyFont="1" applyFill="1" applyBorder="1" applyAlignment="1">
      <alignment horizontal="center"/>
    </xf>
    <xf numFmtId="0" fontId="73" fillId="2" borderId="22" xfId="253" applyFont="1" applyFill="1" applyBorder="1" applyAlignment="1">
      <alignment horizontal="center"/>
    </xf>
    <xf numFmtId="0" fontId="73" fillId="2" borderId="1" xfId="253" applyFont="1" applyFill="1" applyBorder="1" applyAlignment="1">
      <alignment horizontal="center"/>
    </xf>
    <xf numFmtId="0" fontId="73" fillId="2" borderId="2" xfId="253" applyFont="1" applyFill="1" applyBorder="1" applyAlignment="1">
      <alignment horizontal="center"/>
    </xf>
    <xf numFmtId="0" fontId="98" fillId="2" borderId="22" xfId="0" applyFont="1" applyFill="1" applyBorder="1" applyAlignment="1">
      <alignment horizontal="center"/>
    </xf>
    <xf numFmtId="0" fontId="98" fillId="2" borderId="2" xfId="0" applyFont="1" applyFill="1" applyBorder="1" applyAlignment="1">
      <alignment horizontal="center"/>
    </xf>
    <xf numFmtId="0" fontId="100" fillId="2" borderId="22" xfId="253" applyFont="1" applyFill="1" applyBorder="1" applyAlignment="1">
      <alignment horizontal="center"/>
    </xf>
    <xf numFmtId="0" fontId="100" fillId="2" borderId="1" xfId="253" applyFont="1" applyFill="1" applyBorder="1" applyAlignment="1">
      <alignment horizontal="center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166" fontId="92" fillId="2" borderId="27" xfId="96" applyNumberFormat="1" applyFont="1" applyFill="1" applyBorder="1" applyAlignment="1">
      <alignment horizontal="center" vertical="center" wrapText="1"/>
    </xf>
    <xf numFmtId="166" fontId="92" fillId="2" borderId="28" xfId="96" applyNumberFormat="1" applyFont="1" applyFill="1" applyBorder="1" applyAlignment="1">
      <alignment horizontal="center" vertical="center" wrapText="1"/>
    </xf>
    <xf numFmtId="166" fontId="92" fillId="2" borderId="29" xfId="96" applyNumberFormat="1" applyFont="1" applyFill="1" applyBorder="1" applyAlignment="1">
      <alignment horizontal="center" vertical="center" wrapText="1"/>
    </xf>
    <xf numFmtId="0" fontId="74" fillId="2" borderId="22" xfId="0" applyFont="1" applyFill="1" applyBorder="1" applyAlignment="1">
      <alignment horizontal="center" vertical="center" wrapText="1"/>
    </xf>
    <xf numFmtId="0" fontId="74" fillId="2" borderId="1" xfId="0" applyFont="1" applyFill="1" applyBorder="1" applyAlignment="1">
      <alignment horizontal="center" vertical="center" wrapText="1"/>
    </xf>
    <xf numFmtId="0" fontId="74" fillId="2" borderId="2" xfId="0" applyFont="1" applyFill="1" applyBorder="1" applyAlignment="1">
      <alignment horizontal="center" vertical="center" wrapText="1"/>
    </xf>
    <xf numFmtId="0" fontId="74" fillId="2" borderId="34" xfId="0" applyFont="1" applyFill="1" applyBorder="1" applyAlignment="1">
      <alignment horizontal="center" vertical="center" wrapText="1"/>
    </xf>
    <xf numFmtId="0" fontId="74" fillId="2" borderId="23" xfId="0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left" vertical="center" wrapText="1"/>
    </xf>
    <xf numFmtId="0" fontId="17" fillId="2" borderId="23" xfId="0" applyFont="1" applyFill="1" applyBorder="1" applyAlignment="1">
      <alignment horizontal="left" vertical="center" wrapText="1"/>
    </xf>
    <xf numFmtId="0" fontId="17" fillId="2" borderId="34" xfId="0" applyFont="1" applyFill="1" applyBorder="1" applyAlignment="1">
      <alignment horizontal="center" vertical="center" wrapText="1"/>
    </xf>
    <xf numFmtId="0" fontId="73" fillId="2" borderId="34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73" fillId="2" borderId="22" xfId="0" applyFont="1" applyFill="1" applyBorder="1" applyAlignment="1">
      <alignment horizontal="center" vertical="center" wrapText="1"/>
    </xf>
    <xf numFmtId="0" fontId="73" fillId="2" borderId="1" xfId="0" applyFont="1" applyFill="1" applyBorder="1" applyAlignment="1">
      <alignment horizontal="center" vertical="center" wrapText="1"/>
    </xf>
    <xf numFmtId="0" fontId="73" fillId="2" borderId="2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left" vertical="center" wrapText="1"/>
    </xf>
    <xf numFmtId="0" fontId="17" fillId="2" borderId="38" xfId="0" applyFont="1" applyFill="1" applyBorder="1" applyAlignment="1">
      <alignment horizontal="left" vertical="center" wrapText="1"/>
    </xf>
    <xf numFmtId="0" fontId="74" fillId="2" borderId="35" xfId="0" applyFont="1" applyFill="1" applyBorder="1" applyAlignment="1">
      <alignment horizontal="center" vertical="center" wrapText="1"/>
    </xf>
    <xf numFmtId="0" fontId="74" fillId="2" borderId="36" xfId="0" applyFont="1" applyFill="1" applyBorder="1" applyAlignment="1">
      <alignment horizontal="center" vertical="center" wrapText="1"/>
    </xf>
    <xf numFmtId="0" fontId="74" fillId="2" borderId="37" xfId="0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center" wrapText="1"/>
    </xf>
    <xf numFmtId="0" fontId="17" fillId="2" borderId="36" xfId="0" applyFont="1" applyFill="1" applyBorder="1" applyAlignment="1">
      <alignment horizontal="center" vertical="center" wrapText="1"/>
    </xf>
    <xf numFmtId="0" fontId="17" fillId="2" borderId="37" xfId="0" applyFont="1" applyFill="1" applyBorder="1" applyAlignment="1">
      <alignment horizontal="center" vertical="center" wrapText="1"/>
    </xf>
    <xf numFmtId="0" fontId="14" fillId="2" borderId="32" xfId="0" applyFont="1" applyFill="1" applyBorder="1" applyAlignment="1">
      <alignment horizontal="left" vertical="center" wrapText="1"/>
    </xf>
    <xf numFmtId="0" fontId="14" fillId="2" borderId="38" xfId="0" applyFont="1" applyFill="1" applyBorder="1" applyAlignment="1">
      <alignment horizontal="left" vertical="center" wrapText="1"/>
    </xf>
    <xf numFmtId="0" fontId="14" fillId="2" borderId="23" xfId="0" applyFont="1" applyFill="1" applyBorder="1" applyAlignment="1">
      <alignment horizontal="left" vertical="center" wrapText="1"/>
    </xf>
    <xf numFmtId="0" fontId="14" fillId="2" borderId="34" xfId="0" applyFont="1" applyFill="1" applyBorder="1" applyAlignment="1">
      <alignment horizontal="left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7" fillId="59" borderId="34" xfId="0" applyFont="1" applyFill="1" applyBorder="1" applyAlignment="1">
      <alignment horizontal="center" vertical="top" wrapText="1"/>
    </xf>
    <xf numFmtId="0" fontId="93" fillId="0" borderId="34" xfId="0" applyFont="1" applyBorder="1" applyAlignment="1">
      <alignment horizontal="left" vertical="top" wrapText="1"/>
    </xf>
    <xf numFmtId="0" fontId="17" fillId="57" borderId="34" xfId="0" applyFont="1" applyFill="1" applyBorder="1" applyAlignment="1">
      <alignment horizontal="left" vertical="top" wrapText="1"/>
    </xf>
    <xf numFmtId="0" fontId="14" fillId="2" borderId="35" xfId="0" applyFont="1" applyFill="1" applyBorder="1" applyAlignment="1">
      <alignment horizontal="center" vertical="center" wrapText="1"/>
    </xf>
    <xf numFmtId="0" fontId="14" fillId="2" borderId="36" xfId="0" applyFont="1" applyFill="1" applyBorder="1" applyAlignment="1">
      <alignment horizontal="center" vertical="center" wrapText="1"/>
    </xf>
    <xf numFmtId="0" fontId="14" fillId="2" borderId="37" xfId="0" applyFont="1" applyFill="1" applyBorder="1" applyAlignment="1">
      <alignment horizontal="center" vertical="center" wrapText="1"/>
    </xf>
    <xf numFmtId="0" fontId="73" fillId="0" borderId="34" xfId="0" applyFont="1" applyBorder="1" applyAlignment="1">
      <alignment horizontal="center" vertical="center" wrapText="1"/>
    </xf>
    <xf numFmtId="0" fontId="73" fillId="2" borderId="32" xfId="0" applyFont="1" applyFill="1" applyBorder="1" applyAlignment="1">
      <alignment horizontal="left" vertical="center" wrapText="1"/>
    </xf>
    <xf numFmtId="0" fontId="73" fillId="2" borderId="38" xfId="0" applyFont="1" applyFill="1" applyBorder="1" applyAlignment="1">
      <alignment horizontal="left" vertical="center" wrapText="1"/>
    </xf>
    <xf numFmtId="0" fontId="73" fillId="2" borderId="23" xfId="0" applyFont="1" applyFill="1" applyBorder="1" applyAlignment="1">
      <alignment horizontal="left" vertical="center" wrapText="1"/>
    </xf>
    <xf numFmtId="0" fontId="73" fillId="2" borderId="33" xfId="0" applyFont="1" applyFill="1" applyBorder="1" applyAlignment="1">
      <alignment horizontal="left" vertical="center" wrapText="1"/>
    </xf>
    <xf numFmtId="0" fontId="73" fillId="2" borderId="29" xfId="0" applyFont="1" applyFill="1" applyBorder="1" applyAlignment="1">
      <alignment horizontal="left" vertical="center" wrapText="1"/>
    </xf>
    <xf numFmtId="0" fontId="73" fillId="2" borderId="34" xfId="0" applyFont="1" applyFill="1" applyBorder="1" applyAlignment="1">
      <alignment horizontal="left" vertical="center" wrapText="1"/>
    </xf>
    <xf numFmtId="0" fontId="73" fillId="2" borderId="34" xfId="0" applyFont="1" applyFill="1" applyBorder="1" applyAlignment="1">
      <alignment horizontal="left" vertical="top" wrapText="1"/>
    </xf>
    <xf numFmtId="0" fontId="73" fillId="2" borderId="32" xfId="299" applyFont="1" applyFill="1" applyBorder="1" applyAlignment="1">
      <alignment horizontal="left" vertical="top" wrapText="1"/>
    </xf>
    <xf numFmtId="0" fontId="73" fillId="2" borderId="33" xfId="299" applyFont="1" applyFill="1" applyBorder="1" applyAlignment="1">
      <alignment horizontal="left" vertical="top" wrapText="1"/>
    </xf>
    <xf numFmtId="0" fontId="73" fillId="2" borderId="29" xfId="299" applyFont="1" applyFill="1" applyBorder="1" applyAlignment="1">
      <alignment horizontal="left" vertical="top" wrapText="1"/>
    </xf>
    <xf numFmtId="0" fontId="73" fillId="2" borderId="32" xfId="299" applyFont="1" applyFill="1" applyBorder="1" applyAlignment="1">
      <alignment horizontal="center" vertical="top" wrapText="1"/>
    </xf>
    <xf numFmtId="0" fontId="73" fillId="2" borderId="33" xfId="299" applyFont="1" applyFill="1" applyBorder="1" applyAlignment="1">
      <alignment horizontal="center" vertical="top" wrapText="1"/>
    </xf>
    <xf numFmtId="0" fontId="73" fillId="2" borderId="29" xfId="299" applyFont="1" applyFill="1" applyBorder="1" applyAlignment="1">
      <alignment horizontal="center" vertical="top" wrapText="1"/>
    </xf>
    <xf numFmtId="0" fontId="73" fillId="2" borderId="34" xfId="299" applyFont="1" applyFill="1" applyBorder="1" applyAlignment="1">
      <alignment horizontal="left" vertical="center" wrapText="1"/>
    </xf>
    <xf numFmtId="0" fontId="73" fillId="2" borderId="32" xfId="0" applyFont="1" applyFill="1" applyBorder="1" applyAlignment="1">
      <alignment horizontal="center" vertical="center" wrapText="1"/>
    </xf>
    <xf numFmtId="0" fontId="73" fillId="2" borderId="33" xfId="0" applyFont="1" applyFill="1" applyBorder="1" applyAlignment="1">
      <alignment horizontal="center" vertical="center" wrapText="1"/>
    </xf>
    <xf numFmtId="0" fontId="73" fillId="57" borderId="27" xfId="0" applyFont="1" applyFill="1" applyBorder="1" applyAlignment="1">
      <alignment horizontal="left" vertical="center" wrapText="1"/>
    </xf>
    <xf numFmtId="0" fontId="73" fillId="57" borderId="28" xfId="0" applyFont="1" applyFill="1" applyBorder="1" applyAlignment="1">
      <alignment horizontal="left" vertical="center" wrapText="1"/>
    </xf>
    <xf numFmtId="0" fontId="73" fillId="57" borderId="29" xfId="0" applyFont="1" applyFill="1" applyBorder="1" applyAlignment="1">
      <alignment horizontal="left" vertical="center" wrapText="1"/>
    </xf>
    <xf numFmtId="0" fontId="73" fillId="2" borderId="26" xfId="0" applyFont="1" applyFill="1" applyBorder="1" applyAlignment="1">
      <alignment horizontal="left" vertical="center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26" xfId="1734" applyFont="1" applyFill="1" applyBorder="1" applyAlignment="1">
      <alignment horizontal="center" vertical="center" wrapText="1"/>
    </xf>
    <xf numFmtId="0" fontId="73" fillId="2" borderId="26" xfId="1735" applyFont="1" applyFill="1" applyBorder="1" applyAlignment="1">
      <alignment horizontal="center" vertical="center" wrapText="1"/>
    </xf>
    <xf numFmtId="0" fontId="73" fillId="2" borderId="26" xfId="8" applyFont="1" applyFill="1" applyBorder="1" applyAlignment="1">
      <alignment horizontal="center" vertical="center" wrapText="1"/>
    </xf>
    <xf numFmtId="0" fontId="73" fillId="2" borderId="27" xfId="1735" applyFont="1" applyFill="1" applyBorder="1" applyAlignment="1">
      <alignment horizontal="center" wrapText="1"/>
    </xf>
    <xf numFmtId="0" fontId="73" fillId="2" borderId="28" xfId="1735" applyFont="1" applyFill="1" applyBorder="1" applyAlignment="1">
      <alignment horizontal="center" wrapText="1"/>
    </xf>
    <xf numFmtId="0" fontId="73" fillId="2" borderId="29" xfId="1735" applyFont="1" applyFill="1" applyBorder="1" applyAlignment="1">
      <alignment horizontal="center" wrapText="1"/>
    </xf>
    <xf numFmtId="0" fontId="17" fillId="58" borderId="26" xfId="0" applyFont="1" applyFill="1" applyBorder="1" applyAlignment="1">
      <alignment vertical="top" wrapText="1"/>
    </xf>
    <xf numFmtId="0" fontId="73" fillId="2" borderId="26" xfId="0" applyFont="1" applyFill="1" applyBorder="1" applyAlignment="1">
      <alignment horizontal="left" vertical="top" wrapText="1"/>
    </xf>
    <xf numFmtId="0" fontId="73" fillId="57" borderId="32" xfId="0" applyFont="1" applyFill="1" applyBorder="1" applyAlignment="1">
      <alignment horizontal="left" vertical="center" wrapText="1"/>
    </xf>
    <xf numFmtId="0" fontId="73" fillId="57" borderId="33" xfId="0" applyFont="1" applyFill="1" applyBorder="1" applyAlignment="1">
      <alignment horizontal="left" vertical="center" wrapText="1"/>
    </xf>
  </cellXfs>
  <cellStyles count="3116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zoomScale="70" zoomScaleNormal="70" zoomScaleSheetLayoutView="100" workbookViewId="0">
      <selection activeCell="A26" sqref="A26"/>
    </sheetView>
  </sheetViews>
  <sheetFormatPr defaultColWidth="9.140625" defaultRowHeight="17.25"/>
  <cols>
    <col min="1" max="1" width="6.85546875" style="17" customWidth="1"/>
    <col min="2" max="2" width="10.42578125" style="17" customWidth="1"/>
    <col min="3" max="3" width="15.140625" style="17" customWidth="1"/>
    <col min="4" max="6" width="46.28515625" style="17" customWidth="1"/>
    <col min="7" max="10" width="16.42578125" style="17" customWidth="1"/>
    <col min="11" max="12" width="12.140625" style="17" customWidth="1"/>
    <col min="13" max="16384" width="9.140625" style="17"/>
  </cols>
  <sheetData>
    <row r="1" spans="1:10" ht="37.35" customHeight="1">
      <c r="F1" s="263" t="s">
        <v>18</v>
      </c>
      <c r="G1" s="263"/>
      <c r="H1" s="263"/>
      <c r="I1" s="263"/>
      <c r="J1" s="263"/>
    </row>
    <row r="2" spans="1:10" ht="17.649999999999999" customHeight="1">
      <c r="F2" s="263" t="s">
        <v>198</v>
      </c>
      <c r="G2" s="263"/>
      <c r="H2" s="263"/>
      <c r="I2" s="263"/>
      <c r="J2" s="263"/>
    </row>
    <row r="3" spans="1:10" ht="17.649999999999999" customHeight="1">
      <c r="F3" s="263" t="s">
        <v>0</v>
      </c>
      <c r="G3" s="263"/>
      <c r="H3" s="263"/>
      <c r="I3" s="263"/>
      <c r="J3" s="263"/>
    </row>
    <row r="6" spans="1:10" ht="75.95" customHeight="1">
      <c r="A6" s="270" t="s">
        <v>208</v>
      </c>
      <c r="B6" s="270"/>
      <c r="C6" s="270"/>
      <c r="D6" s="270"/>
      <c r="E6" s="270"/>
      <c r="F6" s="270"/>
      <c r="G6" s="270"/>
      <c r="H6" s="270"/>
      <c r="I6" s="270"/>
      <c r="J6" s="270"/>
    </row>
    <row r="7" spans="1:10">
      <c r="A7" s="234"/>
      <c r="B7" s="234"/>
      <c r="C7" s="234"/>
      <c r="D7" s="234"/>
      <c r="E7" s="234"/>
      <c r="F7" s="234"/>
      <c r="G7" s="234"/>
    </row>
    <row r="9" spans="1:10">
      <c r="D9" s="233"/>
      <c r="E9" s="233"/>
      <c r="F9" s="233"/>
      <c r="G9" s="233"/>
      <c r="J9" s="233" t="s">
        <v>9</v>
      </c>
    </row>
    <row r="10" spans="1:10" ht="45.2" customHeight="1">
      <c r="A10" s="269" t="s">
        <v>209</v>
      </c>
      <c r="B10" s="269" t="s">
        <v>1</v>
      </c>
      <c r="C10" s="269"/>
      <c r="D10" s="269" t="s">
        <v>210</v>
      </c>
      <c r="E10" s="269" t="s">
        <v>211</v>
      </c>
      <c r="F10" s="269" t="s">
        <v>212</v>
      </c>
      <c r="G10" s="266" t="s">
        <v>24</v>
      </c>
      <c r="H10" s="267"/>
      <c r="I10" s="267"/>
      <c r="J10" s="268"/>
    </row>
    <row r="11" spans="1:10" ht="17.850000000000001" customHeight="1">
      <c r="A11" s="269"/>
      <c r="B11" s="269"/>
      <c r="C11" s="269"/>
      <c r="D11" s="269"/>
      <c r="E11" s="269"/>
      <c r="F11" s="269"/>
      <c r="G11" s="262" t="s">
        <v>213</v>
      </c>
      <c r="H11" s="269" t="s">
        <v>214</v>
      </c>
      <c r="I11" s="269" t="s">
        <v>2</v>
      </c>
      <c r="J11" s="269" t="s">
        <v>3</v>
      </c>
    </row>
    <row r="12" spans="1:10">
      <c r="A12" s="269"/>
      <c r="B12" s="184" t="s">
        <v>14</v>
      </c>
      <c r="C12" s="184" t="s">
        <v>15</v>
      </c>
      <c r="D12" s="269"/>
      <c r="E12" s="269"/>
      <c r="F12" s="269"/>
      <c r="G12" s="262"/>
      <c r="H12" s="269"/>
      <c r="I12" s="269"/>
      <c r="J12" s="269"/>
    </row>
    <row r="13" spans="1:10" s="235" customFormat="1" ht="24.95" customHeight="1">
      <c r="A13" s="264" t="s">
        <v>215</v>
      </c>
      <c r="B13" s="264"/>
      <c r="C13" s="264"/>
      <c r="D13" s="264"/>
      <c r="E13" s="264"/>
      <c r="F13" s="264"/>
      <c r="G13" s="1">
        <f>+G15</f>
        <v>0</v>
      </c>
      <c r="H13" s="1">
        <f t="shared" ref="H13:J13" si="0">+H15</f>
        <v>0</v>
      </c>
      <c r="I13" s="1">
        <f t="shared" si="0"/>
        <v>1.1641532182693481E-10</v>
      </c>
      <c r="J13" s="1">
        <f t="shared" si="0"/>
        <v>0</v>
      </c>
    </row>
    <row r="14" spans="1:10" s="235" customFormat="1">
      <c r="A14" s="265" t="s">
        <v>140</v>
      </c>
      <c r="B14" s="265"/>
      <c r="C14" s="265"/>
      <c r="D14" s="265"/>
      <c r="E14" s="265"/>
      <c r="F14" s="265"/>
      <c r="G14" s="1"/>
      <c r="H14" s="1"/>
      <c r="I14" s="1"/>
      <c r="J14" s="1"/>
    </row>
    <row r="15" spans="1:10" s="235" customFormat="1">
      <c r="A15" s="264" t="s">
        <v>17</v>
      </c>
      <c r="B15" s="264"/>
      <c r="C15" s="264"/>
      <c r="D15" s="264"/>
      <c r="E15" s="264"/>
      <c r="F15" s="264"/>
      <c r="G15" s="1">
        <f>+G16+G19+G22+G24</f>
        <v>0</v>
      </c>
      <c r="H15" s="1">
        <f t="shared" ref="H15:J15" si="1">+H16+H19+H22+H24</f>
        <v>0</v>
      </c>
      <c r="I15" s="1">
        <f t="shared" si="1"/>
        <v>1.1641532182693481E-10</v>
      </c>
      <c r="J15" s="1">
        <f t="shared" si="1"/>
        <v>0</v>
      </c>
    </row>
    <row r="16" spans="1:10" ht="103.5">
      <c r="A16" s="226"/>
      <c r="B16" s="232" t="s">
        <v>216</v>
      </c>
      <c r="C16" s="232"/>
      <c r="D16" s="232" t="s">
        <v>82</v>
      </c>
      <c r="E16" s="232" t="s">
        <v>217</v>
      </c>
      <c r="F16" s="232" t="s">
        <v>218</v>
      </c>
      <c r="G16" s="237">
        <f>+G17+G18</f>
        <v>5193.6999999999971</v>
      </c>
      <c r="H16" s="237">
        <f t="shared" ref="H16:J16" si="2">+H17+H18</f>
        <v>-60948.100000000006</v>
      </c>
      <c r="I16" s="237">
        <f t="shared" si="2"/>
        <v>-173942.3</v>
      </c>
      <c r="J16" s="237">
        <f t="shared" si="2"/>
        <v>34157.399999999965</v>
      </c>
    </row>
    <row r="17" spans="1:10" ht="69">
      <c r="A17" s="226"/>
      <c r="B17" s="226"/>
      <c r="C17" s="226" t="s">
        <v>219</v>
      </c>
      <c r="D17" s="226" t="s">
        <v>182</v>
      </c>
      <c r="E17" s="226" t="s">
        <v>220</v>
      </c>
      <c r="F17" s="226" t="s">
        <v>221</v>
      </c>
      <c r="G17" s="236">
        <f>+'Հավելված N 2'!G102</f>
        <v>-63849.100000000006</v>
      </c>
      <c r="H17" s="236">
        <f>+'Հավելված N 2'!H102</f>
        <v>-224033.4</v>
      </c>
      <c r="I17" s="236">
        <f>+'Հավելված N 2'!I102</f>
        <v>-472624.1</v>
      </c>
      <c r="J17" s="236">
        <f>+'Հավելված N 2'!J102</f>
        <v>-264524.40000000002</v>
      </c>
    </row>
    <row r="18" spans="1:10" ht="103.5">
      <c r="A18" s="226"/>
      <c r="B18" s="226"/>
      <c r="C18" s="226" t="s">
        <v>222</v>
      </c>
      <c r="D18" s="226" t="s">
        <v>87</v>
      </c>
      <c r="E18" s="226" t="s">
        <v>223</v>
      </c>
      <c r="F18" s="226" t="s">
        <v>224</v>
      </c>
      <c r="G18" s="236">
        <f>+'Հավելված N 2'!G111</f>
        <v>69042.8</v>
      </c>
      <c r="H18" s="236">
        <f>+'Հավելված N 2'!H111</f>
        <v>163085.29999999999</v>
      </c>
      <c r="I18" s="236">
        <f>+'Հավելված N 2'!I111</f>
        <v>298681.8</v>
      </c>
      <c r="J18" s="236">
        <f>+'Հավելված N 2'!J111</f>
        <v>298681.8</v>
      </c>
    </row>
    <row r="19" spans="1:10" ht="138">
      <c r="A19" s="226"/>
      <c r="B19" s="232" t="s">
        <v>225</v>
      </c>
      <c r="C19" s="232"/>
      <c r="D19" s="232" t="s">
        <v>139</v>
      </c>
      <c r="E19" s="232" t="s">
        <v>226</v>
      </c>
      <c r="F19" s="232" t="s">
        <v>227</v>
      </c>
      <c r="G19" s="237">
        <f>+G20+G21</f>
        <v>116742.20000000001</v>
      </c>
      <c r="H19" s="237">
        <f t="shared" ref="H19:J19" si="3">+H20+H21</f>
        <v>235315.7</v>
      </c>
      <c r="I19" s="237">
        <f t="shared" si="3"/>
        <v>235315.7</v>
      </c>
      <c r="J19" s="237">
        <f t="shared" si="3"/>
        <v>235315.7</v>
      </c>
    </row>
    <row r="20" spans="1:10" ht="103.5">
      <c r="A20" s="226"/>
      <c r="B20" s="226"/>
      <c r="C20" s="226" t="s">
        <v>228</v>
      </c>
      <c r="D20" s="226" t="s">
        <v>229</v>
      </c>
      <c r="E20" s="226" t="s">
        <v>230</v>
      </c>
      <c r="F20" s="226" t="s">
        <v>224</v>
      </c>
      <c r="G20" s="236">
        <f>+'Հավելված N 2'!G124</f>
        <v>2679.5</v>
      </c>
      <c r="H20" s="236">
        <f>+'Հավելված N 2'!H124</f>
        <v>3159.5</v>
      </c>
      <c r="I20" s="236">
        <f>+'Հավելված N 2'!I124</f>
        <v>3159.5</v>
      </c>
      <c r="J20" s="236">
        <f>+'Հավելված N 2'!J124</f>
        <v>3159.5</v>
      </c>
    </row>
    <row r="21" spans="1:10" ht="103.5">
      <c r="A21" s="226"/>
      <c r="B21" s="226"/>
      <c r="C21" s="226" t="s">
        <v>231</v>
      </c>
      <c r="D21" s="226" t="s">
        <v>232</v>
      </c>
      <c r="E21" s="226" t="s">
        <v>233</v>
      </c>
      <c r="F21" s="226" t="s">
        <v>224</v>
      </c>
      <c r="G21" s="236">
        <f>+'Հավելված N 2'!G135</f>
        <v>114062.70000000001</v>
      </c>
      <c r="H21" s="236">
        <f>+'Հավելված N 2'!H135</f>
        <v>232156.2</v>
      </c>
      <c r="I21" s="236">
        <f>+'Հավելված N 2'!I135</f>
        <v>232156.2</v>
      </c>
      <c r="J21" s="236">
        <f>+'Հավելված N 2'!J135</f>
        <v>232156.2</v>
      </c>
    </row>
    <row r="22" spans="1:10" ht="155.25">
      <c r="A22" s="226"/>
      <c r="B22" s="232" t="s">
        <v>234</v>
      </c>
      <c r="C22" s="232"/>
      <c r="D22" s="232" t="s">
        <v>235</v>
      </c>
      <c r="E22" s="232" t="s">
        <v>236</v>
      </c>
      <c r="F22" s="232" t="s">
        <v>237</v>
      </c>
      <c r="G22" s="237">
        <f>+G23</f>
        <v>10000</v>
      </c>
      <c r="H22" s="237">
        <f t="shared" ref="H22:J22" si="4">+H23</f>
        <v>0</v>
      </c>
      <c r="I22" s="237">
        <f t="shared" si="4"/>
        <v>0</v>
      </c>
      <c r="J22" s="237">
        <f t="shared" si="4"/>
        <v>0</v>
      </c>
    </row>
    <row r="23" spans="1:10" ht="69">
      <c r="A23" s="226"/>
      <c r="B23" s="226"/>
      <c r="C23" s="226" t="s">
        <v>238</v>
      </c>
      <c r="D23" s="226" t="s">
        <v>239</v>
      </c>
      <c r="E23" s="226" t="s">
        <v>240</v>
      </c>
      <c r="F23" s="226" t="s">
        <v>224</v>
      </c>
      <c r="G23" s="236">
        <f>+'Հավելված N 2'!G43</f>
        <v>10000</v>
      </c>
      <c r="H23" s="236">
        <f>+'Հավելված N 2'!H43</f>
        <v>0</v>
      </c>
      <c r="I23" s="236">
        <f>+'Հավելված N 2'!I43</f>
        <v>0</v>
      </c>
      <c r="J23" s="236">
        <f>+'Հավելված N 2'!J43</f>
        <v>0</v>
      </c>
    </row>
    <row r="24" spans="1:10" ht="103.5">
      <c r="A24" s="226"/>
      <c r="B24" s="232" t="s">
        <v>241</v>
      </c>
      <c r="C24" s="232"/>
      <c r="D24" s="232" t="s">
        <v>242</v>
      </c>
      <c r="E24" s="232" t="s">
        <v>243</v>
      </c>
      <c r="F24" s="232" t="s">
        <v>244</v>
      </c>
      <c r="G24" s="238">
        <f>+G25+G26+G27+G28+G29</f>
        <v>-131935.89999999991</v>
      </c>
      <c r="H24" s="238">
        <f t="shared" ref="H24:J24" si="5">+H25+H26+H27+H28+H29</f>
        <v>-174367.59999999986</v>
      </c>
      <c r="I24" s="238">
        <f t="shared" si="5"/>
        <v>-61373.399999999907</v>
      </c>
      <c r="J24" s="238">
        <f t="shared" si="5"/>
        <v>-269473.10000000009</v>
      </c>
    </row>
    <row r="25" spans="1:10" ht="103.5">
      <c r="A25" s="226"/>
      <c r="B25" s="226"/>
      <c r="C25" s="226" t="s">
        <v>245</v>
      </c>
      <c r="D25" s="226" t="s">
        <v>85</v>
      </c>
      <c r="E25" s="226" t="s">
        <v>246</v>
      </c>
      <c r="F25" s="226" t="s">
        <v>224</v>
      </c>
      <c r="G25" s="236">
        <f>+'Հավելված N 2'!G26</f>
        <v>226678.9</v>
      </c>
      <c r="H25" s="236">
        <f>+'Հավելված N 2'!H26</f>
        <v>287782.8</v>
      </c>
      <c r="I25" s="236">
        <f>+'Հավելված N 2'!I26</f>
        <v>433427.89999999997</v>
      </c>
      <c r="J25" s="236">
        <f>+'Հավելված N 2'!J26</f>
        <v>433427.89999999997</v>
      </c>
    </row>
    <row r="26" spans="1:10" ht="120.75">
      <c r="A26" s="226"/>
      <c r="B26" s="226"/>
      <c r="C26" s="226" t="s">
        <v>247</v>
      </c>
      <c r="D26" s="226" t="s">
        <v>95</v>
      </c>
      <c r="E26" s="226" t="s">
        <v>248</v>
      </c>
      <c r="F26" s="226" t="s">
        <v>224</v>
      </c>
      <c r="G26" s="236">
        <f>+'Հավելված N 2'!G54</f>
        <v>14972.700000000041</v>
      </c>
      <c r="H26" s="236">
        <f>+'Հավելված N 2'!H54</f>
        <v>174094.3000000001</v>
      </c>
      <c r="I26" s="236">
        <f>+'Հավելված N 2'!I54</f>
        <v>319266.70000000007</v>
      </c>
      <c r="J26" s="236">
        <f>+'Հավելված N 2'!J54</f>
        <v>279975.30000000005</v>
      </c>
    </row>
    <row r="27" spans="1:10" ht="103.5">
      <c r="A27" s="226"/>
      <c r="B27" s="226"/>
      <c r="C27" s="226" t="s">
        <v>249</v>
      </c>
      <c r="D27" s="226" t="s">
        <v>164</v>
      </c>
      <c r="E27" s="226" t="s">
        <v>250</v>
      </c>
      <c r="F27" s="226" t="s">
        <v>224</v>
      </c>
      <c r="G27" s="236">
        <f>+'Հավելված N 2'!G65</f>
        <v>0</v>
      </c>
      <c r="H27" s="236">
        <f>+'Հավելված N 2'!H65</f>
        <v>14390</v>
      </c>
      <c r="I27" s="236">
        <f>+'Հավելված N 2'!I65</f>
        <v>14390</v>
      </c>
      <c r="J27" s="236">
        <f>+'Հավելված N 2'!J65</f>
        <v>14390</v>
      </c>
    </row>
    <row r="28" spans="1:10" ht="120.75">
      <c r="A28" s="226"/>
      <c r="B28" s="226"/>
      <c r="C28" s="226" t="s">
        <v>251</v>
      </c>
      <c r="D28" s="226" t="s">
        <v>98</v>
      </c>
      <c r="E28" s="226" t="s">
        <v>248</v>
      </c>
      <c r="F28" s="226" t="s">
        <v>224</v>
      </c>
      <c r="G28" s="236">
        <f>+'Հավելված N 2'!G74</f>
        <v>-363587.49999999994</v>
      </c>
      <c r="H28" s="236">
        <f>+'Հավելված N 2'!H74</f>
        <v>-650634.69999999995</v>
      </c>
      <c r="I28" s="236">
        <f>+'Հավելված N 2'!I74</f>
        <v>-828458</v>
      </c>
      <c r="J28" s="236">
        <f>+'Հավելված N 2'!J74</f>
        <v>-997266.3</v>
      </c>
    </row>
    <row r="29" spans="1:10" ht="120.75">
      <c r="A29" s="226"/>
      <c r="B29" s="226"/>
      <c r="C29" s="226" t="s">
        <v>252</v>
      </c>
      <c r="D29" s="226" t="s">
        <v>196</v>
      </c>
      <c r="E29" s="226" t="s">
        <v>253</v>
      </c>
      <c r="F29" s="226" t="s">
        <v>224</v>
      </c>
      <c r="G29" s="236">
        <f>+'Հավելված N 2'!G85</f>
        <v>-10000</v>
      </c>
      <c r="H29" s="236">
        <f>+'Հավելված N 2'!H85</f>
        <v>0</v>
      </c>
      <c r="I29" s="236">
        <f>+'Հավելված N 2'!I85</f>
        <v>0</v>
      </c>
      <c r="J29" s="236">
        <f>+'Հավելված N 2'!J85</f>
        <v>0</v>
      </c>
    </row>
  </sheetData>
  <mergeCells count="17">
    <mergeCell ref="A15:F15"/>
    <mergeCell ref="A14:F14"/>
    <mergeCell ref="G10:J10"/>
    <mergeCell ref="D10:D12"/>
    <mergeCell ref="E10:E12"/>
    <mergeCell ref="F10:F12"/>
    <mergeCell ref="B10:C11"/>
    <mergeCell ref="A10:A12"/>
    <mergeCell ref="H11:H12"/>
    <mergeCell ref="I11:I12"/>
    <mergeCell ref="J11:J12"/>
    <mergeCell ref="G11:G12"/>
    <mergeCell ref="F1:J1"/>
    <mergeCell ref="F3:J3"/>
    <mergeCell ref="F2:J2"/>
    <mergeCell ref="A13:F13"/>
    <mergeCell ref="A6:J6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5"/>
  <sheetViews>
    <sheetView topLeftCell="A4" zoomScale="74" zoomScaleNormal="74" zoomScaleSheetLayoutView="100" workbookViewId="0">
      <selection activeCell="G84" sqref="G84"/>
    </sheetView>
  </sheetViews>
  <sheetFormatPr defaultColWidth="9.140625" defaultRowHeight="17.25"/>
  <cols>
    <col min="1" max="3" width="8.140625" style="2" customWidth="1"/>
    <col min="4" max="4" width="11.5703125" style="2" customWidth="1"/>
    <col min="5" max="5" width="13.85546875" style="2" customWidth="1"/>
    <col min="6" max="6" width="62.140625" style="2" customWidth="1"/>
    <col min="7" max="10" width="19.7109375" style="2" customWidth="1"/>
    <col min="11" max="13" width="15" style="2" customWidth="1"/>
    <col min="14" max="16384" width="9.140625" style="2"/>
  </cols>
  <sheetData>
    <row r="1" spans="1:10" s="20" customFormat="1" ht="37.5" customHeight="1">
      <c r="F1" s="283" t="s">
        <v>19</v>
      </c>
      <c r="G1" s="283"/>
      <c r="H1" s="283"/>
      <c r="I1" s="283"/>
      <c r="J1" s="283"/>
    </row>
    <row r="2" spans="1:10" s="18" customFormat="1" ht="17.649999999999999" customHeight="1">
      <c r="F2" s="284" t="s">
        <v>198</v>
      </c>
      <c r="G2" s="284"/>
      <c r="H2" s="284"/>
      <c r="I2" s="284"/>
      <c r="J2" s="284"/>
    </row>
    <row r="3" spans="1:10" s="18" customFormat="1" ht="17.649999999999999" customHeight="1">
      <c r="F3" s="284" t="s">
        <v>0</v>
      </c>
      <c r="G3" s="284"/>
      <c r="H3" s="284"/>
      <c r="I3" s="284"/>
      <c r="J3" s="284"/>
    </row>
    <row r="4" spans="1:10" ht="13.7" customHeight="1"/>
    <row r="5" spans="1:10" ht="13.7" customHeight="1"/>
    <row r="6" spans="1:10" ht="13.7" customHeight="1"/>
    <row r="7" spans="1:10" ht="52.5" customHeight="1">
      <c r="A7" s="285" t="s">
        <v>201</v>
      </c>
      <c r="B7" s="285"/>
      <c r="C7" s="285"/>
      <c r="D7" s="285"/>
      <c r="E7" s="285"/>
      <c r="F7" s="285"/>
      <c r="G7" s="285"/>
      <c r="H7" s="285"/>
      <c r="I7" s="285"/>
      <c r="J7" s="285"/>
    </row>
    <row r="8" spans="1:10">
      <c r="A8" s="67"/>
      <c r="B8" s="67"/>
      <c r="C8" s="67"/>
      <c r="D8" s="67"/>
      <c r="E8" s="67"/>
      <c r="F8" s="67"/>
      <c r="G8" s="67"/>
      <c r="H8" s="67"/>
      <c r="I8" s="67"/>
      <c r="J8" s="67"/>
    </row>
    <row r="10" spans="1:10">
      <c r="H10" s="18"/>
      <c r="J10" s="18" t="s">
        <v>9</v>
      </c>
    </row>
    <row r="11" spans="1:10" s="9" customFormat="1" ht="36.6" customHeight="1">
      <c r="A11" s="286" t="s">
        <v>10</v>
      </c>
      <c r="B11" s="286"/>
      <c r="C11" s="286"/>
      <c r="D11" s="286" t="s">
        <v>1</v>
      </c>
      <c r="E11" s="286"/>
      <c r="F11" s="286" t="s">
        <v>5</v>
      </c>
      <c r="G11" s="266" t="s">
        <v>24</v>
      </c>
      <c r="H11" s="267"/>
      <c r="I11" s="267"/>
      <c r="J11" s="268"/>
    </row>
    <row r="12" spans="1:10" s="9" customFormat="1" ht="34.5">
      <c r="A12" s="19" t="s">
        <v>22</v>
      </c>
      <c r="B12" s="19" t="s">
        <v>23</v>
      </c>
      <c r="C12" s="19" t="s">
        <v>11</v>
      </c>
      <c r="D12" s="19" t="s">
        <v>4</v>
      </c>
      <c r="E12" s="19" t="s">
        <v>15</v>
      </c>
      <c r="F12" s="286"/>
      <c r="G12" s="19" t="s">
        <v>46</v>
      </c>
      <c r="H12" s="19" t="s">
        <v>45</v>
      </c>
      <c r="I12" s="19" t="s">
        <v>2</v>
      </c>
      <c r="J12" s="19" t="s">
        <v>3</v>
      </c>
    </row>
    <row r="13" spans="1:10" s="9" customFormat="1" ht="34.9" customHeight="1">
      <c r="A13" s="8"/>
      <c r="B13" s="8"/>
      <c r="C13" s="8"/>
      <c r="D13" s="19"/>
      <c r="E13" s="19"/>
      <c r="F13" s="14" t="s">
        <v>8</v>
      </c>
      <c r="G13" s="7">
        <f>+G15</f>
        <v>0</v>
      </c>
      <c r="H13" s="7">
        <f t="shared" ref="H13:J13" si="0">+H15</f>
        <v>0</v>
      </c>
      <c r="I13" s="7">
        <f t="shared" si="0"/>
        <v>5.8207660913467407E-11</v>
      </c>
      <c r="J13" s="7">
        <f t="shared" si="0"/>
        <v>0</v>
      </c>
    </row>
    <row r="14" spans="1:10" s="9" customFormat="1">
      <c r="A14" s="8"/>
      <c r="B14" s="8"/>
      <c r="C14" s="8"/>
      <c r="D14" s="19"/>
      <c r="E14" s="19"/>
      <c r="F14" s="8" t="s">
        <v>61</v>
      </c>
      <c r="G14" s="1"/>
      <c r="H14" s="1"/>
      <c r="I14" s="1"/>
      <c r="J14" s="1"/>
    </row>
    <row r="15" spans="1:10" s="9" customFormat="1" ht="34.5">
      <c r="A15" s="8"/>
      <c r="B15" s="8"/>
      <c r="C15" s="8"/>
      <c r="D15" s="19"/>
      <c r="E15" s="19"/>
      <c r="F15" s="3" t="s">
        <v>17</v>
      </c>
      <c r="G15" s="1">
        <f>+G16</f>
        <v>0</v>
      </c>
      <c r="H15" s="1">
        <f t="shared" ref="H15:J15" si="1">+H16</f>
        <v>0</v>
      </c>
      <c r="I15" s="1">
        <f t="shared" si="1"/>
        <v>5.8207660913467407E-11</v>
      </c>
      <c r="J15" s="1">
        <f t="shared" si="1"/>
        <v>0</v>
      </c>
    </row>
    <row r="16" spans="1:10" s="9" customFormat="1" ht="17.649999999999999" customHeight="1">
      <c r="A16" s="287" t="s">
        <v>69</v>
      </c>
      <c r="B16" s="293"/>
      <c r="C16" s="278"/>
      <c r="D16" s="50"/>
      <c r="E16" s="43"/>
      <c r="F16" s="98" t="s">
        <v>73</v>
      </c>
      <c r="G16" s="1">
        <f>+G18+G35+G94</f>
        <v>0</v>
      </c>
      <c r="H16" s="1">
        <f>+H18+H35+H94</f>
        <v>0</v>
      </c>
      <c r="I16" s="1">
        <f>+I18+I35+I94</f>
        <v>5.8207660913467407E-11</v>
      </c>
      <c r="J16" s="1">
        <f>+J18+J35+J94</f>
        <v>0</v>
      </c>
    </row>
    <row r="17" spans="1:10" s="9" customFormat="1" ht="16.899999999999999" customHeight="1">
      <c r="A17" s="288"/>
      <c r="B17" s="293"/>
      <c r="C17" s="279"/>
      <c r="D17" s="51"/>
      <c r="E17" s="44"/>
      <c r="F17" s="97" t="s">
        <v>6</v>
      </c>
      <c r="G17" s="4"/>
      <c r="H17" s="4"/>
      <c r="I17" s="5"/>
      <c r="J17" s="4"/>
    </row>
    <row r="18" spans="1:10" s="9" customFormat="1" ht="34.5">
      <c r="A18" s="288"/>
      <c r="B18" s="291" t="s">
        <v>71</v>
      </c>
      <c r="C18" s="279"/>
      <c r="D18" s="51"/>
      <c r="E18" s="44"/>
      <c r="F18" s="98" t="s">
        <v>92</v>
      </c>
      <c r="G18" s="5">
        <f>+G20</f>
        <v>226678.9</v>
      </c>
      <c r="H18" s="5">
        <f t="shared" ref="H18:J18" si="2">+H20</f>
        <v>287782.8</v>
      </c>
      <c r="I18" s="5">
        <f t="shared" si="2"/>
        <v>433427.89999999997</v>
      </c>
      <c r="J18" s="5">
        <f t="shared" si="2"/>
        <v>433427.89999999997</v>
      </c>
    </row>
    <row r="19" spans="1:10" s="9" customFormat="1" ht="16.899999999999999" customHeight="1">
      <c r="A19" s="288"/>
      <c r="B19" s="292"/>
      <c r="C19" s="280"/>
      <c r="D19" s="51"/>
      <c r="E19" s="44"/>
      <c r="F19" s="97" t="s">
        <v>6</v>
      </c>
      <c r="G19" s="5"/>
      <c r="H19" s="4"/>
      <c r="I19" s="5"/>
      <c r="J19" s="4"/>
    </row>
    <row r="20" spans="1:10" s="9" customFormat="1">
      <c r="A20" s="288"/>
      <c r="B20" s="292"/>
      <c r="C20" s="296" t="s">
        <v>71</v>
      </c>
      <c r="D20" s="51"/>
      <c r="E20" s="44"/>
      <c r="F20" s="98" t="s">
        <v>91</v>
      </c>
      <c r="G20" s="5">
        <f t="shared" ref="G20:J20" si="3">+G22</f>
        <v>226678.9</v>
      </c>
      <c r="H20" s="5">
        <f t="shared" si="3"/>
        <v>287782.8</v>
      </c>
      <c r="I20" s="5">
        <f t="shared" si="3"/>
        <v>433427.89999999997</v>
      </c>
      <c r="J20" s="5">
        <f t="shared" si="3"/>
        <v>433427.89999999997</v>
      </c>
    </row>
    <row r="21" spans="1:10" s="9" customFormat="1" ht="16.899999999999999" customHeight="1">
      <c r="A21" s="288"/>
      <c r="B21" s="292"/>
      <c r="C21" s="297"/>
      <c r="D21" s="51"/>
      <c r="E21" s="44"/>
      <c r="F21" s="97" t="s">
        <v>6</v>
      </c>
      <c r="G21" s="5"/>
      <c r="H21" s="10"/>
      <c r="I21" s="5"/>
      <c r="J21" s="10"/>
    </row>
    <row r="22" spans="1:10" s="9" customFormat="1" ht="34.5">
      <c r="A22" s="288"/>
      <c r="B22" s="292"/>
      <c r="C22" s="297"/>
      <c r="D22" s="51"/>
      <c r="E22" s="44"/>
      <c r="F22" s="100" t="s">
        <v>12</v>
      </c>
      <c r="G22" s="5">
        <f>+G24</f>
        <v>226678.9</v>
      </c>
      <c r="H22" s="5">
        <f t="shared" ref="H22:J22" si="4">+H24</f>
        <v>287782.8</v>
      </c>
      <c r="I22" s="5">
        <f t="shared" si="4"/>
        <v>433427.89999999997</v>
      </c>
      <c r="J22" s="5">
        <f t="shared" si="4"/>
        <v>433427.89999999997</v>
      </c>
    </row>
    <row r="23" spans="1:10" s="9" customFormat="1" ht="16.899999999999999" customHeight="1">
      <c r="A23" s="288"/>
      <c r="B23" s="292"/>
      <c r="C23" s="297"/>
      <c r="D23" s="52"/>
      <c r="E23" s="53"/>
      <c r="F23" s="97" t="s">
        <v>6</v>
      </c>
      <c r="G23" s="5"/>
      <c r="H23" s="5"/>
      <c r="I23" s="5"/>
      <c r="J23" s="5"/>
    </row>
    <row r="24" spans="1:10" s="9" customFormat="1" ht="39.6" customHeight="1">
      <c r="A24" s="288"/>
      <c r="B24" s="292"/>
      <c r="C24" s="297"/>
      <c r="D24" s="137">
        <v>1236</v>
      </c>
      <c r="E24" s="282" t="s">
        <v>74</v>
      </c>
      <c r="F24" s="282"/>
      <c r="G24" s="1">
        <f>+G26</f>
        <v>226678.9</v>
      </c>
      <c r="H24" s="1">
        <f t="shared" ref="H24:J24" si="5">+H26</f>
        <v>287782.8</v>
      </c>
      <c r="I24" s="1">
        <f t="shared" si="5"/>
        <v>433427.89999999997</v>
      </c>
      <c r="J24" s="1">
        <f t="shared" si="5"/>
        <v>433427.89999999997</v>
      </c>
    </row>
    <row r="25" spans="1:10" s="9" customFormat="1" ht="16.899999999999999" customHeight="1">
      <c r="A25" s="288"/>
      <c r="B25" s="292"/>
      <c r="C25" s="297"/>
      <c r="D25" s="130"/>
      <c r="E25" s="122"/>
      <c r="F25" s="97" t="s">
        <v>6</v>
      </c>
      <c r="G25" s="1"/>
      <c r="H25" s="1"/>
      <c r="I25" s="1"/>
      <c r="J25" s="1"/>
    </row>
    <row r="26" spans="1:10" s="9" customFormat="1">
      <c r="A26" s="288"/>
      <c r="B26" s="292"/>
      <c r="C26" s="297"/>
      <c r="D26" s="130"/>
      <c r="E26" s="120">
        <v>32001</v>
      </c>
      <c r="F26" s="99" t="s">
        <v>79</v>
      </c>
      <c r="G26" s="11">
        <f>+G28</f>
        <v>226678.9</v>
      </c>
      <c r="H26" s="11">
        <f t="shared" ref="H26:J26" si="6">+H28</f>
        <v>287782.8</v>
      </c>
      <c r="I26" s="11">
        <f t="shared" si="6"/>
        <v>433427.89999999997</v>
      </c>
      <c r="J26" s="11">
        <f t="shared" si="6"/>
        <v>433427.89999999997</v>
      </c>
    </row>
    <row r="27" spans="1:10" s="9" customFormat="1" ht="16.350000000000001" customHeight="1">
      <c r="A27" s="288"/>
      <c r="B27" s="292"/>
      <c r="C27" s="297"/>
      <c r="D27" s="130"/>
      <c r="E27" s="272"/>
      <c r="F27" s="97" t="s">
        <v>16</v>
      </c>
      <c r="G27" s="5"/>
      <c r="H27" s="4"/>
      <c r="I27" s="5"/>
      <c r="J27" s="4"/>
    </row>
    <row r="28" spans="1:10" s="12" customFormat="1" ht="36.6" customHeight="1">
      <c r="A28" s="288"/>
      <c r="B28" s="292"/>
      <c r="C28" s="297"/>
      <c r="D28" s="130"/>
      <c r="E28" s="273"/>
      <c r="F28" s="123" t="s">
        <v>105</v>
      </c>
      <c r="G28" s="54">
        <f t="shared" ref="G28:J28" si="7">+G30</f>
        <v>226678.9</v>
      </c>
      <c r="H28" s="54">
        <f t="shared" si="7"/>
        <v>287782.8</v>
      </c>
      <c r="I28" s="54">
        <f t="shared" si="7"/>
        <v>433427.89999999997</v>
      </c>
      <c r="J28" s="54">
        <f t="shared" si="7"/>
        <v>433427.89999999997</v>
      </c>
    </row>
    <row r="29" spans="1:10" s="9" customFormat="1" ht="51.75">
      <c r="A29" s="288"/>
      <c r="B29" s="292"/>
      <c r="C29" s="297"/>
      <c r="D29" s="130"/>
      <c r="E29" s="273"/>
      <c r="F29" s="97" t="s">
        <v>13</v>
      </c>
      <c r="G29" s="6"/>
      <c r="H29" s="4"/>
      <c r="I29" s="55"/>
      <c r="J29" s="4"/>
    </row>
    <row r="30" spans="1:10" s="9" customFormat="1" ht="16.899999999999999" customHeight="1">
      <c r="A30" s="288"/>
      <c r="B30" s="292"/>
      <c r="C30" s="297"/>
      <c r="D30" s="130"/>
      <c r="E30" s="273"/>
      <c r="F30" s="96" t="s">
        <v>7</v>
      </c>
      <c r="G30" s="5">
        <f>G31</f>
        <v>226678.9</v>
      </c>
      <c r="H30" s="5">
        <f t="shared" ref="H30:J30" si="8">H31</f>
        <v>287782.8</v>
      </c>
      <c r="I30" s="5">
        <f t="shared" si="8"/>
        <v>433427.89999999997</v>
      </c>
      <c r="J30" s="5">
        <f t="shared" si="8"/>
        <v>433427.89999999997</v>
      </c>
    </row>
    <row r="31" spans="1:10" s="9" customFormat="1" ht="16.899999999999999" customHeight="1">
      <c r="A31" s="288"/>
      <c r="B31" s="292"/>
      <c r="C31" s="297"/>
      <c r="D31" s="130"/>
      <c r="E31" s="273"/>
      <c r="F31" s="97" t="s">
        <v>54</v>
      </c>
      <c r="G31" s="6">
        <f>+G32</f>
        <v>226678.9</v>
      </c>
      <c r="H31" s="6">
        <f t="shared" ref="H31:J33" si="9">+H32</f>
        <v>287782.8</v>
      </c>
      <c r="I31" s="55">
        <f t="shared" si="9"/>
        <v>433427.89999999997</v>
      </c>
      <c r="J31" s="6">
        <f t="shared" si="9"/>
        <v>433427.89999999997</v>
      </c>
    </row>
    <row r="32" spans="1:10" s="9" customFormat="1" ht="16.350000000000001" customHeight="1">
      <c r="A32" s="288"/>
      <c r="B32" s="292"/>
      <c r="C32" s="297"/>
      <c r="D32" s="130"/>
      <c r="E32" s="273"/>
      <c r="F32" s="97" t="s">
        <v>55</v>
      </c>
      <c r="G32" s="6">
        <f>+G33</f>
        <v>226678.9</v>
      </c>
      <c r="H32" s="6">
        <f t="shared" si="9"/>
        <v>287782.8</v>
      </c>
      <c r="I32" s="6">
        <f t="shared" si="9"/>
        <v>433427.89999999997</v>
      </c>
      <c r="J32" s="6">
        <f t="shared" si="9"/>
        <v>433427.89999999997</v>
      </c>
    </row>
    <row r="33" spans="1:11" s="9" customFormat="1" ht="16.350000000000001" customHeight="1">
      <c r="A33" s="288"/>
      <c r="B33" s="292"/>
      <c r="C33" s="297"/>
      <c r="D33" s="130"/>
      <c r="E33" s="273"/>
      <c r="F33" s="124" t="s">
        <v>56</v>
      </c>
      <c r="G33" s="45">
        <f>+G34</f>
        <v>226678.9</v>
      </c>
      <c r="H33" s="45">
        <f t="shared" si="9"/>
        <v>287782.8</v>
      </c>
      <c r="I33" s="16">
        <f t="shared" si="9"/>
        <v>433427.89999999997</v>
      </c>
      <c r="J33" s="45">
        <f t="shared" si="9"/>
        <v>433427.89999999997</v>
      </c>
      <c r="K33" s="13"/>
    </row>
    <row r="34" spans="1:11" s="9" customFormat="1" ht="16.350000000000001" customHeight="1">
      <c r="A34" s="288"/>
      <c r="B34" s="292"/>
      <c r="C34" s="297"/>
      <c r="D34" s="130"/>
      <c r="E34" s="273"/>
      <c r="F34" s="124" t="s">
        <v>47</v>
      </c>
      <c r="G34" s="45">
        <f>+'Հավելված N 4'!E61</f>
        <v>226678.9</v>
      </c>
      <c r="H34" s="45">
        <f>+'Հավելված N 4'!F61</f>
        <v>287782.8</v>
      </c>
      <c r="I34" s="45">
        <f>+'Հավելված N 4'!G61</f>
        <v>433427.89999999997</v>
      </c>
      <c r="J34" s="45">
        <f>+'Հավելված N 4'!H61</f>
        <v>433427.89999999997</v>
      </c>
      <c r="K34" s="13"/>
    </row>
    <row r="35" spans="1:11" s="9" customFormat="1">
      <c r="A35" s="288"/>
      <c r="B35" s="287" t="s">
        <v>99</v>
      </c>
      <c r="C35" s="287"/>
      <c r="D35" s="298"/>
      <c r="E35" s="278"/>
      <c r="F35" s="131" t="s">
        <v>100</v>
      </c>
      <c r="G35" s="132">
        <f>+G37</f>
        <v>-348614.79999999993</v>
      </c>
      <c r="H35" s="132">
        <f t="shared" ref="H35:J35" si="10">+H37</f>
        <v>-462150.39999999985</v>
      </c>
      <c r="I35" s="132">
        <f t="shared" si="10"/>
        <v>-494801.29999999993</v>
      </c>
      <c r="J35" s="132">
        <f t="shared" si="10"/>
        <v>-702901</v>
      </c>
    </row>
    <row r="36" spans="1:11" s="9" customFormat="1" ht="16.899999999999999" customHeight="1">
      <c r="A36" s="288"/>
      <c r="B36" s="288"/>
      <c r="C36" s="288"/>
      <c r="D36" s="299"/>
      <c r="E36" s="279"/>
      <c r="F36" s="133" t="s">
        <v>6</v>
      </c>
      <c r="G36" s="132"/>
      <c r="H36" s="132"/>
      <c r="I36" s="132"/>
      <c r="J36" s="132"/>
    </row>
    <row r="37" spans="1:11" s="9" customFormat="1">
      <c r="A37" s="288"/>
      <c r="B37" s="288"/>
      <c r="C37" s="289"/>
      <c r="D37" s="299"/>
      <c r="E37" s="279"/>
      <c r="F37" s="131" t="s">
        <v>101</v>
      </c>
      <c r="G37" s="132">
        <f>+G39</f>
        <v>-348614.79999999993</v>
      </c>
      <c r="H37" s="132">
        <f t="shared" ref="H37:J37" si="11">+H39</f>
        <v>-462150.39999999985</v>
      </c>
      <c r="I37" s="132">
        <f t="shared" si="11"/>
        <v>-494801.29999999993</v>
      </c>
      <c r="J37" s="132">
        <f t="shared" si="11"/>
        <v>-702901</v>
      </c>
    </row>
    <row r="38" spans="1:11" s="9" customFormat="1" ht="16.899999999999999" customHeight="1">
      <c r="A38" s="288"/>
      <c r="B38" s="288"/>
      <c r="C38" s="287" t="s">
        <v>71</v>
      </c>
      <c r="D38" s="299"/>
      <c r="E38" s="279"/>
      <c r="F38" s="133" t="s">
        <v>6</v>
      </c>
      <c r="G38" s="132"/>
      <c r="H38" s="132"/>
      <c r="I38" s="132"/>
      <c r="J38" s="132"/>
    </row>
    <row r="39" spans="1:11" s="9" customFormat="1" ht="34.5">
      <c r="A39" s="288"/>
      <c r="B39" s="288"/>
      <c r="C39" s="288"/>
      <c r="D39" s="299"/>
      <c r="E39" s="279"/>
      <c r="F39" s="134" t="s">
        <v>12</v>
      </c>
      <c r="G39" s="132">
        <f>+G41+G52</f>
        <v>-348614.79999999993</v>
      </c>
      <c r="H39" s="132">
        <f t="shared" ref="H39:J39" si="12">+H41+H52</f>
        <v>-462150.39999999985</v>
      </c>
      <c r="I39" s="132">
        <f t="shared" si="12"/>
        <v>-494801.29999999993</v>
      </c>
      <c r="J39" s="132">
        <f t="shared" si="12"/>
        <v>-702901</v>
      </c>
    </row>
    <row r="40" spans="1:11" s="9" customFormat="1" ht="16.899999999999999" customHeight="1">
      <c r="A40" s="288"/>
      <c r="B40" s="288"/>
      <c r="C40" s="288"/>
      <c r="D40" s="300"/>
      <c r="E40" s="280"/>
      <c r="F40" s="133" t="s">
        <v>6</v>
      </c>
      <c r="G40" s="132"/>
      <c r="H40" s="132"/>
      <c r="I40" s="132"/>
      <c r="J40" s="132"/>
    </row>
    <row r="41" spans="1:11" s="9" customFormat="1">
      <c r="A41" s="288"/>
      <c r="B41" s="288"/>
      <c r="C41" s="288"/>
      <c r="D41" s="193">
        <v>1192</v>
      </c>
      <c r="E41" s="281" t="s">
        <v>207</v>
      </c>
      <c r="F41" s="281"/>
      <c r="G41" s="135">
        <f>+G43</f>
        <v>10000</v>
      </c>
      <c r="H41" s="135">
        <f t="shared" ref="H41:J41" si="13">+H43</f>
        <v>0</v>
      </c>
      <c r="I41" s="135">
        <f t="shared" si="13"/>
        <v>0</v>
      </c>
      <c r="J41" s="135">
        <f t="shared" si="13"/>
        <v>0</v>
      </c>
    </row>
    <row r="42" spans="1:11" s="9" customFormat="1" ht="16.899999999999999" customHeight="1">
      <c r="A42" s="288"/>
      <c r="B42" s="288"/>
      <c r="C42" s="288"/>
      <c r="D42" s="130"/>
      <c r="E42" s="136"/>
      <c r="F42" s="133" t="s">
        <v>6</v>
      </c>
      <c r="G42" s="135"/>
      <c r="H42" s="135"/>
      <c r="I42" s="135"/>
      <c r="J42" s="135"/>
    </row>
    <row r="43" spans="1:11" s="9" customFormat="1" ht="34.5">
      <c r="A43" s="288"/>
      <c r="B43" s="288"/>
      <c r="C43" s="288"/>
      <c r="D43" s="130"/>
      <c r="E43" s="137">
        <v>32007</v>
      </c>
      <c r="F43" s="138" t="s">
        <v>197</v>
      </c>
      <c r="G43" s="139">
        <f>+G45</f>
        <v>10000</v>
      </c>
      <c r="H43" s="139">
        <f t="shared" ref="H43:J43" si="14">+H45</f>
        <v>0</v>
      </c>
      <c r="I43" s="139">
        <f t="shared" si="14"/>
        <v>0</v>
      </c>
      <c r="J43" s="139">
        <f t="shared" si="14"/>
        <v>0</v>
      </c>
    </row>
    <row r="44" spans="1:11" s="9" customFormat="1">
      <c r="A44" s="288"/>
      <c r="B44" s="288"/>
      <c r="C44" s="288"/>
      <c r="D44" s="130"/>
      <c r="E44" s="271"/>
      <c r="F44" s="133" t="s">
        <v>16</v>
      </c>
      <c r="G44" s="132"/>
      <c r="H44" s="132"/>
      <c r="I44" s="132"/>
      <c r="J44" s="132"/>
    </row>
    <row r="45" spans="1:11" s="12" customFormat="1" ht="36.6" customHeight="1">
      <c r="A45" s="288"/>
      <c r="B45" s="288"/>
      <c r="C45" s="288"/>
      <c r="D45" s="130"/>
      <c r="E45" s="271"/>
      <c r="F45" s="140" t="s">
        <v>12</v>
      </c>
      <c r="G45" s="141">
        <f>+G47</f>
        <v>10000</v>
      </c>
      <c r="H45" s="141">
        <f t="shared" ref="H45:J45" si="15">+H47</f>
        <v>0</v>
      </c>
      <c r="I45" s="141">
        <f t="shared" si="15"/>
        <v>0</v>
      </c>
      <c r="J45" s="141">
        <f t="shared" si="15"/>
        <v>0</v>
      </c>
    </row>
    <row r="46" spans="1:11" s="9" customFormat="1" ht="51.75">
      <c r="A46" s="288"/>
      <c r="B46" s="288"/>
      <c r="C46" s="288"/>
      <c r="D46" s="130"/>
      <c r="E46" s="271"/>
      <c r="F46" s="133" t="s">
        <v>13</v>
      </c>
      <c r="G46" s="129"/>
      <c r="H46" s="142"/>
      <c r="I46" s="143"/>
      <c r="J46" s="142"/>
    </row>
    <row r="47" spans="1:11" s="9" customFormat="1" ht="16.899999999999999" customHeight="1">
      <c r="A47" s="288"/>
      <c r="B47" s="288"/>
      <c r="C47" s="288"/>
      <c r="D47" s="130"/>
      <c r="E47" s="271"/>
      <c r="F47" s="144" t="s">
        <v>7</v>
      </c>
      <c r="G47" s="132">
        <f>G48</f>
        <v>10000</v>
      </c>
      <c r="H47" s="132">
        <f t="shared" ref="H47:J47" si="16">H48</f>
        <v>0</v>
      </c>
      <c r="I47" s="132">
        <f t="shared" si="16"/>
        <v>0</v>
      </c>
      <c r="J47" s="132">
        <f t="shared" si="16"/>
        <v>0</v>
      </c>
    </row>
    <row r="48" spans="1:11" s="9" customFormat="1" ht="16.899999999999999" customHeight="1">
      <c r="A48" s="288"/>
      <c r="B48" s="288"/>
      <c r="C48" s="288"/>
      <c r="D48" s="130"/>
      <c r="E48" s="271"/>
      <c r="F48" s="133" t="s">
        <v>202</v>
      </c>
      <c r="G48" s="129">
        <f>+G49</f>
        <v>10000</v>
      </c>
      <c r="H48" s="129">
        <f t="shared" ref="H48:J50" si="17">+H49</f>
        <v>0</v>
      </c>
      <c r="I48" s="129">
        <f t="shared" si="17"/>
        <v>0</v>
      </c>
      <c r="J48" s="129">
        <f t="shared" si="17"/>
        <v>0</v>
      </c>
    </row>
    <row r="49" spans="1:11" s="9" customFormat="1">
      <c r="A49" s="288"/>
      <c r="B49" s="288"/>
      <c r="C49" s="288"/>
      <c r="D49" s="130"/>
      <c r="E49" s="271"/>
      <c r="F49" s="133" t="s">
        <v>203</v>
      </c>
      <c r="G49" s="129">
        <f>+G50</f>
        <v>10000</v>
      </c>
      <c r="H49" s="129">
        <f t="shared" si="17"/>
        <v>0</v>
      </c>
      <c r="I49" s="129">
        <f t="shared" si="17"/>
        <v>0</v>
      </c>
      <c r="J49" s="129">
        <f t="shared" si="17"/>
        <v>0</v>
      </c>
    </row>
    <row r="50" spans="1:11" s="9" customFormat="1">
      <c r="A50" s="288"/>
      <c r="B50" s="288"/>
      <c r="C50" s="288"/>
      <c r="D50" s="130"/>
      <c r="E50" s="271"/>
      <c r="F50" s="125" t="s">
        <v>204</v>
      </c>
      <c r="G50" s="129">
        <f>+G51</f>
        <v>10000</v>
      </c>
      <c r="H50" s="129">
        <f t="shared" si="17"/>
        <v>0</v>
      </c>
      <c r="I50" s="129">
        <f t="shared" si="17"/>
        <v>0</v>
      </c>
      <c r="J50" s="129">
        <f t="shared" si="17"/>
        <v>0</v>
      </c>
      <c r="K50" s="13"/>
    </row>
    <row r="51" spans="1:11" s="9" customFormat="1">
      <c r="A51" s="288"/>
      <c r="B51" s="288"/>
      <c r="C51" s="288"/>
      <c r="D51" s="130"/>
      <c r="E51" s="271"/>
      <c r="F51" s="125" t="s">
        <v>205</v>
      </c>
      <c r="G51" s="129">
        <f>+'Հավելված N 4'!E58</f>
        <v>10000</v>
      </c>
      <c r="H51" s="129">
        <f>+'Հավելված N 4'!F58</f>
        <v>0</v>
      </c>
      <c r="I51" s="129">
        <f>+'Հավելված N 4'!G58</f>
        <v>0</v>
      </c>
      <c r="J51" s="129">
        <f>+'Հավելված N 4'!H58</f>
        <v>0</v>
      </c>
      <c r="K51" s="13"/>
    </row>
    <row r="52" spans="1:11" s="9" customFormat="1" ht="39.4" customHeight="1">
      <c r="A52" s="288"/>
      <c r="B52" s="288"/>
      <c r="C52" s="288"/>
      <c r="D52" s="137">
        <v>1236</v>
      </c>
      <c r="E52" s="281" t="s">
        <v>74</v>
      </c>
      <c r="F52" s="281"/>
      <c r="G52" s="135">
        <f>+G54+G65+G74+G85</f>
        <v>-358614.79999999993</v>
      </c>
      <c r="H52" s="135">
        <f t="shared" ref="H52:J52" si="18">+H54+H65+H74+H85</f>
        <v>-462150.39999999985</v>
      </c>
      <c r="I52" s="135">
        <f t="shared" si="18"/>
        <v>-494801.29999999993</v>
      </c>
      <c r="J52" s="135">
        <f t="shared" si="18"/>
        <v>-702901</v>
      </c>
    </row>
    <row r="53" spans="1:11" s="9" customFormat="1" ht="16.899999999999999" customHeight="1">
      <c r="A53" s="288"/>
      <c r="B53" s="288"/>
      <c r="C53" s="288"/>
      <c r="D53" s="130"/>
      <c r="E53" s="136"/>
      <c r="F53" s="133" t="s">
        <v>6</v>
      </c>
      <c r="G53" s="135"/>
      <c r="H53" s="135"/>
      <c r="I53" s="135"/>
      <c r="J53" s="135"/>
    </row>
    <row r="54" spans="1:11" s="9" customFormat="1" ht="34.5">
      <c r="A54" s="288"/>
      <c r="B54" s="288"/>
      <c r="C54" s="288"/>
      <c r="D54" s="130"/>
      <c r="E54" s="137">
        <v>32003</v>
      </c>
      <c r="F54" s="138" t="s">
        <v>102</v>
      </c>
      <c r="G54" s="139">
        <f>+G56</f>
        <v>14972.700000000041</v>
      </c>
      <c r="H54" s="139">
        <f t="shared" ref="H54:J54" si="19">+H56</f>
        <v>174094.3000000001</v>
      </c>
      <c r="I54" s="139">
        <f t="shared" si="19"/>
        <v>319266.70000000007</v>
      </c>
      <c r="J54" s="139">
        <f t="shared" si="19"/>
        <v>279975.30000000005</v>
      </c>
    </row>
    <row r="55" spans="1:11" s="9" customFormat="1">
      <c r="A55" s="288"/>
      <c r="B55" s="288"/>
      <c r="C55" s="288"/>
      <c r="D55" s="130"/>
      <c r="E55" s="271"/>
      <c r="F55" s="133" t="s">
        <v>16</v>
      </c>
      <c r="G55" s="132"/>
      <c r="H55" s="132"/>
      <c r="I55" s="132"/>
      <c r="J55" s="132"/>
    </row>
    <row r="56" spans="1:11" s="12" customFormat="1" ht="36.6" customHeight="1">
      <c r="A56" s="288"/>
      <c r="B56" s="288"/>
      <c r="C56" s="288"/>
      <c r="D56" s="130"/>
      <c r="E56" s="271"/>
      <c r="F56" s="140" t="s">
        <v>105</v>
      </c>
      <c r="G56" s="141">
        <f>+G58</f>
        <v>14972.700000000041</v>
      </c>
      <c r="H56" s="141">
        <f t="shared" ref="H56:J56" si="20">+H58</f>
        <v>174094.3000000001</v>
      </c>
      <c r="I56" s="141">
        <f t="shared" si="20"/>
        <v>319266.70000000007</v>
      </c>
      <c r="J56" s="141">
        <f t="shared" si="20"/>
        <v>279975.30000000005</v>
      </c>
    </row>
    <row r="57" spans="1:11" s="9" customFormat="1" ht="51.75">
      <c r="A57" s="288"/>
      <c r="B57" s="288"/>
      <c r="C57" s="288"/>
      <c r="D57" s="130"/>
      <c r="E57" s="271"/>
      <c r="F57" s="133" t="s">
        <v>13</v>
      </c>
      <c r="G57" s="129"/>
      <c r="H57" s="142"/>
      <c r="I57" s="143"/>
      <c r="J57" s="142"/>
    </row>
    <row r="58" spans="1:11" s="9" customFormat="1" ht="16.899999999999999" customHeight="1">
      <c r="A58" s="288"/>
      <c r="B58" s="288"/>
      <c r="C58" s="288"/>
      <c r="D58" s="130"/>
      <c r="E58" s="271"/>
      <c r="F58" s="144" t="s">
        <v>7</v>
      </c>
      <c r="G58" s="132">
        <f>G59</f>
        <v>14972.700000000041</v>
      </c>
      <c r="H58" s="132">
        <f t="shared" ref="H58:J58" si="21">H59</f>
        <v>174094.3000000001</v>
      </c>
      <c r="I58" s="132">
        <f t="shared" si="21"/>
        <v>319266.70000000007</v>
      </c>
      <c r="J58" s="132">
        <f t="shared" si="21"/>
        <v>279975.30000000005</v>
      </c>
    </row>
    <row r="59" spans="1:11" s="9" customFormat="1" ht="16.899999999999999" customHeight="1">
      <c r="A59" s="288"/>
      <c r="B59" s="288"/>
      <c r="C59" s="288"/>
      <c r="D59" s="130"/>
      <c r="E59" s="271"/>
      <c r="F59" s="133" t="s">
        <v>54</v>
      </c>
      <c r="G59" s="129">
        <f>+G60</f>
        <v>14972.700000000041</v>
      </c>
      <c r="H59" s="129">
        <f t="shared" ref="H59:J59" si="22">+H60</f>
        <v>174094.3000000001</v>
      </c>
      <c r="I59" s="129">
        <f t="shared" si="22"/>
        <v>319266.70000000007</v>
      </c>
      <c r="J59" s="129">
        <f t="shared" si="22"/>
        <v>279975.30000000005</v>
      </c>
    </row>
    <row r="60" spans="1:11" s="9" customFormat="1">
      <c r="A60" s="288"/>
      <c r="B60" s="288"/>
      <c r="C60" s="288"/>
      <c r="D60" s="130"/>
      <c r="E60" s="271"/>
      <c r="F60" s="133" t="s">
        <v>55</v>
      </c>
      <c r="G60" s="129">
        <f>+G61+G63</f>
        <v>14972.700000000041</v>
      </c>
      <c r="H60" s="129">
        <f t="shared" ref="H60:J60" si="23">+H61+H63</f>
        <v>174094.3000000001</v>
      </c>
      <c r="I60" s="129">
        <f t="shared" si="23"/>
        <v>319266.70000000007</v>
      </c>
      <c r="J60" s="129">
        <f t="shared" si="23"/>
        <v>279975.30000000005</v>
      </c>
    </row>
    <row r="61" spans="1:11" s="9" customFormat="1">
      <c r="A61" s="288"/>
      <c r="B61" s="288"/>
      <c r="C61" s="288"/>
      <c r="D61" s="130"/>
      <c r="E61" s="271"/>
      <c r="F61" s="125" t="s">
        <v>56</v>
      </c>
      <c r="G61" s="129">
        <f>+G62</f>
        <v>14972.700000000041</v>
      </c>
      <c r="H61" s="129">
        <f t="shared" ref="H61:J63" si="24">+H62</f>
        <v>151594.3000000001</v>
      </c>
      <c r="I61" s="129">
        <f t="shared" si="24"/>
        <v>296766.70000000007</v>
      </c>
      <c r="J61" s="129">
        <f t="shared" si="24"/>
        <v>257475.30000000005</v>
      </c>
      <c r="K61" s="13"/>
    </row>
    <row r="62" spans="1:11" s="9" customFormat="1">
      <c r="A62" s="288"/>
      <c r="B62" s="288"/>
      <c r="C62" s="288"/>
      <c r="D62" s="130"/>
      <c r="E62" s="271"/>
      <c r="F62" s="125" t="s">
        <v>47</v>
      </c>
      <c r="G62" s="129">
        <f>+'Հավելված N 4'!E76+'Հավելված N 4'!E77+'Հավելված N 4'!E80+'Հավելված N 4'!E84+'Հավելված N 4'!E85+'Հավելված N 4'!E87+'Հավելված N 4'!E89+'Հավելված N 4'!E90+'Հավելված N 4'!E91+'Հավելված N 4'!E92+'Հավելված N 4'!E93+'Հավելված N 4'!E95</f>
        <v>14972.700000000041</v>
      </c>
      <c r="H62" s="129">
        <f>+'Հավելված N 4'!F76+'Հավելված N 4'!F77+'Հավելված N 4'!F80+'Հավելված N 4'!F84+'Հավելված N 4'!F85+'Հավելված N 4'!F87+'Հավելված N 4'!F89+'Հավելված N 4'!F90+'Հավելված N 4'!F91+'Հավելված N 4'!F92+'Հավելված N 4'!F93+'Հավելված N 4'!F95</f>
        <v>151594.3000000001</v>
      </c>
      <c r="I62" s="129">
        <f>+'Հավելված N 4'!G76+'Հավելված N 4'!G77+'Հավելված N 4'!G80+'Հավելված N 4'!G84+'Հավելված N 4'!G85+'Հավելված N 4'!G87+'Հավելված N 4'!G89+'Հավելված N 4'!G90+'Հավելված N 4'!G91+'Հավելված N 4'!G92+'Հավելված N 4'!G93+'Հավելված N 4'!G95</f>
        <v>296766.70000000007</v>
      </c>
      <c r="J62" s="129">
        <f>+'Հավելված N 4'!H76+'Հավելված N 4'!H77+'Հավելված N 4'!H80+'Հավելված N 4'!H84+'Հավելված N 4'!H85+'Հավելված N 4'!H87+'Հավելված N 4'!H89+'Հավելված N 4'!H90+'Հավելված N 4'!H91+'Հավելված N 4'!H92+'Հավելված N 4'!H93+'Հավելված N 4'!H95</f>
        <v>257475.30000000005</v>
      </c>
      <c r="K62" s="13"/>
    </row>
    <row r="63" spans="1:11" s="9" customFormat="1">
      <c r="A63" s="288"/>
      <c r="B63" s="288"/>
      <c r="C63" s="288"/>
      <c r="D63" s="130"/>
      <c r="E63" s="271"/>
      <c r="F63" s="125" t="s">
        <v>75</v>
      </c>
      <c r="G63" s="129">
        <f>+G64</f>
        <v>0</v>
      </c>
      <c r="H63" s="129">
        <f t="shared" si="24"/>
        <v>22500</v>
      </c>
      <c r="I63" s="129">
        <f t="shared" si="24"/>
        <v>22500</v>
      </c>
      <c r="J63" s="129">
        <f t="shared" si="24"/>
        <v>22500</v>
      </c>
      <c r="K63" s="13"/>
    </row>
    <row r="64" spans="1:11" s="9" customFormat="1">
      <c r="A64" s="288"/>
      <c r="B64" s="288"/>
      <c r="C64" s="288"/>
      <c r="D64" s="130"/>
      <c r="E64" s="271"/>
      <c r="F64" s="125" t="s">
        <v>60</v>
      </c>
      <c r="G64" s="129">
        <f>+'Հավելված N 4'!E79+'Հավելված N 4'!E82+'Հավելված N 4'!E96</f>
        <v>0</v>
      </c>
      <c r="H64" s="129">
        <f>+'Հավելված N 4'!F79+'Հավելված N 4'!F82+'Հավելված N 4'!F96</f>
        <v>22500</v>
      </c>
      <c r="I64" s="129">
        <f>+'Հավելված N 4'!G79+'Հավելված N 4'!G82+'Հավելված N 4'!G96</f>
        <v>22500</v>
      </c>
      <c r="J64" s="129">
        <f>+'Հավելված N 4'!H79+'Հավելված N 4'!H82+'Հավելված N 4'!H96</f>
        <v>22500</v>
      </c>
      <c r="K64" s="13"/>
    </row>
    <row r="65" spans="1:11" s="9" customFormat="1" ht="34.5">
      <c r="A65" s="288"/>
      <c r="B65" s="288"/>
      <c r="C65" s="155"/>
      <c r="D65" s="130"/>
      <c r="E65" s="137">
        <v>32004</v>
      </c>
      <c r="F65" s="138" t="s">
        <v>164</v>
      </c>
      <c r="G65" s="139">
        <f>+G67</f>
        <v>0</v>
      </c>
      <c r="H65" s="139">
        <f t="shared" ref="H65:J65" si="25">+H67</f>
        <v>14390</v>
      </c>
      <c r="I65" s="139">
        <f t="shared" si="25"/>
        <v>14390</v>
      </c>
      <c r="J65" s="139">
        <f t="shared" si="25"/>
        <v>14390</v>
      </c>
    </row>
    <row r="66" spans="1:11" s="9" customFormat="1">
      <c r="A66" s="288"/>
      <c r="B66" s="288"/>
      <c r="C66" s="155"/>
      <c r="D66" s="130"/>
      <c r="E66" s="271"/>
      <c r="F66" s="133" t="s">
        <v>16</v>
      </c>
      <c r="G66" s="132"/>
      <c r="H66" s="132"/>
      <c r="I66" s="132"/>
      <c r="J66" s="132"/>
    </row>
    <row r="67" spans="1:11" s="12" customFormat="1" ht="36.6" customHeight="1">
      <c r="A67" s="288"/>
      <c r="B67" s="288"/>
      <c r="C67" s="155"/>
      <c r="D67" s="130"/>
      <c r="E67" s="271"/>
      <c r="F67" s="140" t="s">
        <v>105</v>
      </c>
      <c r="G67" s="141">
        <f>+G69</f>
        <v>0</v>
      </c>
      <c r="H67" s="141">
        <f t="shared" ref="H67:J67" si="26">+H69</f>
        <v>14390</v>
      </c>
      <c r="I67" s="141">
        <f t="shared" si="26"/>
        <v>14390</v>
      </c>
      <c r="J67" s="141">
        <f t="shared" si="26"/>
        <v>14390</v>
      </c>
    </row>
    <row r="68" spans="1:11" s="9" customFormat="1" ht="51.75">
      <c r="A68" s="288"/>
      <c r="B68" s="288"/>
      <c r="C68" s="155"/>
      <c r="D68" s="130"/>
      <c r="E68" s="271"/>
      <c r="F68" s="133" t="s">
        <v>13</v>
      </c>
      <c r="G68" s="129"/>
      <c r="H68" s="142"/>
      <c r="I68" s="143"/>
      <c r="J68" s="142"/>
    </row>
    <row r="69" spans="1:11" s="9" customFormat="1" ht="16.899999999999999" customHeight="1">
      <c r="A69" s="288"/>
      <c r="B69" s="288"/>
      <c r="C69" s="155"/>
      <c r="D69" s="130"/>
      <c r="E69" s="271"/>
      <c r="F69" s="144" t="s">
        <v>7</v>
      </c>
      <c r="G69" s="132">
        <f>G70</f>
        <v>0</v>
      </c>
      <c r="H69" s="132">
        <f t="shared" ref="H69:J69" si="27">H70</f>
        <v>14390</v>
      </c>
      <c r="I69" s="132">
        <f t="shared" si="27"/>
        <v>14390</v>
      </c>
      <c r="J69" s="132">
        <f t="shared" si="27"/>
        <v>14390</v>
      </c>
    </row>
    <row r="70" spans="1:11" s="9" customFormat="1" ht="16.899999999999999" customHeight="1">
      <c r="A70" s="288"/>
      <c r="B70" s="288"/>
      <c r="C70" s="155"/>
      <c r="D70" s="130"/>
      <c r="E70" s="271"/>
      <c r="F70" s="133" t="s">
        <v>54</v>
      </c>
      <c r="G70" s="129">
        <f>+G71</f>
        <v>0</v>
      </c>
      <c r="H70" s="129">
        <f t="shared" ref="H70:J71" si="28">+H71</f>
        <v>14390</v>
      </c>
      <c r="I70" s="129">
        <f t="shared" si="28"/>
        <v>14390</v>
      </c>
      <c r="J70" s="129">
        <f t="shared" si="28"/>
        <v>14390</v>
      </c>
    </row>
    <row r="71" spans="1:11" s="9" customFormat="1">
      <c r="A71" s="288"/>
      <c r="B71" s="288"/>
      <c r="C71" s="155"/>
      <c r="D71" s="130"/>
      <c r="E71" s="271"/>
      <c r="F71" s="133" t="s">
        <v>55</v>
      </c>
      <c r="G71" s="129">
        <f>+G72</f>
        <v>0</v>
      </c>
      <c r="H71" s="129">
        <f t="shared" si="28"/>
        <v>14390</v>
      </c>
      <c r="I71" s="129">
        <f t="shared" si="28"/>
        <v>14390</v>
      </c>
      <c r="J71" s="129">
        <f t="shared" si="28"/>
        <v>14390</v>
      </c>
    </row>
    <row r="72" spans="1:11" s="9" customFormat="1">
      <c r="A72" s="288"/>
      <c r="B72" s="288"/>
      <c r="C72" s="155"/>
      <c r="D72" s="130"/>
      <c r="E72" s="271"/>
      <c r="F72" s="125" t="s">
        <v>75</v>
      </c>
      <c r="G72" s="129">
        <f>+G73</f>
        <v>0</v>
      </c>
      <c r="H72" s="129">
        <f t="shared" ref="H72:J72" si="29">+H73</f>
        <v>14390</v>
      </c>
      <c r="I72" s="129">
        <f t="shared" si="29"/>
        <v>14390</v>
      </c>
      <c r="J72" s="129">
        <f t="shared" si="29"/>
        <v>14390</v>
      </c>
      <c r="K72" s="13"/>
    </row>
    <row r="73" spans="1:11" s="9" customFormat="1">
      <c r="A73" s="288"/>
      <c r="B73" s="288"/>
      <c r="C73" s="155"/>
      <c r="D73" s="130"/>
      <c r="E73" s="271"/>
      <c r="F73" s="125" t="s">
        <v>60</v>
      </c>
      <c r="G73" s="129">
        <f>+'Հավելված N 4'!E99</f>
        <v>0</v>
      </c>
      <c r="H73" s="129">
        <f>+'Հավելված N 4'!F99</f>
        <v>14390</v>
      </c>
      <c r="I73" s="129">
        <f>+'Հավելված N 4'!G99</f>
        <v>14390</v>
      </c>
      <c r="J73" s="129">
        <f>+'Հավելված N 4'!H99</f>
        <v>14390</v>
      </c>
      <c r="K73" s="13"/>
    </row>
    <row r="74" spans="1:11" s="9" customFormat="1">
      <c r="A74" s="288"/>
      <c r="B74" s="288"/>
      <c r="C74" s="155"/>
      <c r="D74" s="130"/>
      <c r="E74" s="137">
        <v>32005</v>
      </c>
      <c r="F74" s="185" t="s">
        <v>98</v>
      </c>
      <c r="G74" s="139">
        <f>+G76</f>
        <v>-363587.49999999994</v>
      </c>
      <c r="H74" s="139">
        <f t="shared" ref="H74:J74" si="30">+H76</f>
        <v>-650634.69999999995</v>
      </c>
      <c r="I74" s="139">
        <f t="shared" si="30"/>
        <v>-828458</v>
      </c>
      <c r="J74" s="139">
        <f t="shared" si="30"/>
        <v>-997266.3</v>
      </c>
    </row>
    <row r="75" spans="1:11" s="9" customFormat="1">
      <c r="A75" s="288"/>
      <c r="B75" s="288"/>
      <c r="C75" s="155"/>
      <c r="D75" s="130"/>
      <c r="E75" s="271"/>
      <c r="F75" s="133" t="s">
        <v>16</v>
      </c>
      <c r="G75" s="132"/>
      <c r="H75" s="132"/>
      <c r="I75" s="132"/>
      <c r="J75" s="132"/>
    </row>
    <row r="76" spans="1:11" s="12" customFormat="1" ht="36.6" customHeight="1">
      <c r="A76" s="288"/>
      <c r="B76" s="288"/>
      <c r="C76" s="155"/>
      <c r="D76" s="130"/>
      <c r="E76" s="271"/>
      <c r="F76" s="140" t="s">
        <v>105</v>
      </c>
      <c r="G76" s="141">
        <f>+G78</f>
        <v>-363587.49999999994</v>
      </c>
      <c r="H76" s="141">
        <f t="shared" ref="H76:J76" si="31">+H78</f>
        <v>-650634.69999999995</v>
      </c>
      <c r="I76" s="141">
        <f t="shared" si="31"/>
        <v>-828458</v>
      </c>
      <c r="J76" s="141">
        <f t="shared" si="31"/>
        <v>-997266.3</v>
      </c>
    </row>
    <row r="77" spans="1:11" s="9" customFormat="1" ht="51.75">
      <c r="A77" s="288"/>
      <c r="B77" s="288"/>
      <c r="C77" s="155"/>
      <c r="D77" s="130"/>
      <c r="E77" s="271"/>
      <c r="F77" s="133" t="s">
        <v>13</v>
      </c>
      <c r="G77" s="129"/>
      <c r="H77" s="142"/>
      <c r="I77" s="143"/>
      <c r="J77" s="142"/>
    </row>
    <row r="78" spans="1:11" s="9" customFormat="1" ht="16.899999999999999" customHeight="1">
      <c r="A78" s="288"/>
      <c r="B78" s="288"/>
      <c r="C78" s="155"/>
      <c r="D78" s="130"/>
      <c r="E78" s="271"/>
      <c r="F78" s="144" t="s">
        <v>7</v>
      </c>
      <c r="G78" s="132">
        <f>G79</f>
        <v>-363587.49999999994</v>
      </c>
      <c r="H78" s="132">
        <f t="shared" ref="H78:J78" si="32">H79</f>
        <v>-650634.69999999995</v>
      </c>
      <c r="I78" s="132">
        <f t="shared" si="32"/>
        <v>-828458</v>
      </c>
      <c r="J78" s="132">
        <f t="shared" si="32"/>
        <v>-997266.3</v>
      </c>
    </row>
    <row r="79" spans="1:11" s="9" customFormat="1" ht="16.899999999999999" customHeight="1">
      <c r="A79" s="288"/>
      <c r="B79" s="288"/>
      <c r="C79" s="155"/>
      <c r="D79" s="130"/>
      <c r="E79" s="271"/>
      <c r="F79" s="133" t="s">
        <v>54</v>
      </c>
      <c r="G79" s="129">
        <f>+G80</f>
        <v>-363587.49999999994</v>
      </c>
      <c r="H79" s="129">
        <f t="shared" ref="H79:J79" si="33">+H80</f>
        <v>-650634.69999999995</v>
      </c>
      <c r="I79" s="129">
        <f t="shared" si="33"/>
        <v>-828458</v>
      </c>
      <c r="J79" s="129">
        <f t="shared" si="33"/>
        <v>-997266.3</v>
      </c>
    </row>
    <row r="80" spans="1:11" s="9" customFormat="1">
      <c r="A80" s="288"/>
      <c r="B80" s="288"/>
      <c r="C80" s="155"/>
      <c r="D80" s="130"/>
      <c r="E80" s="271"/>
      <c r="F80" s="133" t="s">
        <v>55</v>
      </c>
      <c r="G80" s="129">
        <f>+G81+G83</f>
        <v>-363587.49999999994</v>
      </c>
      <c r="H80" s="129">
        <f t="shared" ref="H80:J80" si="34">+H81+H83</f>
        <v>-650634.69999999995</v>
      </c>
      <c r="I80" s="129">
        <f t="shared" si="34"/>
        <v>-828458</v>
      </c>
      <c r="J80" s="129">
        <f t="shared" si="34"/>
        <v>-997266.3</v>
      </c>
    </row>
    <row r="81" spans="1:11" s="9" customFormat="1">
      <c r="A81" s="288"/>
      <c r="B81" s="288"/>
      <c r="C81" s="155"/>
      <c r="D81" s="130"/>
      <c r="E81" s="271"/>
      <c r="F81" s="125" t="s">
        <v>56</v>
      </c>
      <c r="G81" s="129">
        <f>+G82</f>
        <v>-363587.49999999994</v>
      </c>
      <c r="H81" s="129">
        <f t="shared" ref="H81:J81" si="35">+H82</f>
        <v>-692634.7</v>
      </c>
      <c r="I81" s="129">
        <f t="shared" si="35"/>
        <v>-870458</v>
      </c>
      <c r="J81" s="129">
        <f t="shared" si="35"/>
        <v>-1039266.3</v>
      </c>
      <c r="K81" s="13"/>
    </row>
    <row r="82" spans="1:11" s="9" customFormat="1">
      <c r="A82" s="288"/>
      <c r="B82" s="288"/>
      <c r="C82" s="155"/>
      <c r="D82" s="130"/>
      <c r="E82" s="271"/>
      <c r="F82" s="125" t="s">
        <v>47</v>
      </c>
      <c r="G82" s="129">
        <f>+'Հավելված N 4'!E109+'Հավելված N 4'!E115+'Հավելված N 4'!E116+'Հավելված N 4'!E117</f>
        <v>-363587.49999999994</v>
      </c>
      <c r="H82" s="129">
        <f>+'Հավելված N 4'!F109+'Հավելված N 4'!F115+'Հավելված N 4'!F116+'Հավելված N 4'!F117</f>
        <v>-692634.7</v>
      </c>
      <c r="I82" s="129">
        <f>+'Հավելված N 4'!G109+'Հավելված N 4'!G115+'Հավելված N 4'!G116+'Հավելված N 4'!G117</f>
        <v>-870458</v>
      </c>
      <c r="J82" s="129">
        <f>+'Հավելված N 4'!H109+'Հավելված N 4'!H115+'Հավելված N 4'!H116+'Հավելված N 4'!H117</f>
        <v>-1039266.3</v>
      </c>
      <c r="K82" s="13"/>
    </row>
    <row r="83" spans="1:11" s="9" customFormat="1">
      <c r="A83" s="288"/>
      <c r="B83" s="288"/>
      <c r="C83" s="155"/>
      <c r="D83" s="130"/>
      <c r="E83" s="271"/>
      <c r="F83" s="125" t="s">
        <v>75</v>
      </c>
      <c r="G83" s="129">
        <f>+G84</f>
        <v>0</v>
      </c>
      <c r="H83" s="129">
        <f t="shared" ref="H83:J83" si="36">+H84</f>
        <v>42000</v>
      </c>
      <c r="I83" s="129">
        <f t="shared" si="36"/>
        <v>42000</v>
      </c>
      <c r="J83" s="129">
        <f t="shared" si="36"/>
        <v>42000</v>
      </c>
      <c r="K83" s="13"/>
    </row>
    <row r="84" spans="1:11" s="9" customFormat="1">
      <c r="A84" s="288"/>
      <c r="B84" s="288"/>
      <c r="C84" s="155"/>
      <c r="D84" s="130"/>
      <c r="E84" s="271"/>
      <c r="F84" s="125" t="s">
        <v>60</v>
      </c>
      <c r="G84" s="129">
        <f>+'Հավելված N 4'!E108+'Հավելված N 4'!E111+'Հավելված N 4'!E113+'Հավելված N 4'!E119+'Հավելված N 4'!E121</f>
        <v>0</v>
      </c>
      <c r="H84" s="129">
        <f>+'Հավելված N 4'!F108+'Հավելված N 4'!F111+'Հավելված N 4'!F113+'Հավելված N 4'!F119+'Հավելված N 4'!F121</f>
        <v>42000</v>
      </c>
      <c r="I84" s="129">
        <f>+'Հավելված N 4'!G108+'Հավելված N 4'!G111+'Հավելված N 4'!G113+'Հավելված N 4'!G119+'Հավելված N 4'!G121</f>
        <v>42000</v>
      </c>
      <c r="J84" s="129">
        <f>+'Հավելված N 4'!H108+'Հավելված N 4'!H111+'Հավելված N 4'!H113+'Հավելված N 4'!H119+'Հավելված N 4'!H121</f>
        <v>42000</v>
      </c>
      <c r="K84" s="13"/>
    </row>
    <row r="85" spans="1:11" s="9" customFormat="1" ht="51.75">
      <c r="A85" s="288"/>
      <c r="B85" s="288"/>
      <c r="C85" s="155"/>
      <c r="D85" s="130"/>
      <c r="E85" s="137">
        <v>32006</v>
      </c>
      <c r="F85" s="185" t="s">
        <v>196</v>
      </c>
      <c r="G85" s="139">
        <f>+G87</f>
        <v>-10000</v>
      </c>
      <c r="H85" s="139">
        <f t="shared" ref="H85:J85" si="37">+H87</f>
        <v>0</v>
      </c>
      <c r="I85" s="139">
        <f t="shared" si="37"/>
        <v>0</v>
      </c>
      <c r="J85" s="139">
        <f t="shared" si="37"/>
        <v>0</v>
      </c>
    </row>
    <row r="86" spans="1:11" s="9" customFormat="1">
      <c r="A86" s="288"/>
      <c r="B86" s="288"/>
      <c r="C86" s="155"/>
      <c r="D86" s="130"/>
      <c r="E86" s="271"/>
      <c r="F86" s="133" t="s">
        <v>16</v>
      </c>
      <c r="G86" s="132"/>
      <c r="H86" s="132"/>
      <c r="I86" s="132"/>
      <c r="J86" s="132"/>
    </row>
    <row r="87" spans="1:11" s="12" customFormat="1" ht="36.6" customHeight="1">
      <c r="A87" s="288"/>
      <c r="B87" s="288"/>
      <c r="C87" s="155"/>
      <c r="D87" s="130"/>
      <c r="E87" s="271"/>
      <c r="F87" s="140" t="s">
        <v>12</v>
      </c>
      <c r="G87" s="141">
        <f>+G89</f>
        <v>-10000</v>
      </c>
      <c r="H87" s="141">
        <f t="shared" ref="H87:J87" si="38">+H89</f>
        <v>0</v>
      </c>
      <c r="I87" s="141">
        <f t="shared" si="38"/>
        <v>0</v>
      </c>
      <c r="J87" s="141">
        <f t="shared" si="38"/>
        <v>0</v>
      </c>
    </row>
    <row r="88" spans="1:11" s="9" customFormat="1" ht="51.75">
      <c r="A88" s="288"/>
      <c r="B88" s="288"/>
      <c r="C88" s="155"/>
      <c r="D88" s="130"/>
      <c r="E88" s="271"/>
      <c r="F88" s="133" t="s">
        <v>13</v>
      </c>
      <c r="G88" s="129"/>
      <c r="H88" s="142"/>
      <c r="I88" s="143"/>
      <c r="J88" s="142"/>
    </row>
    <row r="89" spans="1:11" s="9" customFormat="1" ht="16.899999999999999" customHeight="1">
      <c r="A89" s="288"/>
      <c r="B89" s="288"/>
      <c r="C89" s="155"/>
      <c r="D89" s="130"/>
      <c r="E89" s="271"/>
      <c r="F89" s="144" t="s">
        <v>7</v>
      </c>
      <c r="G89" s="132">
        <f>G90</f>
        <v>-10000</v>
      </c>
      <c r="H89" s="132">
        <f t="shared" ref="H89:J89" si="39">H90</f>
        <v>0</v>
      </c>
      <c r="I89" s="132">
        <f t="shared" si="39"/>
        <v>0</v>
      </c>
      <c r="J89" s="132">
        <f t="shared" si="39"/>
        <v>0</v>
      </c>
    </row>
    <row r="90" spans="1:11" s="9" customFormat="1" ht="16.899999999999999" customHeight="1">
      <c r="A90" s="288"/>
      <c r="B90" s="288"/>
      <c r="C90" s="155"/>
      <c r="D90" s="130"/>
      <c r="E90" s="271"/>
      <c r="F90" s="133" t="s">
        <v>202</v>
      </c>
      <c r="G90" s="129">
        <f>+G91</f>
        <v>-10000</v>
      </c>
      <c r="H90" s="129">
        <f t="shared" ref="H90:J91" si="40">+H91</f>
        <v>0</v>
      </c>
      <c r="I90" s="129">
        <f t="shared" si="40"/>
        <v>0</v>
      </c>
      <c r="J90" s="129">
        <f t="shared" si="40"/>
        <v>0</v>
      </c>
    </row>
    <row r="91" spans="1:11" s="9" customFormat="1">
      <c r="A91" s="288"/>
      <c r="B91" s="288"/>
      <c r="C91" s="155"/>
      <c r="D91" s="130"/>
      <c r="E91" s="271"/>
      <c r="F91" s="133" t="s">
        <v>203</v>
      </c>
      <c r="G91" s="129">
        <f>+G92</f>
        <v>-10000</v>
      </c>
      <c r="H91" s="129">
        <f t="shared" si="40"/>
        <v>0</v>
      </c>
      <c r="I91" s="129">
        <f t="shared" si="40"/>
        <v>0</v>
      </c>
      <c r="J91" s="129">
        <f t="shared" si="40"/>
        <v>0</v>
      </c>
    </row>
    <row r="92" spans="1:11" s="9" customFormat="1">
      <c r="A92" s="288"/>
      <c r="B92" s="288"/>
      <c r="C92" s="155"/>
      <c r="D92" s="130"/>
      <c r="E92" s="271"/>
      <c r="F92" s="125" t="s">
        <v>204</v>
      </c>
      <c r="G92" s="129">
        <f>+G93</f>
        <v>-10000</v>
      </c>
      <c r="H92" s="129">
        <f t="shared" ref="H92:J92" si="41">+H93</f>
        <v>0</v>
      </c>
      <c r="I92" s="129">
        <f t="shared" si="41"/>
        <v>0</v>
      </c>
      <c r="J92" s="129">
        <f t="shared" si="41"/>
        <v>0</v>
      </c>
      <c r="K92" s="13"/>
    </row>
    <row r="93" spans="1:11" s="9" customFormat="1">
      <c r="A93" s="288"/>
      <c r="B93" s="288"/>
      <c r="C93" s="155"/>
      <c r="D93" s="130"/>
      <c r="E93" s="271"/>
      <c r="F93" s="125" t="s">
        <v>205</v>
      </c>
      <c r="G93" s="129">
        <f>+'Հավելված N 4'!E124</f>
        <v>-10000</v>
      </c>
      <c r="H93" s="129">
        <f>+'Հավելված N 4'!F124</f>
        <v>0</v>
      </c>
      <c r="I93" s="129">
        <f>+'Հավելված N 4'!G124</f>
        <v>0</v>
      </c>
      <c r="J93" s="129">
        <f>+'Հավելված N 4'!H124</f>
        <v>0</v>
      </c>
      <c r="K93" s="13"/>
    </row>
    <row r="94" spans="1:11" s="9" customFormat="1" ht="19.350000000000001" customHeight="1">
      <c r="A94" s="288"/>
      <c r="B94" s="287" t="s">
        <v>70</v>
      </c>
      <c r="C94" s="293"/>
      <c r="D94" s="294"/>
      <c r="E94" s="44"/>
      <c r="F94" s="98" t="s">
        <v>72</v>
      </c>
      <c r="G94" s="5">
        <f>+G96</f>
        <v>121935.90000000001</v>
      </c>
      <c r="H94" s="5">
        <f t="shared" ref="H94:J94" si="42">+H96</f>
        <v>174367.6</v>
      </c>
      <c r="I94" s="5">
        <f t="shared" si="42"/>
        <v>61373.400000000023</v>
      </c>
      <c r="J94" s="5">
        <f t="shared" si="42"/>
        <v>269473.09999999998</v>
      </c>
    </row>
    <row r="95" spans="1:11" s="9" customFormat="1" ht="16.899999999999999" customHeight="1">
      <c r="A95" s="288"/>
      <c r="B95" s="288"/>
      <c r="C95" s="293"/>
      <c r="D95" s="294"/>
      <c r="E95" s="44"/>
      <c r="F95" s="97" t="s">
        <v>6</v>
      </c>
      <c r="G95" s="5"/>
      <c r="H95" s="4"/>
      <c r="I95" s="5"/>
      <c r="J95" s="4"/>
    </row>
    <row r="96" spans="1:11" s="9" customFormat="1" ht="19.7" customHeight="1">
      <c r="A96" s="288"/>
      <c r="B96" s="288"/>
      <c r="C96" s="287" t="s">
        <v>71</v>
      </c>
      <c r="D96" s="295"/>
      <c r="E96" s="44"/>
      <c r="F96" s="98" t="s">
        <v>72</v>
      </c>
      <c r="G96" s="5">
        <f t="shared" ref="G96:J96" si="43">+G98</f>
        <v>121935.90000000001</v>
      </c>
      <c r="H96" s="5">
        <f t="shared" si="43"/>
        <v>174367.6</v>
      </c>
      <c r="I96" s="5">
        <f t="shared" si="43"/>
        <v>61373.400000000023</v>
      </c>
      <c r="J96" s="5">
        <f t="shared" si="43"/>
        <v>269473.09999999998</v>
      </c>
    </row>
    <row r="97" spans="1:11" s="9" customFormat="1" ht="16.899999999999999" customHeight="1">
      <c r="A97" s="288"/>
      <c r="B97" s="288"/>
      <c r="C97" s="288"/>
      <c r="D97" s="295"/>
      <c r="E97" s="44"/>
      <c r="F97" s="97" t="s">
        <v>6</v>
      </c>
      <c r="G97" s="5"/>
      <c r="H97" s="10"/>
      <c r="I97" s="5"/>
      <c r="J97" s="10"/>
    </row>
    <row r="98" spans="1:11" s="9" customFormat="1" ht="34.5">
      <c r="A98" s="288"/>
      <c r="B98" s="288"/>
      <c r="C98" s="288"/>
      <c r="D98" s="295"/>
      <c r="E98" s="44"/>
      <c r="F98" s="100" t="s">
        <v>12</v>
      </c>
      <c r="G98" s="5">
        <f>+G100+G122</f>
        <v>121935.90000000001</v>
      </c>
      <c r="H98" s="5">
        <f t="shared" ref="H98:J98" si="44">+H100+H122</f>
        <v>174367.6</v>
      </c>
      <c r="I98" s="5">
        <f t="shared" si="44"/>
        <v>61373.400000000023</v>
      </c>
      <c r="J98" s="5">
        <f t="shared" si="44"/>
        <v>269473.09999999998</v>
      </c>
    </row>
    <row r="99" spans="1:11" s="9" customFormat="1" ht="16.899999999999999" customHeight="1">
      <c r="A99" s="288"/>
      <c r="B99" s="288"/>
      <c r="C99" s="288"/>
      <c r="D99" s="295"/>
      <c r="E99" s="53"/>
      <c r="F99" s="97" t="s">
        <v>6</v>
      </c>
      <c r="G99" s="5"/>
      <c r="H99" s="5"/>
      <c r="I99" s="5"/>
      <c r="J99" s="5"/>
    </row>
    <row r="100" spans="1:11" s="9" customFormat="1">
      <c r="A100" s="288"/>
      <c r="B100" s="288"/>
      <c r="C100" s="288"/>
      <c r="D100" s="137">
        <v>1163</v>
      </c>
      <c r="E100" s="282" t="s">
        <v>82</v>
      </c>
      <c r="F100" s="282"/>
      <c r="G100" s="1">
        <f>+G102+G111</f>
        <v>5193.6999999999971</v>
      </c>
      <c r="H100" s="1">
        <f t="shared" ref="H100:J100" si="45">+H102+H111</f>
        <v>-60948.100000000006</v>
      </c>
      <c r="I100" s="1">
        <f t="shared" si="45"/>
        <v>-173942.3</v>
      </c>
      <c r="J100" s="1">
        <f t="shared" si="45"/>
        <v>34157.399999999965</v>
      </c>
    </row>
    <row r="101" spans="1:11" s="9" customFormat="1" ht="16.899999999999999" customHeight="1">
      <c r="A101" s="288"/>
      <c r="B101" s="288"/>
      <c r="C101" s="288"/>
      <c r="D101" s="230"/>
      <c r="E101" s="122"/>
      <c r="F101" s="97" t="s">
        <v>6</v>
      </c>
      <c r="G101" s="1"/>
      <c r="H101" s="1"/>
      <c r="I101" s="1"/>
      <c r="J101" s="1"/>
    </row>
    <row r="102" spans="1:11" s="9" customFormat="1" ht="51.75">
      <c r="A102" s="288"/>
      <c r="B102" s="288"/>
      <c r="C102" s="288"/>
      <c r="D102" s="230"/>
      <c r="E102" s="120">
        <v>12001</v>
      </c>
      <c r="F102" s="99" t="s">
        <v>182</v>
      </c>
      <c r="G102" s="11">
        <f>+G104</f>
        <v>-63849.100000000006</v>
      </c>
      <c r="H102" s="11">
        <f t="shared" ref="H102:J102" si="46">+H104</f>
        <v>-224033.4</v>
      </c>
      <c r="I102" s="11">
        <f t="shared" si="46"/>
        <v>-472624.1</v>
      </c>
      <c r="J102" s="11">
        <f t="shared" si="46"/>
        <v>-264524.40000000002</v>
      </c>
    </row>
    <row r="103" spans="1:11" s="9" customFormat="1" ht="15.6" customHeight="1">
      <c r="A103" s="288"/>
      <c r="B103" s="288"/>
      <c r="C103" s="288"/>
      <c r="D103" s="230"/>
      <c r="E103" s="271"/>
      <c r="F103" s="97" t="s">
        <v>16</v>
      </c>
      <c r="G103" s="5"/>
      <c r="H103" s="4"/>
      <c r="I103" s="5"/>
      <c r="J103" s="4"/>
    </row>
    <row r="104" spans="1:11" s="12" customFormat="1" ht="36.6" customHeight="1">
      <c r="A104" s="288"/>
      <c r="B104" s="288"/>
      <c r="C104" s="288"/>
      <c r="D104" s="230"/>
      <c r="E104" s="271"/>
      <c r="F104" s="123" t="s">
        <v>105</v>
      </c>
      <c r="G104" s="54">
        <f t="shared" ref="G104:J104" si="47">+G106</f>
        <v>-63849.100000000006</v>
      </c>
      <c r="H104" s="54">
        <f t="shared" si="47"/>
        <v>-224033.4</v>
      </c>
      <c r="I104" s="54">
        <f t="shared" si="47"/>
        <v>-472624.1</v>
      </c>
      <c r="J104" s="54">
        <f t="shared" si="47"/>
        <v>-264524.40000000002</v>
      </c>
    </row>
    <row r="105" spans="1:11" s="9" customFormat="1" ht="51.75">
      <c r="A105" s="288"/>
      <c r="B105" s="288"/>
      <c r="C105" s="288"/>
      <c r="D105" s="230"/>
      <c r="E105" s="271"/>
      <c r="F105" s="97" t="s">
        <v>13</v>
      </c>
      <c r="G105" s="6"/>
      <c r="H105" s="4"/>
      <c r="I105" s="55"/>
      <c r="J105" s="4"/>
    </row>
    <row r="106" spans="1:11" s="9" customFormat="1" ht="16.899999999999999" customHeight="1">
      <c r="A106" s="288"/>
      <c r="B106" s="288"/>
      <c r="C106" s="288"/>
      <c r="D106" s="230"/>
      <c r="E106" s="271"/>
      <c r="F106" s="96" t="s">
        <v>7</v>
      </c>
      <c r="G106" s="5">
        <f>+G107</f>
        <v>-63849.100000000006</v>
      </c>
      <c r="H106" s="5">
        <f t="shared" ref="H106:J109" si="48">+H107</f>
        <v>-224033.4</v>
      </c>
      <c r="I106" s="5">
        <f t="shared" si="48"/>
        <v>-472624.1</v>
      </c>
      <c r="J106" s="5">
        <f t="shared" si="48"/>
        <v>-264524.40000000002</v>
      </c>
    </row>
    <row r="107" spans="1:11" s="9" customFormat="1" ht="16.899999999999999" customHeight="1">
      <c r="A107" s="288"/>
      <c r="B107" s="288"/>
      <c r="C107" s="288"/>
      <c r="D107" s="230"/>
      <c r="E107" s="271"/>
      <c r="F107" s="97" t="s">
        <v>54</v>
      </c>
      <c r="G107" s="6">
        <f>+G108</f>
        <v>-63849.100000000006</v>
      </c>
      <c r="H107" s="6">
        <f t="shared" si="48"/>
        <v>-224033.4</v>
      </c>
      <c r="I107" s="55">
        <f t="shared" si="48"/>
        <v>-472624.1</v>
      </c>
      <c r="J107" s="6">
        <f t="shared" si="48"/>
        <v>-264524.40000000002</v>
      </c>
    </row>
    <row r="108" spans="1:11" s="9" customFormat="1" ht="15.6" customHeight="1">
      <c r="A108" s="288"/>
      <c r="B108" s="288"/>
      <c r="C108" s="288"/>
      <c r="D108" s="230"/>
      <c r="E108" s="271"/>
      <c r="F108" s="97" t="s">
        <v>55</v>
      </c>
      <c r="G108" s="6">
        <f>+G109</f>
        <v>-63849.100000000006</v>
      </c>
      <c r="H108" s="6">
        <f t="shared" si="48"/>
        <v>-224033.4</v>
      </c>
      <c r="I108" s="6">
        <f t="shared" si="48"/>
        <v>-472624.1</v>
      </c>
      <c r="J108" s="6">
        <f t="shared" si="48"/>
        <v>-264524.40000000002</v>
      </c>
    </row>
    <row r="109" spans="1:11" s="9" customFormat="1" ht="15.6" customHeight="1">
      <c r="A109" s="288"/>
      <c r="B109" s="288"/>
      <c r="C109" s="288"/>
      <c r="D109" s="230"/>
      <c r="E109" s="271"/>
      <c r="F109" s="125" t="s">
        <v>56</v>
      </c>
      <c r="G109" s="45">
        <f>+G110</f>
        <v>-63849.100000000006</v>
      </c>
      <c r="H109" s="45">
        <f t="shared" si="48"/>
        <v>-224033.4</v>
      </c>
      <c r="I109" s="45">
        <f t="shared" si="48"/>
        <v>-472624.1</v>
      </c>
      <c r="J109" s="45">
        <f t="shared" si="48"/>
        <v>-264524.40000000002</v>
      </c>
      <c r="K109" s="13"/>
    </row>
    <row r="110" spans="1:11" s="9" customFormat="1" ht="15.6" customHeight="1">
      <c r="A110" s="288"/>
      <c r="B110" s="288"/>
      <c r="C110" s="288"/>
      <c r="D110" s="230"/>
      <c r="E110" s="271"/>
      <c r="F110" s="125" t="s">
        <v>47</v>
      </c>
      <c r="G110" s="45">
        <f>+'Հավելված N 4'!E15</f>
        <v>-63849.100000000006</v>
      </c>
      <c r="H110" s="45">
        <f>+'Հավելված N 4'!F15</f>
        <v>-224033.4</v>
      </c>
      <c r="I110" s="45">
        <f>+'Հավելված N 4'!G15</f>
        <v>-472624.1</v>
      </c>
      <c r="J110" s="45">
        <f>+'Հավելված N 4'!H15</f>
        <v>-264524.40000000002</v>
      </c>
      <c r="K110" s="13"/>
    </row>
    <row r="111" spans="1:11" s="9" customFormat="1">
      <c r="A111" s="288"/>
      <c r="B111" s="288"/>
      <c r="C111" s="288"/>
      <c r="D111" s="230"/>
      <c r="E111" s="120">
        <v>32001</v>
      </c>
      <c r="F111" s="99" t="s">
        <v>83</v>
      </c>
      <c r="G111" s="11">
        <f>+G113</f>
        <v>69042.8</v>
      </c>
      <c r="H111" s="11">
        <f t="shared" ref="H111:J111" si="49">+H113</f>
        <v>163085.29999999999</v>
      </c>
      <c r="I111" s="11">
        <f t="shared" si="49"/>
        <v>298681.8</v>
      </c>
      <c r="J111" s="11">
        <f t="shared" si="49"/>
        <v>298681.8</v>
      </c>
    </row>
    <row r="112" spans="1:11" s="9" customFormat="1" ht="15.6" customHeight="1">
      <c r="A112" s="288"/>
      <c r="B112" s="288"/>
      <c r="C112" s="288"/>
      <c r="D112" s="230"/>
      <c r="E112" s="272"/>
      <c r="F112" s="97" t="s">
        <v>16</v>
      </c>
      <c r="G112" s="5"/>
      <c r="H112" s="4"/>
      <c r="I112" s="5"/>
      <c r="J112" s="4"/>
    </row>
    <row r="113" spans="1:11" s="12" customFormat="1" ht="36.6" customHeight="1">
      <c r="A113" s="288"/>
      <c r="B113" s="288"/>
      <c r="C113" s="288"/>
      <c r="D113" s="230"/>
      <c r="E113" s="273"/>
      <c r="F113" s="123" t="s">
        <v>105</v>
      </c>
      <c r="G113" s="54">
        <f t="shared" ref="G113:J113" si="50">+G115</f>
        <v>69042.8</v>
      </c>
      <c r="H113" s="54">
        <f t="shared" si="50"/>
        <v>163085.29999999999</v>
      </c>
      <c r="I113" s="54">
        <f t="shared" si="50"/>
        <v>298681.8</v>
      </c>
      <c r="J113" s="54">
        <f t="shared" si="50"/>
        <v>298681.8</v>
      </c>
    </row>
    <row r="114" spans="1:11" s="9" customFormat="1" ht="51.75">
      <c r="A114" s="288"/>
      <c r="B114" s="288"/>
      <c r="C114" s="288"/>
      <c r="D114" s="230"/>
      <c r="E114" s="273"/>
      <c r="F114" s="97" t="s">
        <v>13</v>
      </c>
      <c r="G114" s="6"/>
      <c r="H114" s="4"/>
      <c r="I114" s="55"/>
      <c r="J114" s="4"/>
    </row>
    <row r="115" spans="1:11" s="9" customFormat="1" ht="16.899999999999999" customHeight="1">
      <c r="A115" s="288"/>
      <c r="B115" s="288"/>
      <c r="C115" s="288"/>
      <c r="D115" s="230"/>
      <c r="E115" s="273"/>
      <c r="F115" s="96" t="s">
        <v>7</v>
      </c>
      <c r="G115" s="5">
        <f>+G116</f>
        <v>69042.8</v>
      </c>
      <c r="H115" s="5">
        <f t="shared" ref="H115:J115" si="51">+H116</f>
        <v>163085.29999999999</v>
      </c>
      <c r="I115" s="5">
        <f t="shared" si="51"/>
        <v>298681.8</v>
      </c>
      <c r="J115" s="5">
        <f t="shared" si="51"/>
        <v>298681.8</v>
      </c>
    </row>
    <row r="116" spans="1:11" s="9" customFormat="1" ht="16.899999999999999" customHeight="1">
      <c r="A116" s="288"/>
      <c r="B116" s="288"/>
      <c r="C116" s="288"/>
      <c r="D116" s="230"/>
      <c r="E116" s="273"/>
      <c r="F116" s="97" t="s">
        <v>54</v>
      </c>
      <c r="G116" s="6">
        <f>+G117</f>
        <v>69042.8</v>
      </c>
      <c r="H116" s="6">
        <f t="shared" ref="H116:J116" si="52">+H117</f>
        <v>163085.29999999999</v>
      </c>
      <c r="I116" s="55">
        <f t="shared" si="52"/>
        <v>298681.8</v>
      </c>
      <c r="J116" s="6">
        <f t="shared" si="52"/>
        <v>298681.8</v>
      </c>
    </row>
    <row r="117" spans="1:11" s="9" customFormat="1" ht="15.6" customHeight="1">
      <c r="A117" s="288"/>
      <c r="B117" s="288"/>
      <c r="C117" s="288"/>
      <c r="D117" s="230"/>
      <c r="E117" s="273"/>
      <c r="F117" s="97" t="s">
        <v>55</v>
      </c>
      <c r="G117" s="6">
        <f>+G118+G120</f>
        <v>69042.8</v>
      </c>
      <c r="H117" s="6">
        <f t="shared" ref="H117:J117" si="53">+H118+H120</f>
        <v>163085.29999999999</v>
      </c>
      <c r="I117" s="6">
        <f t="shared" si="53"/>
        <v>298681.8</v>
      </c>
      <c r="J117" s="6">
        <f t="shared" si="53"/>
        <v>298681.8</v>
      </c>
    </row>
    <row r="118" spans="1:11" s="9" customFormat="1" ht="15.6" customHeight="1">
      <c r="A118" s="288"/>
      <c r="B118" s="288"/>
      <c r="C118" s="288"/>
      <c r="D118" s="230"/>
      <c r="E118" s="273"/>
      <c r="F118" s="125" t="s">
        <v>56</v>
      </c>
      <c r="G118" s="45">
        <f>+G119</f>
        <v>69042.8</v>
      </c>
      <c r="H118" s="45">
        <f t="shared" ref="H118:J118" si="54">+H119</f>
        <v>136841.29999999999</v>
      </c>
      <c r="I118" s="45">
        <f t="shared" si="54"/>
        <v>272437.8</v>
      </c>
      <c r="J118" s="45">
        <f t="shared" si="54"/>
        <v>272437.8</v>
      </c>
      <c r="K118" s="13"/>
    </row>
    <row r="119" spans="1:11" s="9" customFormat="1" ht="15.6" customHeight="1">
      <c r="A119" s="288"/>
      <c r="B119" s="288"/>
      <c r="C119" s="288"/>
      <c r="D119" s="230"/>
      <c r="E119" s="273"/>
      <c r="F119" s="125" t="s">
        <v>47</v>
      </c>
      <c r="G119" s="45">
        <f>+'Հավելված N 4'!E24+'Հավելված N 4'!E27</f>
        <v>69042.8</v>
      </c>
      <c r="H119" s="45">
        <f>+'Հավելված N 4'!F24+'Հավելված N 4'!F27</f>
        <v>136841.29999999999</v>
      </c>
      <c r="I119" s="45">
        <f>+'Հավելված N 4'!G24+'Հավելված N 4'!G27</f>
        <v>272437.8</v>
      </c>
      <c r="J119" s="45">
        <f>+'Հավելված N 4'!H24+'Հավելված N 4'!H27</f>
        <v>272437.8</v>
      </c>
      <c r="K119" s="13"/>
    </row>
    <row r="120" spans="1:11" s="9" customFormat="1">
      <c r="A120" s="288"/>
      <c r="B120" s="288"/>
      <c r="C120" s="288"/>
      <c r="D120" s="230"/>
      <c r="E120" s="273"/>
      <c r="F120" s="125" t="s">
        <v>75</v>
      </c>
      <c r="G120" s="129">
        <f>+G121</f>
        <v>0</v>
      </c>
      <c r="H120" s="129">
        <f t="shared" ref="H120:J120" si="55">+H121</f>
        <v>26244</v>
      </c>
      <c r="I120" s="129">
        <f t="shared" si="55"/>
        <v>26244</v>
      </c>
      <c r="J120" s="129">
        <f t="shared" si="55"/>
        <v>26244</v>
      </c>
      <c r="K120" s="13"/>
    </row>
    <row r="121" spans="1:11" s="9" customFormat="1">
      <c r="A121" s="288"/>
      <c r="B121" s="288"/>
      <c r="C121" s="288"/>
      <c r="D121" s="231"/>
      <c r="E121" s="274"/>
      <c r="F121" s="125" t="s">
        <v>60</v>
      </c>
      <c r="G121" s="129">
        <f>+'Հավելված N 4'!E25</f>
        <v>0</v>
      </c>
      <c r="H121" s="129">
        <f>+'Հավելված N 4'!F25</f>
        <v>26244</v>
      </c>
      <c r="I121" s="129">
        <f>+'Հավելված N 4'!G25</f>
        <v>26244</v>
      </c>
      <c r="J121" s="129">
        <f>+'Հավելված N 4'!H25</f>
        <v>26244</v>
      </c>
      <c r="K121" s="13"/>
    </row>
    <row r="122" spans="1:11" s="9" customFormat="1">
      <c r="A122" s="288"/>
      <c r="B122" s="288"/>
      <c r="C122" s="288"/>
      <c r="D122" s="194">
        <v>1183</v>
      </c>
      <c r="E122" s="290" t="s">
        <v>139</v>
      </c>
      <c r="F122" s="282"/>
      <c r="G122" s="1">
        <f>+G124+G135</f>
        <v>116742.20000000001</v>
      </c>
      <c r="H122" s="1">
        <f t="shared" ref="H122:J122" si="56">+H124+H135</f>
        <v>235315.7</v>
      </c>
      <c r="I122" s="1">
        <f t="shared" si="56"/>
        <v>235315.7</v>
      </c>
      <c r="J122" s="1">
        <f t="shared" si="56"/>
        <v>235315.7</v>
      </c>
    </row>
    <row r="123" spans="1:11" s="9" customFormat="1" ht="16.899999999999999" customHeight="1">
      <c r="A123" s="288"/>
      <c r="B123" s="288"/>
      <c r="C123" s="288"/>
      <c r="D123" s="130"/>
      <c r="E123" s="228"/>
      <c r="F123" s="97" t="s">
        <v>6</v>
      </c>
      <c r="G123" s="1"/>
      <c r="H123" s="1"/>
      <c r="I123" s="1"/>
      <c r="J123" s="1"/>
    </row>
    <row r="124" spans="1:11" s="9" customFormat="1" ht="51.75">
      <c r="A124" s="288"/>
      <c r="B124" s="288"/>
      <c r="C124" s="288"/>
      <c r="D124" s="130"/>
      <c r="E124" s="224">
        <v>32007</v>
      </c>
      <c r="F124" s="150" t="s">
        <v>116</v>
      </c>
      <c r="G124" s="11">
        <f>+G126</f>
        <v>2679.5</v>
      </c>
      <c r="H124" s="11">
        <f t="shared" ref="H124:J124" si="57">+H126</f>
        <v>3159.5</v>
      </c>
      <c r="I124" s="11">
        <f t="shared" si="57"/>
        <v>3159.5</v>
      </c>
      <c r="J124" s="11">
        <f t="shared" si="57"/>
        <v>3159.5</v>
      </c>
    </row>
    <row r="125" spans="1:11" s="9" customFormat="1" ht="15.6" customHeight="1">
      <c r="A125" s="288"/>
      <c r="B125" s="288"/>
      <c r="C125" s="288"/>
      <c r="D125" s="130"/>
      <c r="E125" s="275"/>
      <c r="F125" s="97" t="s">
        <v>16</v>
      </c>
      <c r="G125" s="5"/>
      <c r="H125" s="4"/>
      <c r="I125" s="5"/>
      <c r="J125" s="4"/>
    </row>
    <row r="126" spans="1:11" s="12" customFormat="1" ht="36.6" customHeight="1">
      <c r="A126" s="288"/>
      <c r="B126" s="288"/>
      <c r="C126" s="288"/>
      <c r="D126" s="130"/>
      <c r="E126" s="276"/>
      <c r="F126" s="123" t="s">
        <v>105</v>
      </c>
      <c r="G126" s="54">
        <f t="shared" ref="G126:J126" si="58">+G128</f>
        <v>2679.5</v>
      </c>
      <c r="H126" s="54">
        <f t="shared" si="58"/>
        <v>3159.5</v>
      </c>
      <c r="I126" s="54">
        <f t="shared" si="58"/>
        <v>3159.5</v>
      </c>
      <c r="J126" s="54">
        <f t="shared" si="58"/>
        <v>3159.5</v>
      </c>
    </row>
    <row r="127" spans="1:11" s="9" customFormat="1" ht="51.75">
      <c r="A127" s="288"/>
      <c r="B127" s="288"/>
      <c r="C127" s="288"/>
      <c r="D127" s="130"/>
      <c r="E127" s="276"/>
      <c r="F127" s="97" t="s">
        <v>13</v>
      </c>
      <c r="G127" s="6"/>
      <c r="H127" s="4"/>
      <c r="I127" s="55"/>
      <c r="J127" s="4"/>
    </row>
    <row r="128" spans="1:11" s="9" customFormat="1" ht="16.899999999999999" customHeight="1">
      <c r="A128" s="288"/>
      <c r="B128" s="288"/>
      <c r="C128" s="288"/>
      <c r="D128" s="130"/>
      <c r="E128" s="276"/>
      <c r="F128" s="96" t="s">
        <v>7</v>
      </c>
      <c r="G128" s="5">
        <f>+G129</f>
        <v>2679.5</v>
      </c>
      <c r="H128" s="5">
        <f t="shared" ref="H128:J131" si="59">+H129</f>
        <v>3159.5</v>
      </c>
      <c r="I128" s="5">
        <f t="shared" si="59"/>
        <v>3159.5</v>
      </c>
      <c r="J128" s="5">
        <f t="shared" si="59"/>
        <v>3159.5</v>
      </c>
    </row>
    <row r="129" spans="1:11" s="9" customFormat="1" ht="16.899999999999999" customHeight="1">
      <c r="A129" s="288"/>
      <c r="B129" s="288"/>
      <c r="C129" s="288"/>
      <c r="D129" s="130"/>
      <c r="E129" s="276"/>
      <c r="F129" s="97" t="s">
        <v>54</v>
      </c>
      <c r="G129" s="6">
        <f>+G130</f>
        <v>2679.5</v>
      </c>
      <c r="H129" s="6">
        <f t="shared" si="59"/>
        <v>3159.5</v>
      </c>
      <c r="I129" s="55">
        <f t="shared" si="59"/>
        <v>3159.5</v>
      </c>
      <c r="J129" s="6">
        <f t="shared" si="59"/>
        <v>3159.5</v>
      </c>
    </row>
    <row r="130" spans="1:11" s="9" customFormat="1" ht="15.6" customHeight="1">
      <c r="A130" s="288"/>
      <c r="B130" s="288"/>
      <c r="C130" s="288"/>
      <c r="D130" s="130"/>
      <c r="E130" s="276"/>
      <c r="F130" s="97" t="s">
        <v>55</v>
      </c>
      <c r="G130" s="6">
        <f>+G131+G133</f>
        <v>2679.5</v>
      </c>
      <c r="H130" s="6">
        <f t="shared" ref="H130:J130" si="60">+H131+H133</f>
        <v>3159.5</v>
      </c>
      <c r="I130" s="6">
        <f t="shared" si="60"/>
        <v>3159.5</v>
      </c>
      <c r="J130" s="6">
        <f t="shared" si="60"/>
        <v>3159.5</v>
      </c>
    </row>
    <row r="131" spans="1:11" s="9" customFormat="1" ht="15.6" customHeight="1">
      <c r="A131" s="288"/>
      <c r="B131" s="288"/>
      <c r="C131" s="288"/>
      <c r="D131" s="130"/>
      <c r="E131" s="276"/>
      <c r="F131" s="125" t="s">
        <v>56</v>
      </c>
      <c r="G131" s="45">
        <f>+G132</f>
        <v>2679.5</v>
      </c>
      <c r="H131" s="45">
        <f t="shared" si="59"/>
        <v>2679.5</v>
      </c>
      <c r="I131" s="45">
        <f t="shared" si="59"/>
        <v>2679.5</v>
      </c>
      <c r="J131" s="45">
        <f t="shared" si="59"/>
        <v>2679.5</v>
      </c>
      <c r="K131" s="13"/>
    </row>
    <row r="132" spans="1:11" s="9" customFormat="1" ht="15.6" customHeight="1">
      <c r="A132" s="288"/>
      <c r="B132" s="288"/>
      <c r="C132" s="288"/>
      <c r="D132" s="130"/>
      <c r="E132" s="276"/>
      <c r="F132" s="125" t="s">
        <v>47</v>
      </c>
      <c r="G132" s="45">
        <f>+'Հավելված N 4'!E33+'Հավելված N 4'!E34+'Հավելված N 4'!E38</f>
        <v>2679.5</v>
      </c>
      <c r="H132" s="45">
        <f>+'Հավելված N 4'!F33+'Հավելված N 4'!F34+'Հավելված N 4'!F38</f>
        <v>2679.5</v>
      </c>
      <c r="I132" s="45">
        <f>+'Հավելված N 4'!G33+'Հավելված N 4'!G34+'Հավելված N 4'!G38</f>
        <v>2679.5</v>
      </c>
      <c r="J132" s="45">
        <f>+'Հավելված N 4'!H33+'Հավելված N 4'!H34+'Հավելված N 4'!H38</f>
        <v>2679.5</v>
      </c>
      <c r="K132" s="13"/>
    </row>
    <row r="133" spans="1:11" s="9" customFormat="1">
      <c r="A133" s="288"/>
      <c r="B133" s="288"/>
      <c r="C133" s="288"/>
      <c r="D133" s="130"/>
      <c r="E133" s="276"/>
      <c r="F133" s="125" t="s">
        <v>75</v>
      </c>
      <c r="G133" s="129">
        <f>+G134</f>
        <v>0</v>
      </c>
      <c r="H133" s="129">
        <f t="shared" ref="H133:J133" si="61">+H134</f>
        <v>480</v>
      </c>
      <c r="I133" s="129">
        <f t="shared" si="61"/>
        <v>480</v>
      </c>
      <c r="J133" s="129">
        <f t="shared" si="61"/>
        <v>480</v>
      </c>
      <c r="K133" s="13"/>
    </row>
    <row r="134" spans="1:11" s="9" customFormat="1">
      <c r="A134" s="288"/>
      <c r="B134" s="288"/>
      <c r="C134" s="288"/>
      <c r="D134" s="130"/>
      <c r="E134" s="277"/>
      <c r="F134" s="125" t="s">
        <v>60</v>
      </c>
      <c r="G134" s="129">
        <f>+'Հավելված N 4'!E36</f>
        <v>0</v>
      </c>
      <c r="H134" s="129">
        <f>+'Հավելված N 4'!F36</f>
        <v>480</v>
      </c>
      <c r="I134" s="129">
        <f>+'Հավելված N 4'!G36</f>
        <v>480</v>
      </c>
      <c r="J134" s="129">
        <f>+'Հավելված N 4'!H36</f>
        <v>480</v>
      </c>
      <c r="K134" s="13"/>
    </row>
    <row r="135" spans="1:11" s="9" customFormat="1" ht="51.75">
      <c r="A135" s="288"/>
      <c r="B135" s="288"/>
      <c r="C135" s="288"/>
      <c r="D135" s="130"/>
      <c r="E135" s="224">
        <v>32009</v>
      </c>
      <c r="F135" s="150" t="s">
        <v>117</v>
      </c>
      <c r="G135" s="11">
        <f>+G137</f>
        <v>114062.70000000001</v>
      </c>
      <c r="H135" s="11">
        <f t="shared" ref="H135:J135" si="62">+H137</f>
        <v>232156.2</v>
      </c>
      <c r="I135" s="11">
        <f t="shared" si="62"/>
        <v>232156.2</v>
      </c>
      <c r="J135" s="11">
        <f t="shared" si="62"/>
        <v>232156.2</v>
      </c>
    </row>
    <row r="136" spans="1:11" s="9" customFormat="1" ht="15.6" customHeight="1">
      <c r="A136" s="288"/>
      <c r="B136" s="288"/>
      <c r="C136" s="288"/>
      <c r="D136" s="130"/>
      <c r="E136" s="275"/>
      <c r="F136" s="216" t="s">
        <v>16</v>
      </c>
      <c r="G136" s="5"/>
      <c r="H136" s="4"/>
      <c r="I136" s="5"/>
      <c r="J136" s="4"/>
    </row>
    <row r="137" spans="1:11" s="12" customFormat="1" ht="36.6" customHeight="1">
      <c r="A137" s="288"/>
      <c r="B137" s="288"/>
      <c r="C137" s="288"/>
      <c r="D137" s="130"/>
      <c r="E137" s="276"/>
      <c r="F137" s="227" t="s">
        <v>105</v>
      </c>
      <c r="G137" s="54">
        <f t="shared" ref="G137:J137" si="63">+G139</f>
        <v>114062.70000000001</v>
      </c>
      <c r="H137" s="54">
        <f t="shared" si="63"/>
        <v>232156.2</v>
      </c>
      <c r="I137" s="54">
        <f t="shared" si="63"/>
        <v>232156.2</v>
      </c>
      <c r="J137" s="54">
        <f t="shared" si="63"/>
        <v>232156.2</v>
      </c>
    </row>
    <row r="138" spans="1:11" s="9" customFormat="1" ht="51.75">
      <c r="A138" s="288"/>
      <c r="B138" s="288"/>
      <c r="C138" s="288"/>
      <c r="D138" s="130"/>
      <c r="E138" s="276"/>
      <c r="F138" s="216" t="s">
        <v>13</v>
      </c>
      <c r="G138" s="6"/>
      <c r="H138" s="4"/>
      <c r="I138" s="55"/>
      <c r="J138" s="4"/>
    </row>
    <row r="139" spans="1:11" s="9" customFormat="1" ht="16.899999999999999" customHeight="1">
      <c r="A139" s="288"/>
      <c r="B139" s="288"/>
      <c r="C139" s="288"/>
      <c r="D139" s="130"/>
      <c r="E139" s="276"/>
      <c r="F139" s="198" t="s">
        <v>7</v>
      </c>
      <c r="G139" s="5">
        <f>+G140</f>
        <v>114062.70000000001</v>
      </c>
      <c r="H139" s="5">
        <f t="shared" ref="H139:J142" si="64">+H140</f>
        <v>232156.2</v>
      </c>
      <c r="I139" s="5">
        <f t="shared" si="64"/>
        <v>232156.2</v>
      </c>
      <c r="J139" s="5">
        <f t="shared" si="64"/>
        <v>232156.2</v>
      </c>
    </row>
    <row r="140" spans="1:11" s="9" customFormat="1" ht="16.899999999999999" customHeight="1">
      <c r="A140" s="288"/>
      <c r="B140" s="288"/>
      <c r="C140" s="288"/>
      <c r="D140" s="130"/>
      <c r="E140" s="276"/>
      <c r="F140" s="216" t="s">
        <v>54</v>
      </c>
      <c r="G140" s="6">
        <f>+G141</f>
        <v>114062.70000000001</v>
      </c>
      <c r="H140" s="6">
        <f t="shared" si="64"/>
        <v>232156.2</v>
      </c>
      <c r="I140" s="55">
        <f t="shared" si="64"/>
        <v>232156.2</v>
      </c>
      <c r="J140" s="6">
        <f t="shared" si="64"/>
        <v>232156.2</v>
      </c>
    </row>
    <row r="141" spans="1:11" s="9" customFormat="1" ht="15.6" customHeight="1">
      <c r="A141" s="288"/>
      <c r="B141" s="288"/>
      <c r="C141" s="288"/>
      <c r="D141" s="130"/>
      <c r="E141" s="276"/>
      <c r="F141" s="216" t="s">
        <v>55</v>
      </c>
      <c r="G141" s="6">
        <f>+G142+G144</f>
        <v>114062.70000000001</v>
      </c>
      <c r="H141" s="6">
        <f t="shared" ref="H141:J141" si="65">+H142+H144</f>
        <v>232156.2</v>
      </c>
      <c r="I141" s="6">
        <f t="shared" si="65"/>
        <v>232156.2</v>
      </c>
      <c r="J141" s="6">
        <f t="shared" si="65"/>
        <v>232156.2</v>
      </c>
    </row>
    <row r="142" spans="1:11" s="9" customFormat="1" ht="15.6" customHeight="1">
      <c r="A142" s="288"/>
      <c r="B142" s="288"/>
      <c r="C142" s="288"/>
      <c r="D142" s="130"/>
      <c r="E142" s="276"/>
      <c r="F142" s="125" t="s">
        <v>56</v>
      </c>
      <c r="G142" s="45">
        <f>+G143</f>
        <v>114062.70000000001</v>
      </c>
      <c r="H142" s="45">
        <f t="shared" si="64"/>
        <v>223166.2</v>
      </c>
      <c r="I142" s="45">
        <f t="shared" si="64"/>
        <v>223166.2</v>
      </c>
      <c r="J142" s="45">
        <f t="shared" si="64"/>
        <v>223166.2</v>
      </c>
      <c r="K142" s="13"/>
    </row>
    <row r="143" spans="1:11" s="9" customFormat="1" ht="15.6" customHeight="1">
      <c r="A143" s="288"/>
      <c r="B143" s="288"/>
      <c r="C143" s="288"/>
      <c r="D143" s="130"/>
      <c r="E143" s="276"/>
      <c r="F143" s="125" t="s">
        <v>93</v>
      </c>
      <c r="G143" s="45">
        <f>+'Հավելված N 4'!E44+'Հավելված N 4'!E45+'Հավելված N 4'!E46+'Հավելված N 4'!E48+'Հավելված N 4'!E49+'Հավելված N 4'!E51</f>
        <v>114062.70000000001</v>
      </c>
      <c r="H143" s="45">
        <f>+'Հավելված N 4'!F44+'Հավելված N 4'!F45+'Հավելված N 4'!F46+'Հավելված N 4'!F48+'Հավելված N 4'!F49+'Հավելված N 4'!F51</f>
        <v>223166.2</v>
      </c>
      <c r="I143" s="45">
        <f>+'Հավելված N 4'!G44+'Հավելված N 4'!G45+'Հավելված N 4'!G46+'Հավելված N 4'!G48+'Հավելված N 4'!G49+'Հավելված N 4'!G51</f>
        <v>223166.2</v>
      </c>
      <c r="J143" s="45">
        <f>+'Հավելված N 4'!H44+'Հավելված N 4'!H45+'Հավելված N 4'!H46+'Հավելված N 4'!H48+'Հավելված N 4'!H49+'Հավելված N 4'!H51</f>
        <v>223166.2</v>
      </c>
      <c r="K143" s="13"/>
    </row>
    <row r="144" spans="1:11" s="9" customFormat="1">
      <c r="A144" s="288"/>
      <c r="B144" s="288"/>
      <c r="C144" s="288"/>
      <c r="D144" s="130"/>
      <c r="E144" s="276"/>
      <c r="F144" s="125" t="s">
        <v>75</v>
      </c>
      <c r="G144" s="129">
        <f>+G145</f>
        <v>0</v>
      </c>
      <c r="H144" s="129">
        <f t="shared" ref="H144:J144" si="66">+H145</f>
        <v>8990</v>
      </c>
      <c r="I144" s="129">
        <f t="shared" si="66"/>
        <v>8990</v>
      </c>
      <c r="J144" s="129">
        <f t="shared" si="66"/>
        <v>8990</v>
      </c>
      <c r="K144" s="13"/>
    </row>
    <row r="145" spans="1:11" s="9" customFormat="1">
      <c r="A145" s="289"/>
      <c r="B145" s="289"/>
      <c r="C145" s="289"/>
      <c r="D145" s="229"/>
      <c r="E145" s="277"/>
      <c r="F145" s="125" t="s">
        <v>60</v>
      </c>
      <c r="G145" s="129">
        <f>+'Հավելված N 4'!E53+'Հավելված N 4'!E55</f>
        <v>0</v>
      </c>
      <c r="H145" s="129">
        <f>+'Հավելված N 4'!F53+'Հավելված N 4'!F55</f>
        <v>8990</v>
      </c>
      <c r="I145" s="129">
        <f>+'Հավելված N 4'!G53+'Հավելված N 4'!G55</f>
        <v>8990</v>
      </c>
      <c r="J145" s="129">
        <f>+'Հավելված N 4'!H53+'Հավելված N 4'!H55</f>
        <v>8990</v>
      </c>
      <c r="K145" s="13"/>
    </row>
  </sheetData>
  <mergeCells count="37">
    <mergeCell ref="C16:C19"/>
    <mergeCell ref="B16:B17"/>
    <mergeCell ref="C94:C95"/>
    <mergeCell ref="D94:D99"/>
    <mergeCell ref="C20:C34"/>
    <mergeCell ref="C96:C145"/>
    <mergeCell ref="D35:D40"/>
    <mergeCell ref="C35:C37"/>
    <mergeCell ref="B35:B93"/>
    <mergeCell ref="C38:C64"/>
    <mergeCell ref="E24:F24"/>
    <mergeCell ref="E27:E34"/>
    <mergeCell ref="F1:J1"/>
    <mergeCell ref="F3:J3"/>
    <mergeCell ref="A7:J7"/>
    <mergeCell ref="A11:C11"/>
    <mergeCell ref="D11:E11"/>
    <mergeCell ref="F2:J2"/>
    <mergeCell ref="G11:J11"/>
    <mergeCell ref="F11:F12"/>
    <mergeCell ref="A16:A145"/>
    <mergeCell ref="B94:B145"/>
    <mergeCell ref="E75:E84"/>
    <mergeCell ref="E122:F122"/>
    <mergeCell ref="E100:F100"/>
    <mergeCell ref="B18:B34"/>
    <mergeCell ref="E103:E110"/>
    <mergeCell ref="E112:E121"/>
    <mergeCell ref="E125:E134"/>
    <mergeCell ref="E136:E145"/>
    <mergeCell ref="E35:E40"/>
    <mergeCell ref="E66:E73"/>
    <mergeCell ref="E41:F41"/>
    <mergeCell ref="E44:E51"/>
    <mergeCell ref="E52:F52"/>
    <mergeCell ref="E55:E64"/>
    <mergeCell ref="E86:E93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"/>
  <sheetViews>
    <sheetView tabSelected="1" topLeftCell="A76" zoomScale="85" zoomScaleNormal="85" workbookViewId="0">
      <selection activeCell="E22" sqref="E22"/>
    </sheetView>
  </sheetViews>
  <sheetFormatPr defaultColWidth="9.140625" defaultRowHeight="17.25"/>
  <cols>
    <col min="1" max="1" width="9.140625" style="22"/>
    <col min="2" max="2" width="9.140625" style="22" customWidth="1"/>
    <col min="3" max="3" width="54.140625" style="22" customWidth="1"/>
    <col min="4" max="4" width="21.28515625" style="22" customWidth="1"/>
    <col min="5" max="8" width="20.42578125" style="22" customWidth="1"/>
    <col min="9" max="9" width="21.28515625" style="22" bestFit="1" customWidth="1"/>
    <col min="10" max="10" width="13.7109375" style="22" bestFit="1" customWidth="1"/>
    <col min="11" max="16384" width="9.140625" style="22"/>
  </cols>
  <sheetData>
    <row r="1" spans="1:10" s="187" customFormat="1" ht="26.65" customHeight="1">
      <c r="A1" s="186"/>
      <c r="B1" s="23"/>
      <c r="C1" s="23"/>
      <c r="D1" s="23"/>
      <c r="E1" s="186"/>
      <c r="F1" s="318" t="s">
        <v>21</v>
      </c>
      <c r="G1" s="318"/>
      <c r="H1" s="318"/>
    </row>
    <row r="2" spans="1:10">
      <c r="A2" s="24"/>
      <c r="B2" s="24"/>
      <c r="C2" s="24"/>
      <c r="D2" s="24"/>
      <c r="E2" s="188"/>
      <c r="F2" s="319" t="s">
        <v>148</v>
      </c>
      <c r="G2" s="319"/>
      <c r="H2" s="319"/>
    </row>
    <row r="3" spans="1:10">
      <c r="A3" s="24"/>
      <c r="B3" s="24"/>
      <c r="C3" s="24"/>
      <c r="D3" s="24"/>
      <c r="E3" s="188"/>
      <c r="F3" s="319" t="s">
        <v>20</v>
      </c>
      <c r="G3" s="319"/>
      <c r="H3" s="319"/>
    </row>
    <row r="4" spans="1:10">
      <c r="A4" s="156"/>
      <c r="B4" s="156"/>
      <c r="C4" s="25"/>
      <c r="D4" s="188"/>
      <c r="E4" s="188"/>
      <c r="F4" s="188"/>
      <c r="G4" s="188"/>
      <c r="H4" s="188"/>
    </row>
    <row r="5" spans="1:10" ht="37.5" customHeight="1">
      <c r="A5" s="320" t="s">
        <v>147</v>
      </c>
      <c r="B5" s="321"/>
      <c r="C5" s="321"/>
      <c r="D5" s="321"/>
      <c r="E5" s="321"/>
      <c r="F5" s="321"/>
      <c r="G5" s="321"/>
      <c r="H5" s="321"/>
    </row>
    <row r="6" spans="1:10" ht="37.5" customHeight="1">
      <c r="A6" s="321"/>
      <c r="B6" s="321"/>
      <c r="C6" s="321"/>
      <c r="D6" s="321"/>
      <c r="E6" s="321"/>
      <c r="F6" s="321"/>
      <c r="G6" s="321"/>
      <c r="H6" s="321"/>
    </row>
    <row r="7" spans="1:10">
      <c r="E7" s="188"/>
      <c r="F7" s="188"/>
      <c r="G7" s="188"/>
    </row>
    <row r="8" spans="1:10">
      <c r="A8" s="189"/>
      <c r="B8" s="189"/>
      <c r="C8" s="189"/>
      <c r="D8" s="165"/>
      <c r="E8" s="188"/>
      <c r="F8" s="188"/>
      <c r="G8" s="322" t="s">
        <v>9</v>
      </c>
      <c r="H8" s="322"/>
    </row>
    <row r="9" spans="1:10" ht="45" customHeight="1">
      <c r="A9" s="323" t="s">
        <v>33</v>
      </c>
      <c r="B9" s="324"/>
      <c r="C9" s="305" t="s">
        <v>34</v>
      </c>
      <c r="D9" s="307" t="s">
        <v>35</v>
      </c>
      <c r="E9" s="314" t="s">
        <v>53</v>
      </c>
      <c r="F9" s="315"/>
      <c r="G9" s="315"/>
      <c r="H9" s="316"/>
    </row>
    <row r="10" spans="1:10" ht="103.5">
      <c r="A10" s="26" t="s">
        <v>14</v>
      </c>
      <c r="B10" s="26" t="s">
        <v>15</v>
      </c>
      <c r="C10" s="306"/>
      <c r="D10" s="308"/>
      <c r="E10" s="27" t="s">
        <v>36</v>
      </c>
      <c r="F10" s="27" t="s">
        <v>37</v>
      </c>
      <c r="G10" s="27" t="s">
        <v>38</v>
      </c>
      <c r="H10" s="27" t="s">
        <v>39</v>
      </c>
    </row>
    <row r="11" spans="1:10">
      <c r="A11" s="26"/>
      <c r="B11" s="26"/>
      <c r="C11" s="28" t="s">
        <v>40</v>
      </c>
      <c r="D11" s="1">
        <f>SUM(E11:H11)</f>
        <v>0</v>
      </c>
      <c r="E11" s="30">
        <f>+E13</f>
        <v>-337770.2</v>
      </c>
      <c r="F11" s="30">
        <f>+F13</f>
        <v>223166.2</v>
      </c>
      <c r="G11" s="30">
        <f>+G13</f>
        <v>114604</v>
      </c>
      <c r="H11" s="30">
        <f>+H13</f>
        <v>0</v>
      </c>
      <c r="I11" s="64"/>
      <c r="J11" s="64"/>
    </row>
    <row r="12" spans="1:10">
      <c r="A12" s="26"/>
      <c r="B12" s="26"/>
      <c r="C12" s="28" t="s">
        <v>41</v>
      </c>
      <c r="D12" s="1"/>
      <c r="E12" s="30"/>
      <c r="F12" s="30"/>
      <c r="G12" s="30"/>
      <c r="H12" s="30"/>
      <c r="I12" s="64"/>
      <c r="J12" s="190"/>
    </row>
    <row r="13" spans="1:10" ht="51.75">
      <c r="A13" s="31"/>
      <c r="B13" s="32"/>
      <c r="C13" s="32" t="s">
        <v>17</v>
      </c>
      <c r="D13" s="1">
        <f>SUM(E13:H13)</f>
        <v>0</v>
      </c>
      <c r="E13" s="121">
        <f t="shared" ref="E13:H13" si="0">+ROUND(E15+E19+E26+E35+E50+E60+E80+E84,1)</f>
        <v>-337770.2</v>
      </c>
      <c r="F13" s="121">
        <f t="shared" si="0"/>
        <v>223166.2</v>
      </c>
      <c r="G13" s="121">
        <f t="shared" si="0"/>
        <v>114604</v>
      </c>
      <c r="H13" s="121">
        <f t="shared" si="0"/>
        <v>0</v>
      </c>
      <c r="I13" s="64"/>
    </row>
    <row r="14" spans="1:10">
      <c r="A14" s="31"/>
      <c r="B14" s="31"/>
      <c r="C14" s="31" t="s">
        <v>42</v>
      </c>
      <c r="D14" s="33"/>
      <c r="E14" s="33"/>
      <c r="F14" s="33"/>
      <c r="G14" s="33"/>
      <c r="H14" s="33"/>
    </row>
    <row r="15" spans="1:10" ht="51.75">
      <c r="A15" s="28">
        <v>1163</v>
      </c>
      <c r="B15" s="21">
        <v>12001</v>
      </c>
      <c r="C15" s="42" t="s">
        <v>182</v>
      </c>
      <c r="D15" s="30">
        <f>SUM(E15:H15)</f>
        <v>-264524.40000000002</v>
      </c>
      <c r="E15" s="29">
        <f>+E17</f>
        <v>-264524.40000000002</v>
      </c>
      <c r="F15" s="29">
        <f t="shared" ref="F15:H15" si="1">+F17</f>
        <v>0</v>
      </c>
      <c r="G15" s="29">
        <f t="shared" si="1"/>
        <v>0</v>
      </c>
      <c r="H15" s="29">
        <f t="shared" si="1"/>
        <v>0</v>
      </c>
      <c r="I15" s="190"/>
    </row>
    <row r="16" spans="1:10" s="73" customFormat="1">
      <c r="A16" s="68"/>
      <c r="B16" s="68"/>
      <c r="C16" s="69" t="s">
        <v>6</v>
      </c>
      <c r="D16" s="70"/>
      <c r="E16" s="71"/>
      <c r="F16" s="72"/>
      <c r="G16" s="72"/>
      <c r="H16" s="72"/>
    </row>
    <row r="17" spans="1:9" s="76" customFormat="1">
      <c r="A17" s="72"/>
      <c r="B17" s="72"/>
      <c r="C17" s="49" t="s">
        <v>86</v>
      </c>
      <c r="D17" s="74">
        <f>SUM(E17:H17)</f>
        <v>-264524.40000000002</v>
      </c>
      <c r="E17" s="75">
        <f>+E18</f>
        <v>-264524.40000000002</v>
      </c>
      <c r="F17" s="75">
        <f t="shared" ref="F17:H17" si="2">+F18</f>
        <v>0</v>
      </c>
      <c r="G17" s="75">
        <f t="shared" si="2"/>
        <v>0</v>
      </c>
      <c r="H17" s="75">
        <f t="shared" si="2"/>
        <v>0</v>
      </c>
    </row>
    <row r="18" spans="1:9" s="81" customFormat="1" ht="34.5">
      <c r="A18" s="220"/>
      <c r="B18" s="220"/>
      <c r="C18" s="77" t="s">
        <v>183</v>
      </c>
      <c r="D18" s="78">
        <f t="shared" ref="D18" si="3">+E18+F18+G18+H18</f>
        <v>-264524.40000000002</v>
      </c>
      <c r="E18" s="79">
        <f>+'Հավելված N 7'!I72+'Հավելված N 7'!I74+'Հավելված N 7'!I75</f>
        <v>-264524.40000000002</v>
      </c>
      <c r="F18" s="79"/>
      <c r="G18" s="79"/>
      <c r="H18" s="80"/>
    </row>
    <row r="19" spans="1:9">
      <c r="A19" s="28">
        <v>1163</v>
      </c>
      <c r="B19" s="21">
        <v>32001</v>
      </c>
      <c r="C19" s="42" t="s">
        <v>87</v>
      </c>
      <c r="D19" s="30">
        <f>SUM(E19:H19)</f>
        <v>298681.8</v>
      </c>
      <c r="E19" s="29">
        <f>+E21+E24</f>
        <v>272437.8</v>
      </c>
      <c r="F19" s="29">
        <f t="shared" ref="F19:H19" si="4">+F21+F24</f>
        <v>0</v>
      </c>
      <c r="G19" s="29">
        <f t="shared" si="4"/>
        <v>26244</v>
      </c>
      <c r="H19" s="29">
        <f t="shared" si="4"/>
        <v>0</v>
      </c>
    </row>
    <row r="20" spans="1:9" s="73" customFormat="1">
      <c r="A20" s="68"/>
      <c r="B20" s="68"/>
      <c r="C20" s="69" t="s">
        <v>6</v>
      </c>
      <c r="D20" s="70"/>
      <c r="E20" s="71"/>
      <c r="F20" s="72"/>
      <c r="G20" s="72"/>
      <c r="H20" s="72"/>
    </row>
    <row r="21" spans="1:9" s="76" customFormat="1">
      <c r="A21" s="72"/>
      <c r="B21" s="72"/>
      <c r="C21" s="49" t="s">
        <v>114</v>
      </c>
      <c r="D21" s="74">
        <f>SUM(E21:H21)</f>
        <v>297437.3</v>
      </c>
      <c r="E21" s="75">
        <f>+E22+E23</f>
        <v>271193.3</v>
      </c>
      <c r="F21" s="75">
        <f t="shared" ref="F21:H21" si="5">+F22+F23</f>
        <v>0</v>
      </c>
      <c r="G21" s="75">
        <f t="shared" si="5"/>
        <v>26244</v>
      </c>
      <c r="H21" s="75">
        <f t="shared" si="5"/>
        <v>0</v>
      </c>
    </row>
    <row r="22" spans="1:9" s="81" customFormat="1" ht="86.25">
      <c r="A22" s="309"/>
      <c r="B22" s="309"/>
      <c r="C22" s="77" t="s">
        <v>177</v>
      </c>
      <c r="D22" s="78">
        <f t="shared" ref="D22" si="6">+E22+F22+G22+H22</f>
        <v>271193.3</v>
      </c>
      <c r="E22" s="79">
        <f>+'Հավելված N 7'!I78+'Հավելված N 7'!I81+'Հավելված N 7'!I82</f>
        <v>271193.3</v>
      </c>
      <c r="F22" s="79"/>
      <c r="G22" s="79"/>
      <c r="H22" s="80"/>
    </row>
    <row r="23" spans="1:9" s="81" customFormat="1">
      <c r="A23" s="311"/>
      <c r="B23" s="311"/>
      <c r="C23" s="77" t="s">
        <v>179</v>
      </c>
      <c r="D23" s="78">
        <f t="shared" ref="D23" si="7">+E23+F23+G23+H23</f>
        <v>26244</v>
      </c>
      <c r="E23" s="79"/>
      <c r="F23" s="79"/>
      <c r="G23" s="79">
        <f>+'Հավելված N 7'!I83+'Հավելված N 7'!I84</f>
        <v>26244</v>
      </c>
      <c r="H23" s="80"/>
    </row>
    <row r="24" spans="1:9" s="76" customFormat="1">
      <c r="A24" s="72"/>
      <c r="B24" s="72"/>
      <c r="C24" s="49" t="s">
        <v>113</v>
      </c>
      <c r="D24" s="74">
        <f>SUM(E24:H24)</f>
        <v>1244.5</v>
      </c>
      <c r="E24" s="75">
        <f>+E25</f>
        <v>1244.5</v>
      </c>
      <c r="F24" s="75">
        <f t="shared" ref="F24:H24" si="8">+F25</f>
        <v>0</v>
      </c>
      <c r="G24" s="75">
        <f t="shared" si="8"/>
        <v>0</v>
      </c>
      <c r="H24" s="75">
        <f t="shared" si="8"/>
        <v>0</v>
      </c>
    </row>
    <row r="25" spans="1:9" s="81" customFormat="1" ht="34.5">
      <c r="A25" s="196"/>
      <c r="B25" s="196"/>
      <c r="C25" s="77" t="s">
        <v>178</v>
      </c>
      <c r="D25" s="78">
        <f t="shared" ref="D25" si="9">+E25+F25+G25+H25</f>
        <v>1244.5</v>
      </c>
      <c r="E25" s="79">
        <f>+'Հավելված N 7'!I79</f>
        <v>1244.5</v>
      </c>
      <c r="F25" s="79"/>
      <c r="G25" s="79"/>
      <c r="H25" s="80"/>
    </row>
    <row r="26" spans="1:9" s="202" customFormat="1" ht="51.75">
      <c r="A26" s="149">
        <v>1183</v>
      </c>
      <c r="B26" s="149">
        <v>32007</v>
      </c>
      <c r="C26" s="150" t="s">
        <v>116</v>
      </c>
      <c r="D26" s="154">
        <f>SUM(E26:H26)</f>
        <v>3159.5</v>
      </c>
      <c r="E26" s="154">
        <f>+E28+E31+E33</f>
        <v>2679.5</v>
      </c>
      <c r="F26" s="154">
        <f t="shared" ref="F26:H26" si="10">+F28+F31+F33</f>
        <v>0</v>
      </c>
      <c r="G26" s="154">
        <f t="shared" si="10"/>
        <v>480</v>
      </c>
      <c r="H26" s="154">
        <f t="shared" si="10"/>
        <v>0</v>
      </c>
    </row>
    <row r="27" spans="1:9" s="203" customFormat="1">
      <c r="A27" s="172"/>
      <c r="B27" s="172"/>
      <c r="C27" s="69" t="s">
        <v>6</v>
      </c>
      <c r="D27" s="172"/>
      <c r="E27" s="172"/>
      <c r="F27" s="172"/>
      <c r="G27" s="172"/>
      <c r="H27" s="172"/>
    </row>
    <row r="28" spans="1:9" s="202" customFormat="1">
      <c r="A28" s="191"/>
      <c r="B28" s="191"/>
      <c r="C28" s="174" t="s">
        <v>114</v>
      </c>
      <c r="D28" s="175">
        <f>SUM(E28:H28)</f>
        <v>1097.9000000000001</v>
      </c>
      <c r="E28" s="175">
        <f>+E29+E30</f>
        <v>1097.9000000000001</v>
      </c>
      <c r="F28" s="175">
        <f t="shared" ref="F28:H28" si="11">+F29+F30</f>
        <v>0</v>
      </c>
      <c r="G28" s="175">
        <f t="shared" si="11"/>
        <v>0</v>
      </c>
      <c r="H28" s="175">
        <f t="shared" si="11"/>
        <v>0</v>
      </c>
      <c r="I28" s="204"/>
    </row>
    <row r="29" spans="1:9" s="2" customFormat="1" ht="34.5">
      <c r="A29" s="305"/>
      <c r="B29" s="305"/>
      <c r="C29" s="148" t="s">
        <v>119</v>
      </c>
      <c r="D29" s="176">
        <f t="shared" ref="D29:D30" si="12">+E29+F29+G29+H29</f>
        <v>630.20000000000005</v>
      </c>
      <c r="E29" s="176">
        <f>+'Հավելված N 7'!I88</f>
        <v>630.20000000000005</v>
      </c>
      <c r="F29" s="176"/>
      <c r="G29" s="176"/>
      <c r="H29" s="153"/>
    </row>
    <row r="30" spans="1:9" s="2" customFormat="1" ht="34.5">
      <c r="A30" s="317"/>
      <c r="B30" s="317"/>
      <c r="C30" s="148" t="s">
        <v>120</v>
      </c>
      <c r="D30" s="176">
        <f t="shared" si="12"/>
        <v>467.7</v>
      </c>
      <c r="E30" s="176">
        <f>+'Հավելված N 7'!I89</f>
        <v>467.7</v>
      </c>
      <c r="F30" s="176"/>
      <c r="G30" s="176"/>
      <c r="H30" s="153"/>
    </row>
    <row r="31" spans="1:9" s="2" customFormat="1">
      <c r="A31" s="191"/>
      <c r="B31" s="191"/>
      <c r="C31" s="174" t="s">
        <v>48</v>
      </c>
      <c r="D31" s="175">
        <f>SUM(E31:H31)</f>
        <v>480</v>
      </c>
      <c r="E31" s="175">
        <f>+E32</f>
        <v>0</v>
      </c>
      <c r="F31" s="175">
        <f t="shared" ref="F31:H31" si="13">+F32</f>
        <v>0</v>
      </c>
      <c r="G31" s="175">
        <f t="shared" si="13"/>
        <v>480</v>
      </c>
      <c r="H31" s="175">
        <f t="shared" si="13"/>
        <v>0</v>
      </c>
      <c r="I31" s="151"/>
    </row>
    <row r="32" spans="1:9" s="2" customFormat="1">
      <c r="A32" s="205"/>
      <c r="B32" s="205"/>
      <c r="C32" s="148" t="s">
        <v>195</v>
      </c>
      <c r="D32" s="176">
        <f t="shared" ref="D32" si="14">+E32+F32+G32+H32</f>
        <v>480</v>
      </c>
      <c r="E32" s="176"/>
      <c r="F32" s="176"/>
      <c r="G32" s="176">
        <f>+'Հավելված N 7'!I91</f>
        <v>480</v>
      </c>
      <c r="H32" s="153"/>
    </row>
    <row r="33" spans="1:9" s="2" customFormat="1">
      <c r="A33" s="191"/>
      <c r="B33" s="191"/>
      <c r="C33" s="174" t="s">
        <v>109</v>
      </c>
      <c r="D33" s="175">
        <f>SUM(E33:H33)</f>
        <v>1581.6000000000001</v>
      </c>
      <c r="E33" s="175">
        <f>+E34</f>
        <v>1581.6000000000001</v>
      </c>
      <c r="F33" s="175">
        <f t="shared" ref="F33:H33" si="15">+F34</f>
        <v>0</v>
      </c>
      <c r="G33" s="175">
        <f t="shared" si="15"/>
        <v>0</v>
      </c>
      <c r="H33" s="175">
        <f t="shared" si="15"/>
        <v>0</v>
      </c>
      <c r="I33" s="151"/>
    </row>
    <row r="34" spans="1:9" s="2" customFormat="1" ht="34.5">
      <c r="A34" s="195"/>
      <c r="B34" s="195"/>
      <c r="C34" s="148" t="s">
        <v>190</v>
      </c>
      <c r="D34" s="176">
        <f t="shared" ref="D34" si="16">+E34+F34+G34+H34</f>
        <v>1581.6000000000001</v>
      </c>
      <c r="E34" s="176">
        <f>+'Հավելված N 7'!I87+'Հավելված N 7'!I90</f>
        <v>1581.6000000000001</v>
      </c>
      <c r="F34" s="176"/>
      <c r="G34" s="176"/>
      <c r="H34" s="153"/>
    </row>
    <row r="35" spans="1:9" s="2" customFormat="1" ht="51.75">
      <c r="A35" s="149">
        <v>1183</v>
      </c>
      <c r="B35" s="149">
        <v>32009</v>
      </c>
      <c r="C35" s="150" t="s">
        <v>117</v>
      </c>
      <c r="D35" s="154">
        <f>SUM(E35:H35)</f>
        <v>232156.2</v>
      </c>
      <c r="E35" s="154">
        <f>+E37+E41+E44+E46+E48</f>
        <v>0</v>
      </c>
      <c r="F35" s="154">
        <f>+F37+F41+F44+F46+F48</f>
        <v>223166.2</v>
      </c>
      <c r="G35" s="154">
        <f>+G37+G41+G44+G46+G48</f>
        <v>8990</v>
      </c>
      <c r="H35" s="154">
        <f>+H37+H41+H44+H46+H48</f>
        <v>0</v>
      </c>
    </row>
    <row r="36" spans="1:9" s="173" customFormat="1">
      <c r="A36" s="172"/>
      <c r="B36" s="172"/>
      <c r="C36" s="69" t="s">
        <v>6</v>
      </c>
      <c r="D36" s="172"/>
      <c r="E36" s="172"/>
      <c r="F36" s="172"/>
      <c r="G36" s="172"/>
      <c r="H36" s="172"/>
    </row>
    <row r="37" spans="1:9" s="2" customFormat="1">
      <c r="A37" s="191"/>
      <c r="B37" s="191"/>
      <c r="C37" s="174" t="s">
        <v>114</v>
      </c>
      <c r="D37" s="175">
        <f>SUM(E37:H37)</f>
        <v>136356</v>
      </c>
      <c r="E37" s="175">
        <f>+E38+E39+E40</f>
        <v>0</v>
      </c>
      <c r="F37" s="175">
        <f t="shared" ref="F37:H37" si="17">+F38+F39+F40</f>
        <v>136356</v>
      </c>
      <c r="G37" s="175">
        <f t="shared" si="17"/>
        <v>0</v>
      </c>
      <c r="H37" s="175">
        <f t="shared" si="17"/>
        <v>0</v>
      </c>
      <c r="I37" s="151"/>
    </row>
    <row r="38" spans="1:9" s="2" customFormat="1" ht="34.5">
      <c r="A38" s="303"/>
      <c r="B38" s="303"/>
      <c r="C38" s="148" t="s">
        <v>121</v>
      </c>
      <c r="D38" s="176">
        <f t="shared" ref="D38" si="18">+E38+F38+G38+H38</f>
        <v>2022.1</v>
      </c>
      <c r="E38" s="176"/>
      <c r="F38" s="176">
        <f>+'Հավելված N 7'!I94+'Հավելված N 7'!I98+'Հավելված N 7'!I104</f>
        <v>2022.1</v>
      </c>
      <c r="G38" s="176"/>
      <c r="H38" s="153"/>
    </row>
    <row r="39" spans="1:9" s="2" customFormat="1" ht="34.5">
      <c r="A39" s="304"/>
      <c r="B39" s="304"/>
      <c r="C39" s="126" t="s">
        <v>128</v>
      </c>
      <c r="D39" s="192">
        <f t="shared" ref="D39:D40" si="19">SUM(E39:H39)</f>
        <v>133333.79999999999</v>
      </c>
      <c r="E39" s="176"/>
      <c r="F39" s="176">
        <f>+'Հավելված N 7'!I95+'Հավելված N 7'!I99+'Հավելված N 7'!I105</f>
        <v>133333.79999999999</v>
      </c>
      <c r="G39" s="176"/>
      <c r="H39" s="153"/>
    </row>
    <row r="40" spans="1:9" s="2" customFormat="1">
      <c r="A40" s="304"/>
      <c r="B40" s="304"/>
      <c r="C40" s="126" t="s">
        <v>129</v>
      </c>
      <c r="D40" s="192">
        <f t="shared" si="19"/>
        <v>1000.0999999999999</v>
      </c>
      <c r="E40" s="176"/>
      <c r="F40" s="176">
        <f>+'Հավելված N 7'!I100+'Հավելված N 7'!I106</f>
        <v>1000.0999999999999</v>
      </c>
      <c r="G40" s="176"/>
      <c r="H40" s="153"/>
    </row>
    <row r="41" spans="1:9" s="2" customFormat="1">
      <c r="A41" s="191"/>
      <c r="B41" s="191"/>
      <c r="C41" s="174" t="s">
        <v>109</v>
      </c>
      <c r="D41" s="175">
        <f>SUM(E41:H41)</f>
        <v>1936.6000000000001</v>
      </c>
      <c r="E41" s="175">
        <f>+E42+E43</f>
        <v>0</v>
      </c>
      <c r="F41" s="175">
        <f t="shared" ref="F41:H41" si="20">+F42+F43</f>
        <v>1936.6000000000001</v>
      </c>
      <c r="G41" s="175">
        <f t="shared" si="20"/>
        <v>0</v>
      </c>
      <c r="H41" s="175">
        <f t="shared" si="20"/>
        <v>0</v>
      </c>
      <c r="I41" s="151"/>
    </row>
    <row r="42" spans="1:9" s="2" customFormat="1">
      <c r="A42" s="312"/>
      <c r="B42" s="312"/>
      <c r="C42" s="148" t="s">
        <v>122</v>
      </c>
      <c r="D42" s="176">
        <f t="shared" ref="D42" si="21">+E42+F42+G42+H42</f>
        <v>777.7</v>
      </c>
      <c r="E42" s="176"/>
      <c r="F42" s="176">
        <f>'Հավելված N 7'!I101+'Հավելված N 7'!I107</f>
        <v>777.7</v>
      </c>
      <c r="G42" s="176"/>
      <c r="H42" s="153"/>
    </row>
    <row r="43" spans="1:9" s="2" customFormat="1" ht="34.5">
      <c r="A43" s="313"/>
      <c r="B43" s="313"/>
      <c r="C43" s="148" t="s">
        <v>192</v>
      </c>
      <c r="D43" s="176">
        <f t="shared" ref="D43" si="22">+E43+F43+G43+H43</f>
        <v>1158.9000000000001</v>
      </c>
      <c r="E43" s="176"/>
      <c r="F43" s="176">
        <f>'Հավելված N 7'!I102+'Հավելված N 7'!I108</f>
        <v>1158.9000000000001</v>
      </c>
      <c r="G43" s="176"/>
      <c r="H43" s="153"/>
    </row>
    <row r="44" spans="1:9" s="2" customFormat="1">
      <c r="A44" s="191"/>
      <c r="B44" s="191"/>
      <c r="C44" s="174" t="s">
        <v>110</v>
      </c>
      <c r="D44" s="175">
        <f>SUM(E44:H44)</f>
        <v>84873.600000000006</v>
      </c>
      <c r="E44" s="175">
        <f>+E45</f>
        <v>0</v>
      </c>
      <c r="F44" s="175">
        <f t="shared" ref="F44" si="23">+F45</f>
        <v>84873.600000000006</v>
      </c>
      <c r="G44" s="175">
        <f t="shared" ref="G44" si="24">+G45</f>
        <v>0</v>
      </c>
      <c r="H44" s="175">
        <f t="shared" ref="H44" si="25">+H45</f>
        <v>0</v>
      </c>
      <c r="I44" s="151"/>
    </row>
    <row r="45" spans="1:9" s="2" customFormat="1">
      <c r="A45" s="179"/>
      <c r="B45" s="179"/>
      <c r="C45" s="148" t="s">
        <v>191</v>
      </c>
      <c r="D45" s="176">
        <f t="shared" ref="D45" si="26">+E45+F45+G45+H45</f>
        <v>84873.600000000006</v>
      </c>
      <c r="E45" s="176"/>
      <c r="F45" s="176">
        <f>+'Հավելված N 7'!I96+'Հավելված N 7'!I103+'Հավելված N 7'!I109</f>
        <v>84873.600000000006</v>
      </c>
      <c r="G45" s="176"/>
      <c r="H45" s="153"/>
    </row>
    <row r="46" spans="1:9" s="2" customFormat="1">
      <c r="A46" s="191"/>
      <c r="B46" s="191"/>
      <c r="C46" s="174" t="s">
        <v>86</v>
      </c>
      <c r="D46" s="175">
        <f>SUM(E46:H46)</f>
        <v>3960</v>
      </c>
      <c r="E46" s="175">
        <f>+E47</f>
        <v>0</v>
      </c>
      <c r="F46" s="175">
        <f t="shared" ref="F46" si="27">+F47</f>
        <v>0</v>
      </c>
      <c r="G46" s="175">
        <f t="shared" ref="G46" si="28">+G47</f>
        <v>3960</v>
      </c>
      <c r="H46" s="175">
        <f t="shared" ref="H46" si="29">+H47</f>
        <v>0</v>
      </c>
      <c r="I46" s="151"/>
    </row>
    <row r="47" spans="1:9" s="2" customFormat="1" ht="34.5">
      <c r="A47" s="153"/>
      <c r="B47" s="153"/>
      <c r="C47" s="148" t="s">
        <v>193</v>
      </c>
      <c r="D47" s="176">
        <f t="shared" ref="D47" si="30">+E47+F47+G47+H47</f>
        <v>3960</v>
      </c>
      <c r="E47" s="176"/>
      <c r="F47" s="176"/>
      <c r="G47" s="176">
        <f>+'Հավելված N 7'!I110+'Հավելված N 7'!I112</f>
        <v>3960</v>
      </c>
      <c r="H47" s="153"/>
    </row>
    <row r="48" spans="1:9" s="2" customFormat="1">
      <c r="A48" s="191"/>
      <c r="B48" s="191"/>
      <c r="C48" s="174" t="s">
        <v>157</v>
      </c>
      <c r="D48" s="175">
        <f>SUM(E48:H48)</f>
        <v>5030</v>
      </c>
      <c r="E48" s="175">
        <f>+E49</f>
        <v>0</v>
      </c>
      <c r="F48" s="175">
        <f t="shared" ref="F48:H48" si="31">+F49</f>
        <v>0</v>
      </c>
      <c r="G48" s="175">
        <f t="shared" si="31"/>
        <v>5030</v>
      </c>
      <c r="H48" s="175">
        <f t="shared" si="31"/>
        <v>0</v>
      </c>
      <c r="I48" s="151"/>
    </row>
    <row r="49" spans="1:8" s="2" customFormat="1" ht="34.5">
      <c r="A49" s="153"/>
      <c r="B49" s="153"/>
      <c r="C49" s="148" t="s">
        <v>194</v>
      </c>
      <c r="D49" s="176">
        <f t="shared" ref="D49" si="32">+E49+F49+G49+H49</f>
        <v>5030</v>
      </c>
      <c r="E49" s="176"/>
      <c r="F49" s="176"/>
      <c r="G49" s="176">
        <f>+'Հավելված N 7'!I111+'Հավելված N 7'!I113</f>
        <v>5030</v>
      </c>
      <c r="H49" s="153"/>
    </row>
    <row r="50" spans="1:8">
      <c r="A50" s="28">
        <v>1236</v>
      </c>
      <c r="B50" s="21">
        <v>32001</v>
      </c>
      <c r="C50" s="42" t="s">
        <v>85</v>
      </c>
      <c r="D50" s="30">
        <f>SUM(E50:H50)</f>
        <v>433427.89999999997</v>
      </c>
      <c r="E50" s="29">
        <f>+E52+E54+E56+E58</f>
        <v>433427.89999999997</v>
      </c>
      <c r="F50" s="29">
        <f t="shared" ref="F50:H50" si="33">+F52+F54+F56+F58</f>
        <v>0</v>
      </c>
      <c r="G50" s="29">
        <f t="shared" si="33"/>
        <v>0</v>
      </c>
      <c r="H50" s="29">
        <f t="shared" si="33"/>
        <v>0</v>
      </c>
    </row>
    <row r="51" spans="1:8" s="73" customFormat="1">
      <c r="A51" s="68"/>
      <c r="B51" s="68"/>
      <c r="C51" s="69" t="s">
        <v>6</v>
      </c>
      <c r="D51" s="70"/>
      <c r="E51" s="71"/>
      <c r="F51" s="72"/>
      <c r="G51" s="72"/>
      <c r="H51" s="72"/>
    </row>
    <row r="52" spans="1:8" s="76" customFormat="1">
      <c r="A52" s="72"/>
      <c r="B52" s="72"/>
      <c r="C52" s="49" t="s">
        <v>48</v>
      </c>
      <c r="D52" s="74">
        <f>SUM(E52:H52)</f>
        <v>277</v>
      </c>
      <c r="E52" s="75">
        <f>+E53</f>
        <v>277</v>
      </c>
      <c r="F52" s="75">
        <f t="shared" ref="F52:H52" si="34">+F53</f>
        <v>0</v>
      </c>
      <c r="G52" s="75">
        <f t="shared" si="34"/>
        <v>0</v>
      </c>
      <c r="H52" s="75">
        <f t="shared" si="34"/>
        <v>0</v>
      </c>
    </row>
    <row r="53" spans="1:8" s="81" customFormat="1" ht="51.75">
      <c r="A53" s="180"/>
      <c r="B53" s="180"/>
      <c r="C53" s="77" t="s">
        <v>143</v>
      </c>
      <c r="D53" s="78">
        <f t="shared" ref="D53" si="35">+E53+F53+G53+H53</f>
        <v>277</v>
      </c>
      <c r="E53" s="79">
        <f>+'Հավելված N 7'!I19</f>
        <v>277</v>
      </c>
      <c r="F53" s="79"/>
      <c r="G53" s="79"/>
      <c r="H53" s="80"/>
    </row>
    <row r="54" spans="1:8" s="76" customFormat="1">
      <c r="A54" s="72"/>
      <c r="B54" s="72"/>
      <c r="C54" s="49" t="s">
        <v>109</v>
      </c>
      <c r="D54" s="74">
        <f>SUM(E54:H54)</f>
        <v>5149.8</v>
      </c>
      <c r="E54" s="75">
        <f>+E55</f>
        <v>5149.8</v>
      </c>
      <c r="F54" s="75">
        <f t="shared" ref="F54:F58" si="36">+F55</f>
        <v>0</v>
      </c>
      <c r="G54" s="75">
        <f t="shared" ref="G54:G58" si="37">+G55</f>
        <v>0</v>
      </c>
      <c r="H54" s="75">
        <f t="shared" ref="H54:H58" si="38">+H55</f>
        <v>0</v>
      </c>
    </row>
    <row r="55" spans="1:8" s="81" customFormat="1" ht="51.75">
      <c r="A55" s="196"/>
      <c r="B55" s="196"/>
      <c r="C55" s="77" t="s">
        <v>144</v>
      </c>
      <c r="D55" s="78">
        <f t="shared" ref="D55" si="39">+E55+F55+G55+H55</f>
        <v>5149.8</v>
      </c>
      <c r="E55" s="79">
        <f>+'Հավելված N 7'!I20+'Հավելված N 7'!I23</f>
        <v>5149.8</v>
      </c>
      <c r="F55" s="79"/>
      <c r="G55" s="79"/>
      <c r="H55" s="80"/>
    </row>
    <row r="56" spans="1:8" s="76" customFormat="1">
      <c r="A56" s="72"/>
      <c r="B56" s="72"/>
      <c r="C56" s="49" t="s">
        <v>110</v>
      </c>
      <c r="D56" s="74">
        <f>SUM(E56:H56)</f>
        <v>1169.5</v>
      </c>
      <c r="E56" s="75">
        <f>+E57</f>
        <v>1169.5</v>
      </c>
      <c r="F56" s="75">
        <f t="shared" si="36"/>
        <v>0</v>
      </c>
      <c r="G56" s="75">
        <f t="shared" si="37"/>
        <v>0</v>
      </c>
      <c r="H56" s="75">
        <f t="shared" si="38"/>
        <v>0</v>
      </c>
    </row>
    <row r="57" spans="1:8" s="81" customFormat="1" ht="51.75">
      <c r="A57" s="196"/>
      <c r="B57" s="196"/>
      <c r="C57" s="77" t="s">
        <v>145</v>
      </c>
      <c r="D57" s="78">
        <f t="shared" ref="D57" si="40">+E57+F57+G57+H57</f>
        <v>1169.5</v>
      </c>
      <c r="E57" s="79">
        <f>+'Հավելված N 7'!I21+'Հավելված N 7'!I24</f>
        <v>1169.5</v>
      </c>
      <c r="F57" s="79"/>
      <c r="G57" s="79"/>
      <c r="H57" s="80"/>
    </row>
    <row r="58" spans="1:8" s="76" customFormat="1">
      <c r="A58" s="72"/>
      <c r="B58" s="72"/>
      <c r="C58" s="49" t="s">
        <v>113</v>
      </c>
      <c r="D58" s="74">
        <f>SUM(E58:H58)</f>
        <v>426831.6</v>
      </c>
      <c r="E58" s="75">
        <f>+E59</f>
        <v>426831.6</v>
      </c>
      <c r="F58" s="75">
        <f t="shared" si="36"/>
        <v>0</v>
      </c>
      <c r="G58" s="75">
        <f t="shared" si="37"/>
        <v>0</v>
      </c>
      <c r="H58" s="75">
        <f t="shared" si="38"/>
        <v>0</v>
      </c>
    </row>
    <row r="59" spans="1:8" s="81" customFormat="1" ht="69">
      <c r="A59" s="196"/>
      <c r="B59" s="196"/>
      <c r="C59" s="77" t="s">
        <v>146</v>
      </c>
      <c r="D59" s="78">
        <f t="shared" ref="D59" si="41">+E59+F59+G59+H59</f>
        <v>426831.6</v>
      </c>
      <c r="E59" s="79">
        <f>+'Հավելված N 7'!I17+'Հավելված N 7'!I22+'Հավելված N 7'!I25</f>
        <v>426831.6</v>
      </c>
      <c r="F59" s="79"/>
      <c r="G59" s="79"/>
      <c r="H59" s="80"/>
    </row>
    <row r="60" spans="1:8" s="114" customFormat="1" ht="34.5">
      <c r="A60" s="111">
        <v>1236</v>
      </c>
      <c r="B60" s="184">
        <v>32003</v>
      </c>
      <c r="C60" s="185" t="s">
        <v>95</v>
      </c>
      <c r="D60" s="112">
        <f>SUM(E60:H60)</f>
        <v>279975.30000000005</v>
      </c>
      <c r="E60" s="113">
        <f>+E62+E64+E67+E69+E72+E74+E77</f>
        <v>257475.30000000005</v>
      </c>
      <c r="F60" s="113">
        <f t="shared" ref="F60:H60" si="42">+F62+F64+F67+F69+F72+F74+F77</f>
        <v>0</v>
      </c>
      <c r="G60" s="113">
        <f t="shared" si="42"/>
        <v>22500</v>
      </c>
      <c r="H60" s="113">
        <f t="shared" si="42"/>
        <v>0</v>
      </c>
    </row>
    <row r="61" spans="1:8" s="119" customFormat="1">
      <c r="A61" s="115"/>
      <c r="B61" s="115"/>
      <c r="C61" s="116" t="s">
        <v>6</v>
      </c>
      <c r="D61" s="70"/>
      <c r="E61" s="117"/>
      <c r="F61" s="118"/>
      <c r="G61" s="118"/>
      <c r="H61" s="118"/>
    </row>
    <row r="62" spans="1:8" s="76" customFormat="1">
      <c r="A62" s="72"/>
      <c r="B62" s="72"/>
      <c r="C62" s="49" t="s">
        <v>62</v>
      </c>
      <c r="D62" s="74">
        <f>SUM(E62:H62)</f>
        <v>198084.2</v>
      </c>
      <c r="E62" s="75">
        <f>SUM(E63:E63)</f>
        <v>198084.2</v>
      </c>
      <c r="F62" s="75">
        <f>SUM(F63:F63)</f>
        <v>0</v>
      </c>
      <c r="G62" s="75">
        <f>SUM(G63:G63)</f>
        <v>0</v>
      </c>
      <c r="H62" s="75">
        <f>SUM(H63:H63)</f>
        <v>0</v>
      </c>
    </row>
    <row r="63" spans="1:8" s="81" customFormat="1">
      <c r="A63" s="196"/>
      <c r="B63" s="196"/>
      <c r="C63" s="77" t="s">
        <v>150</v>
      </c>
      <c r="D63" s="78">
        <f t="shared" ref="D63" si="43">+E63+F63+G63+H63</f>
        <v>198084.2</v>
      </c>
      <c r="E63" s="79">
        <f>+'Հավելված N 7'!I30+'Հավելված N 7'!I34+1133.2</f>
        <v>198084.2</v>
      </c>
      <c r="F63" s="79"/>
      <c r="G63" s="79"/>
      <c r="H63" s="80"/>
    </row>
    <row r="64" spans="1:8" s="76" customFormat="1">
      <c r="A64" s="72"/>
      <c r="B64" s="72"/>
      <c r="C64" s="49" t="s">
        <v>96</v>
      </c>
      <c r="D64" s="74">
        <f>SUM(E64:H64)</f>
        <v>8248.2999999999993</v>
      </c>
      <c r="E64" s="75">
        <f>+E65+E66</f>
        <v>748.3</v>
      </c>
      <c r="F64" s="75">
        <f t="shared" ref="F64:H64" si="44">+F65+F66</f>
        <v>0</v>
      </c>
      <c r="G64" s="75">
        <f t="shared" si="44"/>
        <v>7500</v>
      </c>
      <c r="H64" s="75">
        <f t="shared" si="44"/>
        <v>0</v>
      </c>
    </row>
    <row r="65" spans="1:8" s="81" customFormat="1">
      <c r="A65" s="309"/>
      <c r="B65" s="309"/>
      <c r="C65" s="77" t="s">
        <v>132</v>
      </c>
      <c r="D65" s="78">
        <f t="shared" ref="D65" si="45">+E65+F65+G65+H65</f>
        <v>7500</v>
      </c>
      <c r="E65" s="79"/>
      <c r="F65" s="79"/>
      <c r="G65" s="79">
        <f>+'Հավելված N 7'!I41+'Հավելված N 7'!I44</f>
        <v>7500</v>
      </c>
      <c r="H65" s="80"/>
    </row>
    <row r="66" spans="1:8" s="81" customFormat="1">
      <c r="A66" s="311"/>
      <c r="B66" s="311"/>
      <c r="C66" s="77" t="s">
        <v>130</v>
      </c>
      <c r="D66" s="78">
        <f t="shared" ref="D66" si="46">+E66+F66+G66+H66</f>
        <v>748.3</v>
      </c>
      <c r="E66" s="79">
        <f>+'Հավելված N 7'!I37+'Հավելված N 7'!I40</f>
        <v>748.3</v>
      </c>
      <c r="F66" s="79"/>
      <c r="G66" s="79"/>
      <c r="H66" s="80"/>
    </row>
    <row r="67" spans="1:8" s="76" customFormat="1">
      <c r="A67" s="72"/>
      <c r="B67" s="72"/>
      <c r="C67" s="49" t="s">
        <v>48</v>
      </c>
      <c r="D67" s="74">
        <f>SUM(E67:H67)</f>
        <v>7500</v>
      </c>
      <c r="E67" s="75">
        <f>SUM(E68:E68)</f>
        <v>0</v>
      </c>
      <c r="F67" s="75">
        <f>SUM(F68:F68)</f>
        <v>0</v>
      </c>
      <c r="G67" s="75">
        <f>SUM(G68:G68)</f>
        <v>7500</v>
      </c>
      <c r="H67" s="75">
        <f>SUM(H68:H68)</f>
        <v>0</v>
      </c>
    </row>
    <row r="68" spans="1:8" s="81" customFormat="1" ht="34.5">
      <c r="A68" s="197"/>
      <c r="B68" s="197"/>
      <c r="C68" s="77" t="s">
        <v>133</v>
      </c>
      <c r="D68" s="78">
        <f t="shared" ref="D68" si="47">+E68+F68+G68+H68</f>
        <v>7500</v>
      </c>
      <c r="E68" s="79"/>
      <c r="F68" s="79"/>
      <c r="G68" s="79">
        <f>+'Հավելված N 7'!I42+'Հավելված N 7'!I45</f>
        <v>7500</v>
      </c>
      <c r="H68" s="80"/>
    </row>
    <row r="69" spans="1:8" s="76" customFormat="1">
      <c r="A69" s="72"/>
      <c r="B69" s="72"/>
      <c r="C69" s="49" t="s">
        <v>109</v>
      </c>
      <c r="D69" s="74">
        <f>SUM(E69:H69)</f>
        <v>150469.59999999998</v>
      </c>
      <c r="E69" s="75">
        <f>SUM(E70:E71)</f>
        <v>150469.59999999998</v>
      </c>
      <c r="F69" s="75">
        <f t="shared" ref="F69:H69" si="48">SUM(F70:F71)</f>
        <v>0</v>
      </c>
      <c r="G69" s="75">
        <f t="shared" si="48"/>
        <v>0</v>
      </c>
      <c r="H69" s="75">
        <f t="shared" si="48"/>
        <v>0</v>
      </c>
    </row>
    <row r="70" spans="1:8" s="81" customFormat="1" ht="34.5">
      <c r="A70" s="301"/>
      <c r="B70" s="301"/>
      <c r="C70" s="77" t="s">
        <v>154</v>
      </c>
      <c r="D70" s="78">
        <f t="shared" ref="D70" si="49">+E70+F70+G70+H70</f>
        <v>149072.19999999998</v>
      </c>
      <c r="E70" s="79">
        <f>+'Հավելված N 7'!I31+5614.4+1224.9</f>
        <v>149072.19999999998</v>
      </c>
      <c r="F70" s="79"/>
      <c r="G70" s="79"/>
      <c r="H70" s="80"/>
    </row>
    <row r="71" spans="1:8" s="81" customFormat="1">
      <c r="A71" s="302"/>
      <c r="B71" s="302"/>
      <c r="C71" s="77" t="s">
        <v>155</v>
      </c>
      <c r="D71" s="78">
        <f t="shared" ref="D71" si="50">+E71+F71+G71+H71</f>
        <v>1397.3999999999999</v>
      </c>
      <c r="E71" s="79">
        <f>1204.6+192.8</f>
        <v>1397.3999999999999</v>
      </c>
      <c r="F71" s="79"/>
      <c r="G71" s="79"/>
      <c r="H71" s="80"/>
    </row>
    <row r="72" spans="1:8" s="76" customFormat="1">
      <c r="A72" s="72"/>
      <c r="B72" s="72"/>
      <c r="C72" s="49" t="s">
        <v>86</v>
      </c>
      <c r="D72" s="74">
        <f>SUM(E72:H72)</f>
        <v>190</v>
      </c>
      <c r="E72" s="75">
        <f>+E73</f>
        <v>190</v>
      </c>
      <c r="F72" s="75">
        <f t="shared" ref="F72" si="51">+F73</f>
        <v>0</v>
      </c>
      <c r="G72" s="75">
        <f t="shared" ref="G72" si="52">+G73</f>
        <v>0</v>
      </c>
      <c r="H72" s="75">
        <f t="shared" ref="H72" si="53">+H73</f>
        <v>0</v>
      </c>
    </row>
    <row r="73" spans="1:8" s="81" customFormat="1">
      <c r="A73" s="180"/>
      <c r="B73" s="180"/>
      <c r="C73" s="77" t="s">
        <v>156</v>
      </c>
      <c r="D73" s="78">
        <f t="shared" ref="D73" si="54">+E73+F73+G73+H73</f>
        <v>190</v>
      </c>
      <c r="E73" s="79">
        <v>190</v>
      </c>
      <c r="F73" s="79"/>
      <c r="G73" s="79"/>
      <c r="H73" s="80"/>
    </row>
    <row r="74" spans="1:8" s="76" customFormat="1">
      <c r="A74" s="72"/>
      <c r="B74" s="72"/>
      <c r="C74" s="49" t="s">
        <v>157</v>
      </c>
      <c r="D74" s="74">
        <f>SUM(E74:H74)</f>
        <v>197541.70000000004</v>
      </c>
      <c r="E74" s="75">
        <f>+E75+E76</f>
        <v>197541.70000000004</v>
      </c>
      <c r="F74" s="75">
        <f t="shared" ref="F74:H74" si="55">+F75+F76</f>
        <v>0</v>
      </c>
      <c r="G74" s="75">
        <f t="shared" si="55"/>
        <v>0</v>
      </c>
      <c r="H74" s="75">
        <f t="shared" si="55"/>
        <v>0</v>
      </c>
    </row>
    <row r="75" spans="1:8" s="81" customFormat="1">
      <c r="A75" s="309"/>
      <c r="B75" s="309"/>
      <c r="C75" s="77" t="s">
        <v>158</v>
      </c>
      <c r="D75" s="78">
        <f t="shared" ref="D75" si="56">+E75+F75+G75+H75</f>
        <v>291.7</v>
      </c>
      <c r="E75" s="79">
        <v>291.7</v>
      </c>
      <c r="F75" s="79"/>
      <c r="G75" s="79"/>
      <c r="H75" s="80"/>
    </row>
    <row r="76" spans="1:8" s="81" customFormat="1">
      <c r="A76" s="311"/>
      <c r="B76" s="311"/>
      <c r="C76" s="77" t="s">
        <v>160</v>
      </c>
      <c r="D76" s="78">
        <f t="shared" ref="D76" si="57">+E76+F76+G76+H76</f>
        <v>197250.00000000003</v>
      </c>
      <c r="E76" s="79">
        <f>+'Հավելված N 7'!I32+6533.7+1095.1</f>
        <v>197250.00000000003</v>
      </c>
      <c r="F76" s="79"/>
      <c r="G76" s="79"/>
      <c r="H76" s="80"/>
    </row>
    <row r="77" spans="1:8" s="76" customFormat="1">
      <c r="A77" s="72"/>
      <c r="B77" s="72"/>
      <c r="C77" s="49" t="s">
        <v>113</v>
      </c>
      <c r="D77" s="74">
        <f>SUM(E77:H77)</f>
        <v>-282058.5</v>
      </c>
      <c r="E77" s="75">
        <f>+E78+E79</f>
        <v>-289558.5</v>
      </c>
      <c r="F77" s="75">
        <f t="shared" ref="F77:H77" si="58">+F78+F79</f>
        <v>0</v>
      </c>
      <c r="G77" s="75">
        <f t="shared" si="58"/>
        <v>7500</v>
      </c>
      <c r="H77" s="75">
        <f t="shared" si="58"/>
        <v>0</v>
      </c>
    </row>
    <row r="78" spans="1:8" s="81" customFormat="1">
      <c r="A78" s="309"/>
      <c r="B78" s="309"/>
      <c r="C78" s="77" t="s">
        <v>161</v>
      </c>
      <c r="D78" s="78">
        <f t="shared" ref="D78" si="59">+E78+F78+G78+H78</f>
        <v>-289558.5</v>
      </c>
      <c r="E78" s="79">
        <f>+'Հավելված N 7'!I29+'Հավելված N 7'!I36-1677.2</f>
        <v>-289558.5</v>
      </c>
      <c r="F78" s="79"/>
      <c r="G78" s="79"/>
      <c r="H78" s="80"/>
    </row>
    <row r="79" spans="1:8" s="81" customFormat="1">
      <c r="A79" s="311"/>
      <c r="B79" s="311"/>
      <c r="C79" s="77" t="s">
        <v>134</v>
      </c>
      <c r="D79" s="78">
        <f t="shared" ref="D79" si="60">+E79+F79+G79+H79</f>
        <v>7500</v>
      </c>
      <c r="E79" s="79"/>
      <c r="F79" s="79"/>
      <c r="G79" s="79">
        <f>+'Հավելված N 7'!I43+'Հավելված N 7'!I46</f>
        <v>7500</v>
      </c>
      <c r="H79" s="80"/>
    </row>
    <row r="80" spans="1:8" s="114" customFormat="1" ht="34.5">
      <c r="A80" s="111">
        <v>1236</v>
      </c>
      <c r="B80" s="184">
        <v>32004</v>
      </c>
      <c r="C80" s="185" t="s">
        <v>164</v>
      </c>
      <c r="D80" s="112">
        <f>SUM(E80:H80)</f>
        <v>14390</v>
      </c>
      <c r="E80" s="113">
        <f>+E82</f>
        <v>0</v>
      </c>
      <c r="F80" s="113">
        <f t="shared" ref="F80:H80" si="61">+F82</f>
        <v>0</v>
      </c>
      <c r="G80" s="113">
        <f t="shared" si="61"/>
        <v>14390</v>
      </c>
      <c r="H80" s="113">
        <f t="shared" si="61"/>
        <v>0</v>
      </c>
    </row>
    <row r="81" spans="1:8" s="119" customFormat="1">
      <c r="A81" s="115"/>
      <c r="B81" s="115"/>
      <c r="C81" s="116" t="s">
        <v>6</v>
      </c>
      <c r="D81" s="70"/>
      <c r="E81" s="117"/>
      <c r="F81" s="118"/>
      <c r="G81" s="118"/>
      <c r="H81" s="118"/>
    </row>
    <row r="82" spans="1:8" s="76" customFormat="1">
      <c r="A82" s="72"/>
      <c r="B82" s="72"/>
      <c r="C82" s="49" t="s">
        <v>114</v>
      </c>
      <c r="D82" s="74">
        <f>SUM(E82:H82)</f>
        <v>14390</v>
      </c>
      <c r="E82" s="75">
        <f>+E83</f>
        <v>0</v>
      </c>
      <c r="F82" s="75">
        <f t="shared" ref="F82:H82" si="62">+F83</f>
        <v>0</v>
      </c>
      <c r="G82" s="75">
        <f t="shared" si="62"/>
        <v>14390</v>
      </c>
      <c r="H82" s="75">
        <f t="shared" si="62"/>
        <v>0</v>
      </c>
    </row>
    <row r="83" spans="1:8" s="81" customFormat="1">
      <c r="A83" s="181"/>
      <c r="B83" s="181"/>
      <c r="C83" s="77" t="s">
        <v>165</v>
      </c>
      <c r="D83" s="78">
        <f t="shared" ref="D83" si="63">+E83+F83+G83+H83</f>
        <v>14390</v>
      </c>
      <c r="E83" s="79"/>
      <c r="F83" s="79"/>
      <c r="G83" s="79">
        <f>+'Հավելված N 7'!I49+'Հավելված N 7'!I50</f>
        <v>14390</v>
      </c>
      <c r="H83" s="80"/>
    </row>
    <row r="84" spans="1:8" s="114" customFormat="1">
      <c r="A84" s="111">
        <v>1236</v>
      </c>
      <c r="B84" s="184">
        <v>32005</v>
      </c>
      <c r="C84" s="185" t="s">
        <v>98</v>
      </c>
      <c r="D84" s="112">
        <f>SUM(E84:H84)</f>
        <v>-997266.3</v>
      </c>
      <c r="E84" s="113">
        <f>+E86+E88+E90+E92+E96+E98</f>
        <v>-1039266.3</v>
      </c>
      <c r="F84" s="113">
        <f t="shared" ref="F84:H84" si="64">+F86+F88+F90+F92+F96+F98</f>
        <v>0</v>
      </c>
      <c r="G84" s="113">
        <f t="shared" si="64"/>
        <v>42000</v>
      </c>
      <c r="H84" s="113">
        <f t="shared" si="64"/>
        <v>0</v>
      </c>
    </row>
    <row r="85" spans="1:8" s="119" customFormat="1">
      <c r="A85" s="115"/>
      <c r="B85" s="115"/>
      <c r="C85" s="116" t="s">
        <v>6</v>
      </c>
      <c r="D85" s="70"/>
      <c r="E85" s="117"/>
      <c r="F85" s="118"/>
      <c r="G85" s="118"/>
      <c r="H85" s="118"/>
    </row>
    <row r="86" spans="1:8" s="76" customFormat="1">
      <c r="A86" s="72"/>
      <c r="B86" s="72"/>
      <c r="C86" s="49" t="s">
        <v>62</v>
      </c>
      <c r="D86" s="74">
        <f>SUM(E86:H86)</f>
        <v>7500</v>
      </c>
      <c r="E86" s="75">
        <f>+E87</f>
        <v>0</v>
      </c>
      <c r="F86" s="75">
        <f t="shared" ref="F86" si="65">+F87</f>
        <v>0</v>
      </c>
      <c r="G86" s="75">
        <f t="shared" ref="G86" si="66">+G87</f>
        <v>7500</v>
      </c>
      <c r="H86" s="75">
        <f t="shared" ref="H86" si="67">+H87</f>
        <v>0</v>
      </c>
    </row>
    <row r="87" spans="1:8" s="81" customFormat="1">
      <c r="A87" s="181"/>
      <c r="B87" s="181"/>
      <c r="C87" s="77" t="s">
        <v>135</v>
      </c>
      <c r="D87" s="78">
        <f t="shared" ref="D87" si="68">+E87+F87+G87+H87</f>
        <v>7500</v>
      </c>
      <c r="E87" s="79"/>
      <c r="F87" s="79"/>
      <c r="G87" s="79">
        <f>+'Հավելված N 7'!I60+'Հավելված N 7'!I65</f>
        <v>7500</v>
      </c>
      <c r="H87" s="80"/>
    </row>
    <row r="88" spans="1:8" s="76" customFormat="1">
      <c r="A88" s="72"/>
      <c r="B88" s="72"/>
      <c r="C88" s="49" t="s">
        <v>109</v>
      </c>
      <c r="D88" s="74">
        <f>SUM(E88:H88)</f>
        <v>7500</v>
      </c>
      <c r="E88" s="75">
        <f>+E89</f>
        <v>0</v>
      </c>
      <c r="F88" s="75">
        <f t="shared" ref="F88" si="69">+F89</f>
        <v>0</v>
      </c>
      <c r="G88" s="75">
        <f t="shared" ref="G88" si="70">+G89</f>
        <v>7500</v>
      </c>
      <c r="H88" s="75">
        <f t="shared" ref="H88" si="71">+H89</f>
        <v>0</v>
      </c>
    </row>
    <row r="89" spans="1:8" s="81" customFormat="1">
      <c r="A89" s="181"/>
      <c r="B89" s="181"/>
      <c r="C89" s="77" t="s">
        <v>136</v>
      </c>
      <c r="D89" s="78">
        <f t="shared" ref="D89" si="72">+E89+F89+G89+H89</f>
        <v>7500</v>
      </c>
      <c r="E89" s="79"/>
      <c r="F89" s="79"/>
      <c r="G89" s="79">
        <f>+'Հավելված N 7'!I61+'Հավելված N 7'!I66</f>
        <v>7500</v>
      </c>
      <c r="H89" s="80"/>
    </row>
    <row r="90" spans="1:8" s="76" customFormat="1">
      <c r="A90" s="72"/>
      <c r="B90" s="72"/>
      <c r="C90" s="49" t="s">
        <v>112</v>
      </c>
      <c r="D90" s="74">
        <f>SUM(E90:H90)</f>
        <v>7500</v>
      </c>
      <c r="E90" s="75">
        <f>+E91</f>
        <v>0</v>
      </c>
      <c r="F90" s="75">
        <f t="shared" ref="F90" si="73">+F91</f>
        <v>0</v>
      </c>
      <c r="G90" s="75">
        <f t="shared" ref="G90" si="74">+G91</f>
        <v>7500</v>
      </c>
      <c r="H90" s="75">
        <f t="shared" ref="H90" si="75">+H91</f>
        <v>0</v>
      </c>
    </row>
    <row r="91" spans="1:8" s="81" customFormat="1">
      <c r="A91" s="181"/>
      <c r="B91" s="181"/>
      <c r="C91" s="77" t="s">
        <v>137</v>
      </c>
      <c r="D91" s="78">
        <f t="shared" ref="D91" si="76">+E91+F91+G91+H91</f>
        <v>7500</v>
      </c>
      <c r="E91" s="79"/>
      <c r="F91" s="79"/>
      <c r="G91" s="79">
        <f>+'Հավելված N 7'!I62+'Հավելված N 7'!I67</f>
        <v>7500</v>
      </c>
      <c r="H91" s="80"/>
    </row>
    <row r="92" spans="1:8" s="76" customFormat="1">
      <c r="A92" s="72"/>
      <c r="B92" s="72"/>
      <c r="C92" s="49" t="s">
        <v>157</v>
      </c>
      <c r="D92" s="74">
        <f>SUM(E92:H92)</f>
        <v>-1039266.3</v>
      </c>
      <c r="E92" s="75">
        <f>+E93+E94+E95</f>
        <v>-1039266.3</v>
      </c>
      <c r="F92" s="75">
        <f t="shared" ref="F92:H92" si="77">+F93+F94+F95</f>
        <v>0</v>
      </c>
      <c r="G92" s="75">
        <f t="shared" si="77"/>
        <v>0</v>
      </c>
      <c r="H92" s="75">
        <f t="shared" si="77"/>
        <v>0</v>
      </c>
    </row>
    <row r="93" spans="1:8" s="81" customFormat="1">
      <c r="A93" s="309"/>
      <c r="B93" s="309"/>
      <c r="C93" s="77" t="s">
        <v>169</v>
      </c>
      <c r="D93" s="78">
        <f t="shared" ref="D93:D94" si="78">+E93+F93+G93+H93</f>
        <v>-249565.80000000002</v>
      </c>
      <c r="E93" s="79">
        <f>+'Հավելված N 7'!I53+'Հավելված N 7'!I57</f>
        <v>-249565.80000000002</v>
      </c>
      <c r="F93" s="79"/>
      <c r="G93" s="79"/>
      <c r="H93" s="80"/>
    </row>
    <row r="94" spans="1:8" s="81" customFormat="1">
      <c r="A94" s="310"/>
      <c r="B94" s="310"/>
      <c r="C94" s="77" t="s">
        <v>172</v>
      </c>
      <c r="D94" s="78">
        <f t="shared" si="78"/>
        <v>-549549.6</v>
      </c>
      <c r="E94" s="79">
        <f>+'Հավելված N 7'!I55+'Հավելված N 7'!I58</f>
        <v>-549549.6</v>
      </c>
      <c r="F94" s="79"/>
      <c r="G94" s="79"/>
      <c r="H94" s="80"/>
    </row>
    <row r="95" spans="1:8" s="81" customFormat="1">
      <c r="A95" s="311"/>
      <c r="B95" s="311"/>
      <c r="C95" s="77" t="s">
        <v>173</v>
      </c>
      <c r="D95" s="78">
        <f t="shared" ref="D95" si="79">+E95+F95+G95+H95</f>
        <v>-240150.9</v>
      </c>
      <c r="E95" s="79">
        <f>+'Հավելված N 7'!I54+'Հավելված N 7'!I59</f>
        <v>-240150.9</v>
      </c>
      <c r="F95" s="79"/>
      <c r="G95" s="79"/>
      <c r="H95" s="80"/>
    </row>
    <row r="96" spans="1:8" s="76" customFormat="1">
      <c r="A96" s="72"/>
      <c r="B96" s="72"/>
      <c r="C96" s="49" t="s">
        <v>97</v>
      </c>
      <c r="D96" s="74">
        <f>SUM(E96:H96)</f>
        <v>7500</v>
      </c>
      <c r="E96" s="75">
        <f>+E97</f>
        <v>0</v>
      </c>
      <c r="F96" s="75">
        <f t="shared" ref="F96:F98" si="80">+F97</f>
        <v>0</v>
      </c>
      <c r="G96" s="75">
        <f t="shared" ref="G96:G98" si="81">+G97</f>
        <v>7500</v>
      </c>
      <c r="H96" s="75">
        <f t="shared" ref="H96:H98" si="82">+H97</f>
        <v>0</v>
      </c>
    </row>
    <row r="97" spans="1:8" s="81" customFormat="1">
      <c r="A97" s="181"/>
      <c r="B97" s="181"/>
      <c r="C97" s="77" t="s">
        <v>138</v>
      </c>
      <c r="D97" s="78">
        <f t="shared" ref="D97" si="83">+E97+F97+G97+H97</f>
        <v>7500</v>
      </c>
      <c r="E97" s="79"/>
      <c r="F97" s="79"/>
      <c r="G97" s="79">
        <f>+'Հավելված N 7'!I63+'Հավելված N 7'!I68</f>
        <v>7500</v>
      </c>
      <c r="H97" s="80"/>
    </row>
    <row r="98" spans="1:8" s="76" customFormat="1">
      <c r="A98" s="72"/>
      <c r="B98" s="72"/>
      <c r="C98" s="49" t="s">
        <v>113</v>
      </c>
      <c r="D98" s="74">
        <f>SUM(E98:H98)</f>
        <v>12000</v>
      </c>
      <c r="E98" s="75">
        <f>+E99</f>
        <v>0</v>
      </c>
      <c r="F98" s="75">
        <f t="shared" si="80"/>
        <v>0</v>
      </c>
      <c r="G98" s="75">
        <f t="shared" si="81"/>
        <v>12000</v>
      </c>
      <c r="H98" s="75">
        <f t="shared" si="82"/>
        <v>0</v>
      </c>
    </row>
    <row r="99" spans="1:8" s="81" customFormat="1">
      <c r="A99" s="181"/>
      <c r="B99" s="181"/>
      <c r="C99" s="77" t="s">
        <v>168</v>
      </c>
      <c r="D99" s="78">
        <f t="shared" ref="D99" si="84">+E99+F99+G99+H99</f>
        <v>12000</v>
      </c>
      <c r="E99" s="79"/>
      <c r="F99" s="79"/>
      <c r="G99" s="79">
        <f>+'Հավելված N 7'!I64</f>
        <v>12000</v>
      </c>
      <c r="H99" s="80"/>
    </row>
  </sheetData>
  <mergeCells count="27">
    <mergeCell ref="E9:H9"/>
    <mergeCell ref="A29:A30"/>
    <mergeCell ref="B29:B30"/>
    <mergeCell ref="F1:H1"/>
    <mergeCell ref="F2:H2"/>
    <mergeCell ref="F3:H3"/>
    <mergeCell ref="A5:H6"/>
    <mergeCell ref="G8:H8"/>
    <mergeCell ref="A9:B9"/>
    <mergeCell ref="D9:D10"/>
    <mergeCell ref="B93:B95"/>
    <mergeCell ref="A93:A95"/>
    <mergeCell ref="B22:B23"/>
    <mergeCell ref="A22:A23"/>
    <mergeCell ref="B42:B43"/>
    <mergeCell ref="A42:A43"/>
    <mergeCell ref="B65:B66"/>
    <mergeCell ref="A65:A66"/>
    <mergeCell ref="B75:B76"/>
    <mergeCell ref="A75:A76"/>
    <mergeCell ref="B78:B79"/>
    <mergeCell ref="A78:A79"/>
    <mergeCell ref="B70:B71"/>
    <mergeCell ref="A70:A71"/>
    <mergeCell ref="A38:A40"/>
    <mergeCell ref="B38:B40"/>
    <mergeCell ref="C9:C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24"/>
  <sheetViews>
    <sheetView topLeftCell="A106" zoomScale="84" zoomScaleNormal="84" workbookViewId="0">
      <selection activeCell="G108" sqref="G108"/>
    </sheetView>
  </sheetViews>
  <sheetFormatPr defaultColWidth="9.140625" defaultRowHeight="17.25"/>
  <cols>
    <col min="1" max="3" width="9.140625" style="36"/>
    <col min="4" max="4" width="54.140625" style="36" customWidth="1"/>
    <col min="5" max="5" width="22.85546875" style="109" customWidth="1"/>
    <col min="6" max="6" width="22.85546875" style="109" bestFit="1" customWidth="1"/>
    <col min="7" max="7" width="22.85546875" style="109" customWidth="1"/>
    <col min="8" max="8" width="22.85546875" style="109" bestFit="1" customWidth="1"/>
    <col min="9" max="9" width="20.7109375" style="36" customWidth="1"/>
    <col min="10" max="10" width="19.28515625" style="36" customWidth="1"/>
    <col min="11" max="11" width="20" style="36" customWidth="1"/>
    <col min="12" max="16384" width="9.140625" style="36"/>
  </cols>
  <sheetData>
    <row r="1" spans="2:8" s="35" customFormat="1" ht="25.5" customHeight="1">
      <c r="E1" s="334"/>
      <c r="F1" s="334"/>
      <c r="G1" s="334" t="s">
        <v>80</v>
      </c>
      <c r="H1" s="334"/>
    </row>
    <row r="2" spans="2:8" ht="17.850000000000001" customHeight="1">
      <c r="D2" s="37"/>
      <c r="E2" s="335" t="s">
        <v>148</v>
      </c>
      <c r="F2" s="335"/>
      <c r="G2" s="335"/>
      <c r="H2" s="335"/>
    </row>
    <row r="3" spans="2:8">
      <c r="D3" s="37"/>
      <c r="E3" s="335"/>
      <c r="F3" s="335"/>
      <c r="G3" s="335" t="s">
        <v>20</v>
      </c>
      <c r="H3" s="335"/>
    </row>
    <row r="4" spans="2:8" ht="13.7" customHeight="1">
      <c r="D4" s="37"/>
      <c r="E4" s="101"/>
      <c r="F4" s="101"/>
      <c r="G4" s="101"/>
      <c r="H4" s="101"/>
    </row>
    <row r="5" spans="2:8" ht="13.7" customHeight="1">
      <c r="D5" s="37"/>
      <c r="E5" s="101"/>
      <c r="F5" s="101"/>
      <c r="G5" s="101"/>
      <c r="H5" s="101"/>
    </row>
    <row r="6" spans="2:8" ht="85.7" customHeight="1">
      <c r="B6" s="336" t="s">
        <v>149</v>
      </c>
      <c r="C6" s="336"/>
      <c r="D6" s="336"/>
      <c r="E6" s="336"/>
      <c r="F6" s="336"/>
      <c r="G6" s="336"/>
      <c r="H6" s="336"/>
    </row>
    <row r="8" spans="2:8">
      <c r="E8" s="102"/>
      <c r="F8" s="102"/>
      <c r="G8" s="102"/>
      <c r="H8" s="102" t="s">
        <v>9</v>
      </c>
    </row>
    <row r="9" spans="2:8" ht="41.65" customHeight="1">
      <c r="B9" s="323" t="s">
        <v>33</v>
      </c>
      <c r="C9" s="324"/>
      <c r="D9" s="305" t="s">
        <v>34</v>
      </c>
      <c r="E9" s="337" t="s">
        <v>53</v>
      </c>
      <c r="F9" s="338"/>
      <c r="G9" s="338"/>
      <c r="H9" s="339"/>
    </row>
    <row r="10" spans="2:8" ht="88.5" customHeight="1">
      <c r="B10" s="26" t="s">
        <v>14</v>
      </c>
      <c r="C10" s="26" t="s">
        <v>15</v>
      </c>
      <c r="D10" s="306"/>
      <c r="E10" s="103" t="s">
        <v>46</v>
      </c>
      <c r="F10" s="103" t="s">
        <v>45</v>
      </c>
      <c r="G10" s="103" t="s">
        <v>2</v>
      </c>
      <c r="H10" s="103" t="s">
        <v>3</v>
      </c>
    </row>
    <row r="11" spans="2:8" ht="51.75">
      <c r="B11" s="26"/>
      <c r="C11" s="26"/>
      <c r="D11" s="38" t="s">
        <v>17</v>
      </c>
      <c r="E11" s="30">
        <f>+E13+E19+E28+E39+E56+E59+E71+E97+E103+E122</f>
        <v>1.7462298274040222E-10</v>
      </c>
      <c r="F11" s="30">
        <f t="shared" ref="F11:H11" si="0">+F13+F19+F28+F39+F56+F59+F71+F97+F103+F122</f>
        <v>0</v>
      </c>
      <c r="G11" s="30">
        <f t="shared" si="0"/>
        <v>0</v>
      </c>
      <c r="H11" s="30">
        <f t="shared" si="0"/>
        <v>0</v>
      </c>
    </row>
    <row r="12" spans="2:8">
      <c r="B12" s="26"/>
      <c r="C12" s="26"/>
      <c r="D12" s="39" t="s">
        <v>43</v>
      </c>
      <c r="E12" s="110"/>
      <c r="F12" s="110"/>
      <c r="G12" s="110"/>
      <c r="H12" s="110"/>
    </row>
    <row r="13" spans="2:8" s="127" customFormat="1" ht="51.75">
      <c r="B13" s="28">
        <v>1163</v>
      </c>
      <c r="C13" s="28">
        <v>12001</v>
      </c>
      <c r="D13" s="42" t="s">
        <v>182</v>
      </c>
      <c r="E13" s="108">
        <f>+E15</f>
        <v>-63849.100000000006</v>
      </c>
      <c r="F13" s="108">
        <f t="shared" ref="F13:H13" si="1">+F15</f>
        <v>-224033.4</v>
      </c>
      <c r="G13" s="108">
        <f t="shared" si="1"/>
        <v>-472624.1</v>
      </c>
      <c r="H13" s="108">
        <f t="shared" si="1"/>
        <v>-264524.40000000002</v>
      </c>
    </row>
    <row r="14" spans="2:8" s="127" customFormat="1">
      <c r="B14" s="93"/>
      <c r="C14" s="93"/>
      <c r="D14" s="213" t="s">
        <v>16</v>
      </c>
      <c r="E14" s="104"/>
      <c r="F14" s="104"/>
      <c r="G14" s="104"/>
      <c r="H14" s="104"/>
    </row>
    <row r="15" spans="2:8" s="127" customFormat="1">
      <c r="B15" s="94"/>
      <c r="C15" s="94"/>
      <c r="D15" s="40" t="s">
        <v>105</v>
      </c>
      <c r="E15" s="105">
        <f>+E17</f>
        <v>-63849.100000000006</v>
      </c>
      <c r="F15" s="105">
        <f t="shared" ref="F15:H15" si="2">+F17</f>
        <v>-224033.4</v>
      </c>
      <c r="G15" s="105">
        <f t="shared" si="2"/>
        <v>-472624.1</v>
      </c>
      <c r="H15" s="105">
        <f t="shared" si="2"/>
        <v>-264524.40000000002</v>
      </c>
    </row>
    <row r="16" spans="2:8" s="127" customFormat="1">
      <c r="B16" s="94"/>
      <c r="C16" s="94"/>
      <c r="D16" s="214" t="s">
        <v>44</v>
      </c>
      <c r="E16" s="215"/>
      <c r="F16" s="215"/>
      <c r="G16" s="215"/>
      <c r="H16" s="215"/>
    </row>
    <row r="17" spans="2:8" s="127" customFormat="1">
      <c r="B17" s="94"/>
      <c r="C17" s="94"/>
      <c r="D17" s="49" t="s">
        <v>86</v>
      </c>
      <c r="E17" s="128">
        <f>+E18</f>
        <v>-63849.100000000006</v>
      </c>
      <c r="F17" s="128">
        <f t="shared" ref="F17:H17" si="3">+F18</f>
        <v>-224033.4</v>
      </c>
      <c r="G17" s="128">
        <f t="shared" si="3"/>
        <v>-472624.1</v>
      </c>
      <c r="H17" s="128">
        <f t="shared" si="3"/>
        <v>-264524.40000000002</v>
      </c>
    </row>
    <row r="18" spans="2:8" s="127" customFormat="1" ht="34.5">
      <c r="B18" s="221"/>
      <c r="C18" s="221"/>
      <c r="D18" s="46" t="str">
        <f>+'Հավելված N 3'!C18</f>
        <v xml:space="preserve">Արթուր Ալեքսանյանի անվան նոր սպորտային համալիր </v>
      </c>
      <c r="E18" s="217">
        <f>-61066.8-2105.5-676.8</f>
        <v>-63849.100000000006</v>
      </c>
      <c r="F18" s="217">
        <f>-215686.4-6316.4-2030.6</f>
        <v>-224033.4</v>
      </c>
      <c r="G18" s="217">
        <f>-453875.7-14738.3-4010.1</f>
        <v>-472624.1</v>
      </c>
      <c r="H18" s="217">
        <f>+'Հավելված N 3'!D18</f>
        <v>-264524.40000000002</v>
      </c>
    </row>
    <row r="19" spans="2:8" s="127" customFormat="1">
      <c r="B19" s="28">
        <v>1163</v>
      </c>
      <c r="C19" s="28">
        <v>32001</v>
      </c>
      <c r="D19" s="42" t="s">
        <v>87</v>
      </c>
      <c r="E19" s="108">
        <f>+E21</f>
        <v>69042.8</v>
      </c>
      <c r="F19" s="108">
        <f t="shared" ref="F19:H19" si="4">+F21</f>
        <v>163085.29999999999</v>
      </c>
      <c r="G19" s="108">
        <f t="shared" si="4"/>
        <v>298681.8</v>
      </c>
      <c r="H19" s="108">
        <f t="shared" si="4"/>
        <v>298681.8</v>
      </c>
    </row>
    <row r="20" spans="2:8" s="127" customFormat="1">
      <c r="B20" s="93"/>
      <c r="C20" s="93"/>
      <c r="D20" s="213" t="s">
        <v>16</v>
      </c>
      <c r="E20" s="104"/>
      <c r="F20" s="104"/>
      <c r="G20" s="104"/>
      <c r="H20" s="104"/>
    </row>
    <row r="21" spans="2:8" s="127" customFormat="1">
      <c r="B21" s="94"/>
      <c r="C21" s="94"/>
      <c r="D21" s="40" t="s">
        <v>105</v>
      </c>
      <c r="E21" s="105">
        <f>+E23+E26</f>
        <v>69042.8</v>
      </c>
      <c r="F21" s="105">
        <f t="shared" ref="F21:H21" si="5">+F23+F26</f>
        <v>163085.29999999999</v>
      </c>
      <c r="G21" s="105">
        <f t="shared" si="5"/>
        <v>298681.8</v>
      </c>
      <c r="H21" s="105">
        <f t="shared" si="5"/>
        <v>298681.8</v>
      </c>
    </row>
    <row r="22" spans="2:8" s="127" customFormat="1">
      <c r="B22" s="94"/>
      <c r="C22" s="94"/>
      <c r="D22" s="214" t="s">
        <v>44</v>
      </c>
      <c r="E22" s="215"/>
      <c r="F22" s="215"/>
      <c r="G22" s="215"/>
      <c r="H22" s="215"/>
    </row>
    <row r="23" spans="2:8" s="127" customFormat="1">
      <c r="B23" s="94"/>
      <c r="C23" s="94"/>
      <c r="D23" s="49" t="s">
        <v>114</v>
      </c>
      <c r="E23" s="128">
        <f>+E24+E25</f>
        <v>67798.3</v>
      </c>
      <c r="F23" s="128">
        <f t="shared" ref="F23:H23" si="6">+F24+F25</f>
        <v>161840.79999999999</v>
      </c>
      <c r="G23" s="128">
        <f t="shared" si="6"/>
        <v>297437.3</v>
      </c>
      <c r="H23" s="128">
        <f t="shared" si="6"/>
        <v>297437.3</v>
      </c>
    </row>
    <row r="24" spans="2:8" s="127" customFormat="1" ht="86.25">
      <c r="B24" s="327"/>
      <c r="C24" s="327"/>
      <c r="D24" s="46" t="str">
        <f>+'Հավելված N 3'!C22</f>
        <v>Հեծանվային սպորտի և Հրանտ Շահինյանի անվան  սպորտային, գեղարվեստական մարմնամարզության  և ակրոբատիկայի օլիմպիական մանկապատանեկան մարզադպրոցներ</v>
      </c>
      <c r="E24" s="217">
        <f>65265.1+1976.5+556.7</f>
        <v>67798.3</v>
      </c>
      <c r="F24" s="217">
        <f>130530.3+3953.1+1113.4</f>
        <v>135596.79999999999</v>
      </c>
      <c r="G24" s="217">
        <f>+H24</f>
        <v>271193.3</v>
      </c>
      <c r="H24" s="217">
        <f>+'Հավելված N 3'!D22</f>
        <v>271193.3</v>
      </c>
    </row>
    <row r="25" spans="2:8" s="127" customFormat="1">
      <c r="B25" s="329"/>
      <c r="C25" s="329"/>
      <c r="D25" s="46" t="str">
        <f>+'Հավելված N 3'!C23</f>
        <v>Արթուր Աբրահամի անվան մարզահամալիր</v>
      </c>
      <c r="E25" s="217">
        <v>0</v>
      </c>
      <c r="F25" s="217">
        <f>+H25</f>
        <v>26244</v>
      </c>
      <c r="G25" s="217">
        <f>+H25</f>
        <v>26244</v>
      </c>
      <c r="H25" s="217">
        <f>+'Հավելված N 3'!D23</f>
        <v>26244</v>
      </c>
    </row>
    <row r="26" spans="2:8" s="127" customFormat="1">
      <c r="B26" s="94"/>
      <c r="C26" s="94"/>
      <c r="D26" s="49" t="s">
        <v>113</v>
      </c>
      <c r="E26" s="128">
        <f>+E27</f>
        <v>1244.5</v>
      </c>
      <c r="F26" s="128">
        <f t="shared" ref="F26:H26" si="7">+F27</f>
        <v>1244.5</v>
      </c>
      <c r="G26" s="128">
        <f t="shared" si="7"/>
        <v>1244.5</v>
      </c>
      <c r="H26" s="128">
        <f t="shared" si="7"/>
        <v>1244.5</v>
      </c>
    </row>
    <row r="27" spans="2:8" s="127" customFormat="1" ht="34.5">
      <c r="B27" s="212"/>
      <c r="C27" s="212"/>
      <c r="D27" s="46" t="str">
        <f>+'Հավելված N 3'!C25</f>
        <v>Աճարկուտ բնակավայրում մեկցանցանի բասկետբոլի դաշտի կառուցում</v>
      </c>
      <c r="E27" s="217">
        <f>+H27</f>
        <v>1244.5</v>
      </c>
      <c r="F27" s="217">
        <f>+H27</f>
        <v>1244.5</v>
      </c>
      <c r="G27" s="217">
        <f>+H27</f>
        <v>1244.5</v>
      </c>
      <c r="H27" s="217">
        <f>+'Հավելված N 3'!D25</f>
        <v>1244.5</v>
      </c>
    </row>
    <row r="28" spans="2:8" s="209" customFormat="1" ht="51.75">
      <c r="B28" s="149">
        <v>1183</v>
      </c>
      <c r="C28" s="149">
        <v>32007</v>
      </c>
      <c r="D28" s="150" t="s">
        <v>116</v>
      </c>
      <c r="E28" s="108">
        <f>+E30</f>
        <v>2679.5</v>
      </c>
      <c r="F28" s="108">
        <f t="shared" ref="F28:H28" si="8">+F30</f>
        <v>3159.5</v>
      </c>
      <c r="G28" s="108">
        <f t="shared" si="8"/>
        <v>3159.5</v>
      </c>
      <c r="H28" s="108">
        <f t="shared" si="8"/>
        <v>3159.5</v>
      </c>
    </row>
    <row r="29" spans="2:8" s="209" customFormat="1">
      <c r="B29" s="93"/>
      <c r="C29" s="93"/>
      <c r="D29" s="213" t="s">
        <v>16</v>
      </c>
      <c r="E29" s="104"/>
      <c r="F29" s="104"/>
      <c r="G29" s="104"/>
      <c r="H29" s="104"/>
    </row>
    <row r="30" spans="2:8" s="209" customFormat="1">
      <c r="B30" s="94"/>
      <c r="C30" s="94"/>
      <c r="D30" s="40" t="s">
        <v>105</v>
      </c>
      <c r="E30" s="105">
        <f>+E32+E35+E37</f>
        <v>2679.5</v>
      </c>
      <c r="F30" s="105">
        <f t="shared" ref="F30:H30" si="9">+F32+F35+F37</f>
        <v>3159.5</v>
      </c>
      <c r="G30" s="105">
        <f t="shared" si="9"/>
        <v>3159.5</v>
      </c>
      <c r="H30" s="105">
        <f t="shared" si="9"/>
        <v>3159.5</v>
      </c>
    </row>
    <row r="31" spans="2:8" s="209" customFormat="1">
      <c r="B31" s="94"/>
      <c r="C31" s="94"/>
      <c r="D31" s="214" t="s">
        <v>44</v>
      </c>
      <c r="E31" s="215"/>
      <c r="F31" s="215"/>
      <c r="G31" s="215"/>
      <c r="H31" s="215"/>
    </row>
    <row r="32" spans="2:8" s="127" customFormat="1">
      <c r="B32" s="94"/>
      <c r="C32" s="94"/>
      <c r="D32" s="49" t="s">
        <v>114</v>
      </c>
      <c r="E32" s="128">
        <f>+E33+E34</f>
        <v>1097.9000000000001</v>
      </c>
      <c r="F32" s="128">
        <f t="shared" ref="F32:H32" si="10">+F33+F34</f>
        <v>1097.9000000000001</v>
      </c>
      <c r="G32" s="128">
        <f t="shared" si="10"/>
        <v>1097.9000000000001</v>
      </c>
      <c r="H32" s="128">
        <f t="shared" si="10"/>
        <v>1097.9000000000001</v>
      </c>
    </row>
    <row r="33" spans="2:8" s="127" customFormat="1" ht="34.5">
      <c r="B33" s="327"/>
      <c r="C33" s="327"/>
      <c r="D33" s="46" t="str">
        <f>+'Հավելված N 3'!C29</f>
        <v>«Երևանի Միքայել Նալբանդյանի անվան հ.33 հիմնական դպրոց» ՊՈԱԿ</v>
      </c>
      <c r="E33" s="217">
        <f>+H33</f>
        <v>630.20000000000005</v>
      </c>
      <c r="F33" s="217">
        <f>+H33</f>
        <v>630.20000000000005</v>
      </c>
      <c r="G33" s="217">
        <f>+H33</f>
        <v>630.20000000000005</v>
      </c>
      <c r="H33" s="217">
        <f>+'Հավելված N 3'!D29</f>
        <v>630.20000000000005</v>
      </c>
    </row>
    <row r="34" spans="2:8" s="127" customFormat="1" ht="34.5">
      <c r="B34" s="328"/>
      <c r="C34" s="328"/>
      <c r="D34" s="46" t="str">
        <f>+'Հավելված N 3'!C30</f>
        <v>«Երևանի Ս. Խանզադյանի անվան հ. 184 ավագ դպրոց» ՊՈԱԿ</v>
      </c>
      <c r="E34" s="217">
        <f t="shared" ref="E34" si="11">+H34</f>
        <v>467.7</v>
      </c>
      <c r="F34" s="217">
        <f t="shared" ref="F34" si="12">+H34</f>
        <v>467.7</v>
      </c>
      <c r="G34" s="217">
        <f t="shared" ref="G34" si="13">+H34</f>
        <v>467.7</v>
      </c>
      <c r="H34" s="217">
        <f>+'Հավելված N 3'!D30</f>
        <v>467.7</v>
      </c>
    </row>
    <row r="35" spans="2:8" s="127" customFormat="1">
      <c r="B35" s="94"/>
      <c r="C35" s="94"/>
      <c r="D35" s="49" t="s">
        <v>48</v>
      </c>
      <c r="E35" s="128">
        <f>+E36</f>
        <v>0</v>
      </c>
      <c r="F35" s="128">
        <f t="shared" ref="F35" si="14">+F36</f>
        <v>480</v>
      </c>
      <c r="G35" s="128">
        <f t="shared" ref="G35" si="15">+G36</f>
        <v>480</v>
      </c>
      <c r="H35" s="128">
        <f t="shared" ref="H35" si="16">+H36</f>
        <v>480</v>
      </c>
    </row>
    <row r="36" spans="2:8" s="127" customFormat="1">
      <c r="B36" s="158"/>
      <c r="C36" s="158"/>
      <c r="D36" s="46" t="str">
        <f>+'Հավելված N 3'!C32</f>
        <v>«Մրգաստանի միջնակարգ դպրոց» ՊՈԱԿ</v>
      </c>
      <c r="E36" s="217">
        <v>0</v>
      </c>
      <c r="F36" s="217">
        <f>+H36</f>
        <v>480</v>
      </c>
      <c r="G36" s="217">
        <f>+H36</f>
        <v>480</v>
      </c>
      <c r="H36" s="217">
        <f>+'Հավելված N 3'!D32</f>
        <v>480</v>
      </c>
    </row>
    <row r="37" spans="2:8" s="127" customFormat="1">
      <c r="B37" s="94"/>
      <c r="C37" s="94"/>
      <c r="D37" s="49" t="s">
        <v>109</v>
      </c>
      <c r="E37" s="128">
        <f>+E38</f>
        <v>1581.6000000000001</v>
      </c>
      <c r="F37" s="128">
        <f t="shared" ref="F37:H37" si="17">+F38</f>
        <v>1581.6000000000001</v>
      </c>
      <c r="G37" s="128">
        <f t="shared" si="17"/>
        <v>1581.6000000000001</v>
      </c>
      <c r="H37" s="128">
        <f t="shared" si="17"/>
        <v>1581.6000000000001</v>
      </c>
    </row>
    <row r="38" spans="2:8" s="127" customFormat="1" ht="34.5">
      <c r="B38" s="158"/>
      <c r="C38" s="158"/>
      <c r="D38" s="46" t="str">
        <f>+'Հավելված N 3'!C34</f>
        <v>ՀՀ Գեղարքունիքի մարզի Գագարինի միջնակարգ դպրոց ՊՈԱԿ</v>
      </c>
      <c r="E38" s="217">
        <f>+H38</f>
        <v>1581.6000000000001</v>
      </c>
      <c r="F38" s="217">
        <f>+H38</f>
        <v>1581.6000000000001</v>
      </c>
      <c r="G38" s="217">
        <f>+H38</f>
        <v>1581.6000000000001</v>
      </c>
      <c r="H38" s="217">
        <f>+'Հավելված N 3'!D34</f>
        <v>1581.6000000000001</v>
      </c>
    </row>
    <row r="39" spans="2:8" s="127" customFormat="1" ht="51.75">
      <c r="B39" s="149">
        <v>1183</v>
      </c>
      <c r="C39" s="149">
        <v>32009</v>
      </c>
      <c r="D39" s="150" t="s">
        <v>117</v>
      </c>
      <c r="E39" s="108">
        <f>+E41</f>
        <v>114062.70000000001</v>
      </c>
      <c r="F39" s="108">
        <f t="shared" ref="F39:H39" si="18">+F41</f>
        <v>232156.2</v>
      </c>
      <c r="G39" s="108">
        <f t="shared" si="18"/>
        <v>232156.2</v>
      </c>
      <c r="H39" s="108">
        <f t="shared" si="18"/>
        <v>232156.2</v>
      </c>
    </row>
    <row r="40" spans="2:8" s="127" customFormat="1">
      <c r="B40" s="93"/>
      <c r="C40" s="93"/>
      <c r="D40" s="213" t="s">
        <v>16</v>
      </c>
      <c r="E40" s="104"/>
      <c r="F40" s="104"/>
      <c r="G40" s="104"/>
      <c r="H40" s="104"/>
    </row>
    <row r="41" spans="2:8" s="127" customFormat="1">
      <c r="B41" s="94"/>
      <c r="C41" s="94"/>
      <c r="D41" s="40" t="s">
        <v>105</v>
      </c>
      <c r="E41" s="105">
        <f>+E43+E47+E50+E52+E54</f>
        <v>114062.70000000001</v>
      </c>
      <c r="F41" s="105">
        <f t="shared" ref="F41:H41" si="19">+F43+F47+F50+F52+F54</f>
        <v>232156.2</v>
      </c>
      <c r="G41" s="105">
        <f t="shared" si="19"/>
        <v>232156.2</v>
      </c>
      <c r="H41" s="105">
        <f t="shared" si="19"/>
        <v>232156.2</v>
      </c>
    </row>
    <row r="42" spans="2:8" s="127" customFormat="1">
      <c r="B42" s="94"/>
      <c r="C42" s="94"/>
      <c r="D42" s="214" t="s">
        <v>44</v>
      </c>
      <c r="E42" s="215"/>
      <c r="F42" s="215"/>
      <c r="G42" s="215"/>
      <c r="H42" s="215"/>
    </row>
    <row r="43" spans="2:8" s="127" customFormat="1">
      <c r="B43" s="94"/>
      <c r="C43" s="94"/>
      <c r="D43" s="49" t="s">
        <v>114</v>
      </c>
      <c r="E43" s="128">
        <f>+E44+E45+E46</f>
        <v>69689.200000000012</v>
      </c>
      <c r="F43" s="128">
        <f t="shared" ref="F43:H43" si="20">+F44+F45+F46</f>
        <v>136356</v>
      </c>
      <c r="G43" s="128">
        <f t="shared" si="20"/>
        <v>136356</v>
      </c>
      <c r="H43" s="128">
        <f t="shared" si="20"/>
        <v>136356</v>
      </c>
    </row>
    <row r="44" spans="2:8" s="127" customFormat="1" ht="34.5">
      <c r="B44" s="332"/>
      <c r="C44" s="332"/>
      <c r="D44" s="46" t="str">
        <f>+'Հավելված N 3'!C38</f>
        <v>«Երևանի Մ. Սարյանի անվան հ. 86 հիմնական դպրոց» ՊՈԱԿ</v>
      </c>
      <c r="E44" s="217">
        <f>+H44</f>
        <v>2022.1</v>
      </c>
      <c r="F44" s="217">
        <f>+H44</f>
        <v>2022.1</v>
      </c>
      <c r="G44" s="217">
        <f>+H44</f>
        <v>2022.1</v>
      </c>
      <c r="H44" s="217">
        <f>+'Հավելված N 3'!D38</f>
        <v>2022.1</v>
      </c>
    </row>
    <row r="45" spans="2:8" s="127" customFormat="1" ht="34.5">
      <c r="B45" s="333"/>
      <c r="C45" s="333"/>
      <c r="D45" s="46" t="str">
        <f>+'Հավելված N 3'!C39</f>
        <v>«Երևանի Վ. Թեքեյանի անվան թիվ 92 հիմնական դպրոց» ՊՈԱԿ</v>
      </c>
      <c r="E45" s="222">
        <f>63716.4+2381.8+568.8</f>
        <v>66667</v>
      </c>
      <c r="F45" s="222">
        <f>+H45</f>
        <v>133333.79999999999</v>
      </c>
      <c r="G45" s="222">
        <f t="shared" ref="G45:G46" si="21">+H45</f>
        <v>133333.79999999999</v>
      </c>
      <c r="H45" s="217">
        <f>+'Հավելված N 3'!D39</f>
        <v>133333.79999999999</v>
      </c>
    </row>
    <row r="46" spans="2:8" s="127" customFormat="1">
      <c r="B46" s="333"/>
      <c r="C46" s="333"/>
      <c r="D46" s="46" t="str">
        <f>+'Հավելված N 3'!C40</f>
        <v>«Երևանի հ. 37 հիմնական դպրոց» ՊՈԱԿ</v>
      </c>
      <c r="E46" s="222">
        <f>+H46</f>
        <v>1000.0999999999999</v>
      </c>
      <c r="F46" s="222">
        <f>+H46</f>
        <v>1000.0999999999999</v>
      </c>
      <c r="G46" s="222">
        <f t="shared" si="21"/>
        <v>1000.0999999999999</v>
      </c>
      <c r="H46" s="217">
        <f>+'Հավելված N 3'!D40</f>
        <v>1000.0999999999999</v>
      </c>
    </row>
    <row r="47" spans="2:8" s="127" customFormat="1">
      <c r="B47" s="94"/>
      <c r="C47" s="94"/>
      <c r="D47" s="49" t="s">
        <v>109</v>
      </c>
      <c r="E47" s="128">
        <f>+E48+E49</f>
        <v>1936.6000000000001</v>
      </c>
      <c r="F47" s="128">
        <f t="shared" ref="F47:H47" si="22">+F48+F49</f>
        <v>1936.6000000000001</v>
      </c>
      <c r="G47" s="128">
        <f t="shared" si="22"/>
        <v>1936.6000000000001</v>
      </c>
      <c r="H47" s="128">
        <f t="shared" si="22"/>
        <v>1936.6000000000001</v>
      </c>
    </row>
    <row r="48" spans="2:8" s="127" customFormat="1">
      <c r="B48" s="327"/>
      <c r="C48" s="327"/>
      <c r="D48" s="46" t="str">
        <f>+'Հավելված N 3'!C42</f>
        <v>«Ակունք գյուղի միջնակարգ դպրոց» ՊՈԱԿ</v>
      </c>
      <c r="E48" s="217">
        <f>+H48</f>
        <v>777.7</v>
      </c>
      <c r="F48" s="217">
        <f>+H48</f>
        <v>777.7</v>
      </c>
      <c r="G48" s="217">
        <f>+H48</f>
        <v>777.7</v>
      </c>
      <c r="H48" s="217">
        <f>+'Հավելված N 3'!D42</f>
        <v>777.7</v>
      </c>
    </row>
    <row r="49" spans="2:8" s="127" customFormat="1" ht="34.5">
      <c r="B49" s="329"/>
      <c r="C49" s="329"/>
      <c r="D49" s="46" t="str">
        <f>+'Հավելված N 3'!C43</f>
        <v>«Վ․ Գետաշենի թիվ 2 միջնակարգ դպրոց» ՊՈԱԿ</v>
      </c>
      <c r="E49" s="217">
        <f>+H49</f>
        <v>1158.9000000000001</v>
      </c>
      <c r="F49" s="217">
        <f>+H49</f>
        <v>1158.9000000000001</v>
      </c>
      <c r="G49" s="217">
        <f>+H49</f>
        <v>1158.9000000000001</v>
      </c>
      <c r="H49" s="217">
        <f>+'Հավելված N 3'!D43</f>
        <v>1158.9000000000001</v>
      </c>
    </row>
    <row r="50" spans="2:8" s="127" customFormat="1">
      <c r="B50" s="94"/>
      <c r="C50" s="94"/>
      <c r="D50" s="49" t="s">
        <v>110</v>
      </c>
      <c r="E50" s="128">
        <f>+E51</f>
        <v>42436.9</v>
      </c>
      <c r="F50" s="128">
        <f t="shared" ref="F50:H50" si="23">+F51</f>
        <v>84873.600000000006</v>
      </c>
      <c r="G50" s="128">
        <f t="shared" si="23"/>
        <v>84873.600000000006</v>
      </c>
      <c r="H50" s="128">
        <f t="shared" si="23"/>
        <v>84873.600000000006</v>
      </c>
    </row>
    <row r="51" spans="2:8" s="127" customFormat="1">
      <c r="B51" s="212"/>
      <c r="C51" s="212"/>
      <c r="D51" s="46" t="str">
        <f>+'Հավելված N 3'!C45</f>
        <v>«Ալավերդու թիվ 12 հիմնական դպրոց» ՊՈԱԿ</v>
      </c>
      <c r="E51" s="217">
        <f>40208.4+1775.3+453.2</f>
        <v>42436.9</v>
      </c>
      <c r="F51" s="217">
        <f>+H51</f>
        <v>84873.600000000006</v>
      </c>
      <c r="G51" s="217">
        <f>+H51</f>
        <v>84873.600000000006</v>
      </c>
      <c r="H51" s="217">
        <f>+'Հավելված N 3'!D45</f>
        <v>84873.600000000006</v>
      </c>
    </row>
    <row r="52" spans="2:8" s="127" customFormat="1">
      <c r="B52" s="94"/>
      <c r="C52" s="94"/>
      <c r="D52" s="49" t="s">
        <v>86</v>
      </c>
      <c r="E52" s="128">
        <f>+E53</f>
        <v>0</v>
      </c>
      <c r="F52" s="128">
        <f t="shared" ref="F52" si="24">+F53</f>
        <v>3960</v>
      </c>
      <c r="G52" s="128">
        <f t="shared" ref="G52" si="25">+G53</f>
        <v>3960</v>
      </c>
      <c r="H52" s="128">
        <f t="shared" ref="H52" si="26">+H53</f>
        <v>3960</v>
      </c>
    </row>
    <row r="53" spans="2:8" s="127" customFormat="1" ht="34.5">
      <c r="B53" s="212"/>
      <c r="C53" s="212"/>
      <c r="D53" s="46" t="str">
        <f>+'Հավելված N 3'!C47</f>
        <v>«ք. Մարալիկի թիվ 1 միջնակարգ դպրոց» ՊՈԱԿ</v>
      </c>
      <c r="E53" s="217">
        <v>0</v>
      </c>
      <c r="F53" s="217">
        <f>+H53</f>
        <v>3960</v>
      </c>
      <c r="G53" s="217">
        <f>+H53</f>
        <v>3960</v>
      </c>
      <c r="H53" s="217">
        <f>+'Հավելված N 3'!D47</f>
        <v>3960</v>
      </c>
    </row>
    <row r="54" spans="2:8" s="127" customFormat="1">
      <c r="B54" s="94"/>
      <c r="C54" s="94"/>
      <c r="D54" s="49" t="s">
        <v>157</v>
      </c>
      <c r="E54" s="128">
        <f>+E55</f>
        <v>0</v>
      </c>
      <c r="F54" s="128">
        <f t="shared" ref="F54" si="27">+F55</f>
        <v>5030</v>
      </c>
      <c r="G54" s="128">
        <f t="shared" ref="G54" si="28">+G55</f>
        <v>5030</v>
      </c>
      <c r="H54" s="128">
        <f t="shared" ref="H54" si="29">+H55</f>
        <v>5030</v>
      </c>
    </row>
    <row r="55" spans="2:8" s="127" customFormat="1" ht="34.5">
      <c r="B55" s="212"/>
      <c r="C55" s="212"/>
      <c r="D55" s="46" t="str">
        <f>+'Հավելված N 3'!C49</f>
        <v>«ք. Գորիսի Ա.Բակունցի անվան թիվ 1 ավագ դպրոց»ՊՈԱԿ</v>
      </c>
      <c r="E55" s="217">
        <v>0</v>
      </c>
      <c r="F55" s="217">
        <f>+H55</f>
        <v>5030</v>
      </c>
      <c r="G55" s="217">
        <f>+H55</f>
        <v>5030</v>
      </c>
      <c r="H55" s="217">
        <f>+'Հավելված N 3'!D49</f>
        <v>5030</v>
      </c>
    </row>
    <row r="56" spans="2:8" s="127" customFormat="1" ht="34.5">
      <c r="B56" s="28">
        <v>1192</v>
      </c>
      <c r="C56" s="28">
        <v>32007</v>
      </c>
      <c r="D56" s="185" t="s">
        <v>197</v>
      </c>
      <c r="E56" s="108">
        <f>+E58</f>
        <v>10000</v>
      </c>
      <c r="F56" s="108">
        <f t="shared" ref="F56:H56" si="30">+F58</f>
        <v>0</v>
      </c>
      <c r="G56" s="108">
        <f t="shared" si="30"/>
        <v>0</v>
      </c>
      <c r="H56" s="108">
        <f t="shared" si="30"/>
        <v>0</v>
      </c>
    </row>
    <row r="57" spans="2:8" s="127" customFormat="1">
      <c r="B57" s="93"/>
      <c r="C57" s="93"/>
      <c r="D57" s="213" t="s">
        <v>16</v>
      </c>
      <c r="E57" s="104"/>
      <c r="F57" s="104"/>
      <c r="G57" s="104"/>
      <c r="H57" s="104"/>
    </row>
    <row r="58" spans="2:8" s="127" customFormat="1" ht="34.5">
      <c r="B58" s="94"/>
      <c r="C58" s="94"/>
      <c r="D58" s="40" t="s">
        <v>12</v>
      </c>
      <c r="E58" s="105">
        <v>10000</v>
      </c>
      <c r="F58" s="105">
        <v>0</v>
      </c>
      <c r="G58" s="105">
        <v>0</v>
      </c>
      <c r="H58" s="105">
        <v>0</v>
      </c>
    </row>
    <row r="59" spans="2:8">
      <c r="B59" s="28">
        <v>1236</v>
      </c>
      <c r="C59" s="28">
        <v>32001</v>
      </c>
      <c r="D59" s="42" t="s">
        <v>85</v>
      </c>
      <c r="E59" s="108">
        <f>+E61</f>
        <v>226678.9</v>
      </c>
      <c r="F59" s="108">
        <f t="shared" ref="F59:H59" si="31">+F61</f>
        <v>287782.8</v>
      </c>
      <c r="G59" s="108">
        <f t="shared" si="31"/>
        <v>433427.89999999997</v>
      </c>
      <c r="H59" s="108">
        <f t="shared" si="31"/>
        <v>433427.89999999997</v>
      </c>
    </row>
    <row r="60" spans="2:8">
      <c r="B60" s="93"/>
      <c r="C60" s="93"/>
      <c r="D60" s="34" t="s">
        <v>16</v>
      </c>
      <c r="E60" s="104"/>
      <c r="F60" s="104"/>
      <c r="G60" s="104"/>
      <c r="H60" s="104"/>
    </row>
    <row r="61" spans="2:8">
      <c r="B61" s="94"/>
      <c r="C61" s="94"/>
      <c r="D61" s="40" t="s">
        <v>105</v>
      </c>
      <c r="E61" s="105">
        <f>+E63+E65+E67+E69</f>
        <v>226678.9</v>
      </c>
      <c r="F61" s="105">
        <f t="shared" ref="F61:H61" si="32">+F63+F65+F67+F69</f>
        <v>287782.8</v>
      </c>
      <c r="G61" s="105">
        <f t="shared" si="32"/>
        <v>433427.89999999997</v>
      </c>
      <c r="H61" s="105">
        <f t="shared" si="32"/>
        <v>433427.89999999997</v>
      </c>
    </row>
    <row r="62" spans="2:8">
      <c r="B62" s="94"/>
      <c r="C62" s="94"/>
      <c r="D62" s="41" t="s">
        <v>44</v>
      </c>
      <c r="E62" s="106"/>
      <c r="F62" s="106"/>
      <c r="G62" s="106"/>
      <c r="H62" s="106"/>
    </row>
    <row r="63" spans="2:8">
      <c r="B63" s="94"/>
      <c r="C63" s="94"/>
      <c r="D63" s="49" t="s">
        <v>48</v>
      </c>
      <c r="E63" s="95">
        <f>SUM(E64:E64)</f>
        <v>277</v>
      </c>
      <c r="F63" s="95">
        <f>SUM(F64:F64)</f>
        <v>277</v>
      </c>
      <c r="G63" s="95">
        <f>SUM(G64:G64)</f>
        <v>277</v>
      </c>
      <c r="H63" s="95">
        <f>SUM(H64:H64)</f>
        <v>277</v>
      </c>
    </row>
    <row r="64" spans="2:8" ht="35.65" customHeight="1">
      <c r="B64" s="157"/>
      <c r="C64" s="157"/>
      <c r="D64" s="46" t="str">
        <f>+'Հավելված N 3'!C53</f>
        <v>ՀՀ Արմավիրի մարզի Այգևան համայնքում «Մոդուլային» տիպի 144 տեղ հզորությամբ մսուր-մանկապարտեզ</v>
      </c>
      <c r="E64" s="107">
        <f>+H64</f>
        <v>277</v>
      </c>
      <c r="F64" s="107">
        <f>+H64</f>
        <v>277</v>
      </c>
      <c r="G64" s="107">
        <f>+H64</f>
        <v>277</v>
      </c>
      <c r="H64" s="107">
        <f>+'Հավելված N 3'!D53</f>
        <v>277</v>
      </c>
    </row>
    <row r="65" spans="2:8">
      <c r="B65" s="94"/>
      <c r="C65" s="94"/>
      <c r="D65" s="49" t="s">
        <v>109</v>
      </c>
      <c r="E65" s="95">
        <f>SUM(E66:E66)</f>
        <v>5149.8</v>
      </c>
      <c r="F65" s="95">
        <f>SUM(F66:F66)</f>
        <v>5149.8</v>
      </c>
      <c r="G65" s="95">
        <f>SUM(G66:G66)</f>
        <v>5149.8</v>
      </c>
      <c r="H65" s="95">
        <f>SUM(H66:H66)</f>
        <v>5149.8</v>
      </c>
    </row>
    <row r="66" spans="2:8" ht="35.65" customHeight="1">
      <c r="B66" s="157"/>
      <c r="C66" s="157"/>
      <c r="D66" s="46" t="str">
        <f>+'Հավելված N 3'!C55</f>
        <v xml:space="preserve">ՀՀ Գեղարքունիքի մարզի Աստղաձոր համայնքում «Մոդուլային» տիպի 144 տեղ հզորությամբ մսուր-մանկապարտեզ </v>
      </c>
      <c r="E66" s="107">
        <f>+H66</f>
        <v>5149.8</v>
      </c>
      <c r="F66" s="107">
        <f>+H66</f>
        <v>5149.8</v>
      </c>
      <c r="G66" s="107">
        <f>+H66</f>
        <v>5149.8</v>
      </c>
      <c r="H66" s="107">
        <f>+'Հավելված N 3'!D55</f>
        <v>5149.8</v>
      </c>
    </row>
    <row r="67" spans="2:8">
      <c r="B67" s="94"/>
      <c r="C67" s="94"/>
      <c r="D67" s="49" t="s">
        <v>110</v>
      </c>
      <c r="E67" s="95">
        <f>SUM(E68:E68)</f>
        <v>1169.5</v>
      </c>
      <c r="F67" s="95">
        <f>SUM(F68:F68)</f>
        <v>1169.5</v>
      </c>
      <c r="G67" s="95">
        <f>SUM(G68:G68)</f>
        <v>1169.5</v>
      </c>
      <c r="H67" s="95">
        <f>SUM(H68:H68)</f>
        <v>1169.5</v>
      </c>
    </row>
    <row r="68" spans="2:8" ht="35.65" customHeight="1">
      <c r="B68" s="157"/>
      <c r="C68" s="157"/>
      <c r="D68" s="46" t="str">
        <f>+'Հավելված N 3'!C57</f>
        <v xml:space="preserve">ՀՀ Լոռու մարզի Սպիտակ համայնքում «Մոդուլային» տիպի 144 տեղ հզորությամբ մսուր-մանկապարտեզ </v>
      </c>
      <c r="E68" s="107">
        <f>+H68</f>
        <v>1169.5</v>
      </c>
      <c r="F68" s="107">
        <f>+H68</f>
        <v>1169.5</v>
      </c>
      <c r="G68" s="107">
        <f>+H68</f>
        <v>1169.5</v>
      </c>
      <c r="H68" s="107">
        <f>+'Հավելված N 3'!D57</f>
        <v>1169.5</v>
      </c>
    </row>
    <row r="69" spans="2:8">
      <c r="B69" s="94"/>
      <c r="C69" s="94"/>
      <c r="D69" s="49" t="s">
        <v>113</v>
      </c>
      <c r="E69" s="95">
        <f>SUM(E70:E70)</f>
        <v>220082.6</v>
      </c>
      <c r="F69" s="95">
        <f>SUM(F70:F70)</f>
        <v>281186.5</v>
      </c>
      <c r="G69" s="95">
        <f>SUM(G70:G70)</f>
        <v>426831.6</v>
      </c>
      <c r="H69" s="95">
        <f>SUM(H70:H70)</f>
        <v>426831.6</v>
      </c>
    </row>
    <row r="70" spans="2:8" ht="35.65" customHeight="1">
      <c r="B70" s="157"/>
      <c r="C70" s="157"/>
      <c r="D70" s="46" t="str">
        <f>+'Հավելված N 3'!C59</f>
        <v>ՀՀ Տավուշի մարզի Այրում համայնքի Բագրատաշեն բնակավայրում «Մոդուլային» տիպի 144 տեղ հզորությամբ մսուր-մանկապարտեզ</v>
      </c>
      <c r="E70" s="107">
        <f>213253.4+4498.2+2331</f>
        <v>220082.6</v>
      </c>
      <c r="F70" s="107">
        <f>272465.6+5744.2+2976.7</f>
        <v>281186.5</v>
      </c>
      <c r="G70" s="107">
        <f>+H70</f>
        <v>426831.6</v>
      </c>
      <c r="H70" s="107">
        <f>+'Հավելված N 3'!D59</f>
        <v>426831.6</v>
      </c>
    </row>
    <row r="71" spans="2:8" s="127" customFormat="1" ht="34.5">
      <c r="B71" s="28">
        <v>1236</v>
      </c>
      <c r="C71" s="28">
        <v>32003</v>
      </c>
      <c r="D71" s="42" t="s">
        <v>95</v>
      </c>
      <c r="E71" s="108">
        <f>+E73</f>
        <v>14972.700000000041</v>
      </c>
      <c r="F71" s="108">
        <f t="shared" ref="F71:H71" si="33">+F73</f>
        <v>174094.30000000005</v>
      </c>
      <c r="G71" s="108">
        <f t="shared" si="33"/>
        <v>319266.70000000007</v>
      </c>
      <c r="H71" s="108">
        <f t="shared" si="33"/>
        <v>279975.30000000005</v>
      </c>
    </row>
    <row r="72" spans="2:8" s="127" customFormat="1">
      <c r="B72" s="93"/>
      <c r="C72" s="93"/>
      <c r="D72" s="213" t="s">
        <v>16</v>
      </c>
      <c r="E72" s="104"/>
      <c r="F72" s="104"/>
      <c r="G72" s="104"/>
      <c r="H72" s="104"/>
    </row>
    <row r="73" spans="2:8" s="127" customFormat="1">
      <c r="B73" s="94"/>
      <c r="C73" s="94"/>
      <c r="D73" s="40" t="s">
        <v>105</v>
      </c>
      <c r="E73" s="105">
        <f>+E75+E78+E81+E83+E86+E88+E94</f>
        <v>14972.700000000041</v>
      </c>
      <c r="F73" s="105">
        <f t="shared" ref="F73:H73" si="34">+F75+F78+F81+F83+F86+F88+F94</f>
        <v>174094.30000000005</v>
      </c>
      <c r="G73" s="105">
        <f t="shared" si="34"/>
        <v>319266.70000000007</v>
      </c>
      <c r="H73" s="105">
        <f t="shared" si="34"/>
        <v>279975.30000000005</v>
      </c>
    </row>
    <row r="74" spans="2:8" s="127" customFormat="1">
      <c r="B74" s="94"/>
      <c r="C74" s="94"/>
      <c r="D74" s="214" t="s">
        <v>44</v>
      </c>
      <c r="E74" s="215"/>
      <c r="F74" s="215"/>
      <c r="G74" s="215"/>
      <c r="H74" s="215"/>
    </row>
    <row r="75" spans="2:8" s="127" customFormat="1">
      <c r="B75" s="94"/>
      <c r="C75" s="94"/>
      <c r="D75" s="49" t="s">
        <v>62</v>
      </c>
      <c r="E75" s="128">
        <f>+E76+E77</f>
        <v>256751.7</v>
      </c>
      <c r="F75" s="128">
        <f t="shared" ref="F75:H75" si="35">+F76+F77</f>
        <v>440091.5</v>
      </c>
      <c r="G75" s="128">
        <f>+G76+G77</f>
        <v>364483.7</v>
      </c>
      <c r="H75" s="128">
        <f t="shared" si="35"/>
        <v>198084.2</v>
      </c>
    </row>
    <row r="76" spans="2:8" s="127" customFormat="1">
      <c r="B76" s="325"/>
      <c r="C76" s="325"/>
      <c r="D76" s="148" t="str">
        <f>+'Հավելված N 3'!C63</f>
        <v>«Լուսակնի միջնակարգ դպրոց» ՊՈԱԿ</v>
      </c>
      <c r="E76" s="210">
        <f>47505.3+1732.5+283.3</f>
        <v>49521.100000000006</v>
      </c>
      <c r="F76" s="210">
        <f>156409+5400+950</f>
        <v>162759</v>
      </c>
      <c r="G76" s="210">
        <f>+H76</f>
        <v>198084.2</v>
      </c>
      <c r="H76" s="210">
        <f>+'Հավելված N 3'!D63</f>
        <v>198084.2</v>
      </c>
    </row>
    <row r="77" spans="2:8" s="127" customFormat="1">
      <c r="B77" s="326"/>
      <c r="C77" s="326"/>
      <c r="D77" s="148" t="s">
        <v>305</v>
      </c>
      <c r="E77" s="210">
        <f>200000+7230.6</f>
        <v>207230.6</v>
      </c>
      <c r="F77" s="210">
        <f>267655.9+9676.6</f>
        <v>277332.5</v>
      </c>
      <c r="G77" s="210">
        <f>160593.5+5806</f>
        <v>166399.5</v>
      </c>
      <c r="H77" s="210">
        <v>0</v>
      </c>
    </row>
    <row r="78" spans="2:8" s="127" customFormat="1">
      <c r="B78" s="94"/>
      <c r="C78" s="94"/>
      <c r="D78" s="49" t="s">
        <v>96</v>
      </c>
      <c r="E78" s="128">
        <f>+E79+E80</f>
        <v>748.3</v>
      </c>
      <c r="F78" s="128">
        <f t="shared" ref="F78:H78" si="36">+F79+F80</f>
        <v>8248.2999999999993</v>
      </c>
      <c r="G78" s="128">
        <f t="shared" si="36"/>
        <v>8248.2999999999993</v>
      </c>
      <c r="H78" s="128">
        <f t="shared" si="36"/>
        <v>8248.2999999999993</v>
      </c>
    </row>
    <row r="79" spans="2:8" s="127" customFormat="1">
      <c r="B79" s="325"/>
      <c r="C79" s="325"/>
      <c r="D79" s="148" t="str">
        <f>+'Հավելված N 3'!C65</f>
        <v>«Նիզամիի միջնակարգ դպրոց» ՊՈԱԿ</v>
      </c>
      <c r="E79" s="210">
        <v>0</v>
      </c>
      <c r="F79" s="210">
        <f>+H79</f>
        <v>7500</v>
      </c>
      <c r="G79" s="210">
        <f>+H79</f>
        <v>7500</v>
      </c>
      <c r="H79" s="210">
        <f>+'Հավելված N 3'!D65</f>
        <v>7500</v>
      </c>
    </row>
    <row r="80" spans="2:8" s="127" customFormat="1">
      <c r="B80" s="326"/>
      <c r="C80" s="326"/>
      <c r="D80" s="148" t="str">
        <f>+'Հավելված N 3'!C66</f>
        <v>«Մասիսի թիվ 5 ավագ դպրոց» ՊՈԱԿ</v>
      </c>
      <c r="E80" s="210">
        <f>+H80</f>
        <v>748.3</v>
      </c>
      <c r="F80" s="210">
        <f>+H80</f>
        <v>748.3</v>
      </c>
      <c r="G80" s="210">
        <f>+H80</f>
        <v>748.3</v>
      </c>
      <c r="H80" s="210">
        <f>+'Հավելված N 3'!D66</f>
        <v>748.3</v>
      </c>
    </row>
    <row r="81" spans="2:8" s="127" customFormat="1">
      <c r="B81" s="94"/>
      <c r="C81" s="94"/>
      <c r="D81" s="49" t="s">
        <v>48</v>
      </c>
      <c r="E81" s="128">
        <f>SUM(E82:E82)</f>
        <v>0</v>
      </c>
      <c r="F81" s="128">
        <f>SUM(F82:F82)</f>
        <v>7500</v>
      </c>
      <c r="G81" s="128">
        <f>SUM(G82:G82)</f>
        <v>7500</v>
      </c>
      <c r="H81" s="128">
        <f>SUM(H82:H82)</f>
        <v>7500</v>
      </c>
    </row>
    <row r="82" spans="2:8" s="127" customFormat="1" ht="34.5">
      <c r="B82" s="211"/>
      <c r="C82" s="211"/>
      <c r="D82" s="148" t="str">
        <f>+'Հավելված N 3'!C68</f>
        <v>«Հայկաշենի Գ. Կիրակոսյանի անվան միջնակարգ դպրոց» ՊՈԱԿ</v>
      </c>
      <c r="E82" s="210">
        <v>0</v>
      </c>
      <c r="F82" s="210">
        <f>+H82</f>
        <v>7500</v>
      </c>
      <c r="G82" s="210">
        <f>+H82</f>
        <v>7500</v>
      </c>
      <c r="H82" s="210">
        <f>+'Հավելված N 3'!D68</f>
        <v>7500</v>
      </c>
    </row>
    <row r="83" spans="2:8" s="127" customFormat="1">
      <c r="B83" s="94"/>
      <c r="C83" s="94"/>
      <c r="D83" s="49" t="s">
        <v>110</v>
      </c>
      <c r="E83" s="128">
        <f>SUM(E84:E85)</f>
        <v>1397.3999999999999</v>
      </c>
      <c r="F83" s="128">
        <f>SUM(F84:F85)</f>
        <v>75933.599999999991</v>
      </c>
      <c r="G83" s="128">
        <f>SUM(G84:G85)</f>
        <v>150469.59999999998</v>
      </c>
      <c r="H83" s="128">
        <f>SUM(H84:H85)</f>
        <v>150469.59999999998</v>
      </c>
    </row>
    <row r="84" spans="2:8" s="127" customFormat="1" ht="34.5">
      <c r="B84" s="330"/>
      <c r="C84" s="330"/>
      <c r="D84" s="148" t="str">
        <f>+'Հավելված N 3'!C70</f>
        <v>«Լեռնահովիտ գյուղի Վ. Բարեղամյանի անվան հիմնական դպրոց» ՊՈԱԿ</v>
      </c>
      <c r="E84" s="210">
        <v>0</v>
      </c>
      <c r="F84" s="210">
        <f>71116.5+2807.2+612.5</f>
        <v>74536.2</v>
      </c>
      <c r="G84" s="210">
        <f t="shared" ref="G84:G96" si="37">+H84</f>
        <v>149072.19999999998</v>
      </c>
      <c r="H84" s="210">
        <f>+'Հավելված N 3'!D70</f>
        <v>149072.19999999998</v>
      </c>
    </row>
    <row r="85" spans="2:8" s="127" customFormat="1">
      <c r="B85" s="331"/>
      <c r="C85" s="331"/>
      <c r="D85" s="148" t="str">
        <f>+'Հավելված N 3'!C71</f>
        <v>«Ջիլի միջնակարգ դպրոց» ՊՈԱԿ</v>
      </c>
      <c r="E85" s="210">
        <f t="shared" ref="E85" si="38">+H85</f>
        <v>1397.3999999999999</v>
      </c>
      <c r="F85" s="210">
        <f t="shared" ref="F85" si="39">+H85</f>
        <v>1397.3999999999999</v>
      </c>
      <c r="G85" s="210">
        <f t="shared" si="37"/>
        <v>1397.3999999999999</v>
      </c>
      <c r="H85" s="210">
        <f>+'Հավելված N 3'!D71</f>
        <v>1397.3999999999999</v>
      </c>
    </row>
    <row r="86" spans="2:8" s="127" customFormat="1">
      <c r="B86" s="94"/>
      <c r="C86" s="94"/>
      <c r="D86" s="49" t="s">
        <v>86</v>
      </c>
      <c r="E86" s="128">
        <f>SUM(E87:E87)</f>
        <v>190</v>
      </c>
      <c r="F86" s="128">
        <f>SUM(F87:F87)</f>
        <v>190</v>
      </c>
      <c r="G86" s="128">
        <f>SUM(G87:G87)</f>
        <v>190</v>
      </c>
      <c r="H86" s="128">
        <f>SUM(H87:H87)</f>
        <v>190</v>
      </c>
    </row>
    <row r="87" spans="2:8" s="127" customFormat="1">
      <c r="B87" s="158"/>
      <c r="C87" s="158"/>
      <c r="D87" s="148" t="str">
        <f>+'Հավելված N 3'!C73</f>
        <v>«Արեգնադեմի միջնակարգ դպրոց» ՊՈԱԿ</v>
      </c>
      <c r="E87" s="210">
        <f t="shared" ref="E87" si="40">+H87</f>
        <v>190</v>
      </c>
      <c r="F87" s="210">
        <f t="shared" ref="F87" si="41">+H87</f>
        <v>190</v>
      </c>
      <c r="G87" s="210">
        <f t="shared" si="37"/>
        <v>190</v>
      </c>
      <c r="H87" s="210">
        <f>+'Հավելված N 3'!D73</f>
        <v>190</v>
      </c>
    </row>
    <row r="88" spans="2:8" s="127" customFormat="1">
      <c r="B88" s="94"/>
      <c r="C88" s="94"/>
      <c r="D88" s="49" t="s">
        <v>157</v>
      </c>
      <c r="E88" s="128">
        <f>+E89+E90+E91+E92+E93</f>
        <v>-105818.7</v>
      </c>
      <c r="F88" s="128">
        <f t="shared" ref="F88:H88" si="42">+F89+F90+F91+F92+F93</f>
        <v>-76465.799999999974</v>
      </c>
      <c r="G88" s="128">
        <f>+G89+G90+G91+G92+G93</f>
        <v>70187.200000000041</v>
      </c>
      <c r="H88" s="128">
        <f t="shared" si="42"/>
        <v>197541.70000000004</v>
      </c>
    </row>
    <row r="89" spans="2:8" s="127" customFormat="1">
      <c r="B89" s="327"/>
      <c r="C89" s="327"/>
      <c r="D89" s="148" t="str">
        <f>+'Հավելված N 3'!C75</f>
        <v>«Վաղատինի միջնակարգ դպրոց» ՊՈԱԿ</v>
      </c>
      <c r="E89" s="210">
        <f t="shared" ref="E89" si="43">+H89</f>
        <v>291.7</v>
      </c>
      <c r="F89" s="210">
        <f t="shared" ref="F89" si="44">+H89</f>
        <v>291.7</v>
      </c>
      <c r="G89" s="210">
        <f t="shared" si="37"/>
        <v>291.7</v>
      </c>
      <c r="H89" s="210">
        <f>+'Հավելված N 3'!D75</f>
        <v>291.7</v>
      </c>
    </row>
    <row r="90" spans="2:8" s="127" customFormat="1">
      <c r="B90" s="328"/>
      <c r="C90" s="328"/>
      <c r="D90" s="148" t="str">
        <f>+'Հավելված N 3'!C76</f>
        <v>«Դարբասի միջնակարգ դպրոց» ՊՈԱԿ</v>
      </c>
      <c r="E90" s="210">
        <f>47405.3+1633.5+273.8</f>
        <v>49312.600000000006</v>
      </c>
      <c r="F90" s="210">
        <f>126414.2+4355.8+730.1</f>
        <v>131500.1</v>
      </c>
      <c r="G90" s="210">
        <f t="shared" ref="G90" si="45">+H90</f>
        <v>197250.00000000003</v>
      </c>
      <c r="H90" s="210">
        <f>+'Հավելված N 3'!D76</f>
        <v>197250.00000000003</v>
      </c>
    </row>
    <row r="91" spans="2:8" s="127" customFormat="1">
      <c r="B91" s="328"/>
      <c r="C91" s="328"/>
      <c r="D91" s="148" t="s">
        <v>306</v>
      </c>
      <c r="E91" s="210">
        <f>-50000-1807.6</f>
        <v>-51807.6</v>
      </c>
      <c r="F91" s="210">
        <f>-67000-2419.2</f>
        <v>-69419.199999999997</v>
      </c>
      <c r="G91" s="210">
        <f>-41000-1451.5</f>
        <v>-42451.5</v>
      </c>
      <c r="H91" s="210">
        <v>0</v>
      </c>
    </row>
    <row r="92" spans="2:8" s="127" customFormat="1">
      <c r="B92" s="328"/>
      <c r="C92" s="328"/>
      <c r="D92" s="148" t="s">
        <v>307</v>
      </c>
      <c r="E92" s="210">
        <f>-50000-1807.6</f>
        <v>-51807.6</v>
      </c>
      <c r="F92" s="210">
        <f>-67000-2419.2</f>
        <v>-69419.199999999997</v>
      </c>
      <c r="G92" s="210">
        <f>-41000-1451.5</f>
        <v>-42451.5</v>
      </c>
      <c r="H92" s="210">
        <v>0</v>
      </c>
    </row>
    <row r="93" spans="2:8" s="127" customFormat="1">
      <c r="B93" s="329"/>
      <c r="C93" s="329"/>
      <c r="D93" s="148" t="s">
        <v>308</v>
      </c>
      <c r="E93" s="210">
        <f>-50000-1807.8</f>
        <v>-51807.8</v>
      </c>
      <c r="F93" s="210">
        <f>-67000-2419.2</f>
        <v>-69419.199999999997</v>
      </c>
      <c r="G93" s="210">
        <f>-41000-1451.5</f>
        <v>-42451.5</v>
      </c>
      <c r="H93" s="210">
        <v>0</v>
      </c>
    </row>
    <row r="94" spans="2:8" s="127" customFormat="1">
      <c r="B94" s="94"/>
      <c r="C94" s="94"/>
      <c r="D94" s="49" t="s">
        <v>113</v>
      </c>
      <c r="E94" s="128">
        <f>+E95+E96</f>
        <v>-138295.99999999997</v>
      </c>
      <c r="F94" s="128">
        <f t="shared" ref="F94:H94" si="46">+F95+F96</f>
        <v>-281403.3</v>
      </c>
      <c r="G94" s="128">
        <f t="shared" si="46"/>
        <v>-281812.09999999998</v>
      </c>
      <c r="H94" s="128">
        <f t="shared" si="46"/>
        <v>-282058.5</v>
      </c>
    </row>
    <row r="95" spans="2:8" s="127" customFormat="1">
      <c r="B95" s="327"/>
      <c r="C95" s="327"/>
      <c r="D95" s="148" t="str">
        <f>+'Հավելված N 3'!C78</f>
        <v>«Դովեղի միջնակարգ դպրոց» ՊՈԱԿ</v>
      </c>
      <c r="E95" s="210">
        <f>-135974.9-1912.3-408.8</f>
        <v>-138295.99999999997</v>
      </c>
      <c r="F95" s="210">
        <f>-285000-2881.3-1022</f>
        <v>-288903.3</v>
      </c>
      <c r="G95" s="210">
        <f>-285000-2881.3-1430.8</f>
        <v>-289312.09999999998</v>
      </c>
      <c r="H95" s="210">
        <f>+'Հավելված N 3'!D78</f>
        <v>-289558.5</v>
      </c>
    </row>
    <row r="96" spans="2:8" s="127" customFormat="1">
      <c r="B96" s="329"/>
      <c r="C96" s="329"/>
      <c r="D96" s="148" t="str">
        <f>+'Հավելված N 3'!C79</f>
        <v>«Նավուրի միջնակարգ դպրոց» ՊՈԱԿ</v>
      </c>
      <c r="E96" s="210">
        <v>0</v>
      </c>
      <c r="F96" s="210">
        <f t="shared" ref="F96" si="47">+H96</f>
        <v>7500</v>
      </c>
      <c r="G96" s="210">
        <f t="shared" si="37"/>
        <v>7500</v>
      </c>
      <c r="H96" s="210">
        <f>+'Հավելված N 3'!D79</f>
        <v>7500</v>
      </c>
    </row>
    <row r="97" spans="2:8" s="209" customFormat="1" ht="34.5">
      <c r="B97" s="28">
        <v>1236</v>
      </c>
      <c r="C97" s="28">
        <v>32004</v>
      </c>
      <c r="D97" s="185" t="s">
        <v>164</v>
      </c>
      <c r="E97" s="108">
        <f>+E99</f>
        <v>0</v>
      </c>
      <c r="F97" s="108">
        <f t="shared" ref="F97:H97" si="48">+F99</f>
        <v>14390</v>
      </c>
      <c r="G97" s="108">
        <f t="shared" si="48"/>
        <v>14390</v>
      </c>
      <c r="H97" s="108">
        <f t="shared" si="48"/>
        <v>14390</v>
      </c>
    </row>
    <row r="98" spans="2:8" s="209" customFormat="1">
      <c r="B98" s="93"/>
      <c r="C98" s="93"/>
      <c r="D98" s="213" t="s">
        <v>16</v>
      </c>
      <c r="E98" s="104"/>
      <c r="F98" s="104"/>
      <c r="G98" s="104"/>
      <c r="H98" s="104"/>
    </row>
    <row r="99" spans="2:8" s="209" customFormat="1">
      <c r="B99" s="94"/>
      <c r="C99" s="94"/>
      <c r="D99" s="40" t="s">
        <v>105</v>
      </c>
      <c r="E99" s="105">
        <f>+E101</f>
        <v>0</v>
      </c>
      <c r="F99" s="105">
        <f t="shared" ref="F99:H99" si="49">+F101</f>
        <v>14390</v>
      </c>
      <c r="G99" s="105">
        <f t="shared" si="49"/>
        <v>14390</v>
      </c>
      <c r="H99" s="105">
        <f t="shared" si="49"/>
        <v>14390</v>
      </c>
    </row>
    <row r="100" spans="2:8" s="209" customFormat="1">
      <c r="B100" s="94"/>
      <c r="C100" s="94"/>
      <c r="D100" s="214" t="s">
        <v>44</v>
      </c>
      <c r="E100" s="215"/>
      <c r="F100" s="215"/>
      <c r="G100" s="215"/>
      <c r="H100" s="215"/>
    </row>
    <row r="101" spans="2:8" s="209" customFormat="1">
      <c r="B101" s="145"/>
      <c r="C101" s="145"/>
      <c r="D101" s="49" t="s">
        <v>114</v>
      </c>
      <c r="E101" s="128">
        <f>+E102</f>
        <v>0</v>
      </c>
      <c r="F101" s="128">
        <f t="shared" ref="F101:H101" si="50">+F102</f>
        <v>14390</v>
      </c>
      <c r="G101" s="128">
        <f t="shared" si="50"/>
        <v>14390</v>
      </c>
      <c r="H101" s="128">
        <f t="shared" si="50"/>
        <v>14390</v>
      </c>
    </row>
    <row r="102" spans="2:8" s="209" customFormat="1">
      <c r="B102" s="152"/>
      <c r="C102" s="152"/>
      <c r="D102" s="148" t="str">
        <f>+'Հավելված N 3'!C83</f>
        <v>«Երևանի թիվ 22 հիմնական դպրոց» ՊՈԱԿ</v>
      </c>
      <c r="E102" s="210">
        <v>0</v>
      </c>
      <c r="F102" s="210">
        <f t="shared" ref="F102" si="51">+H102</f>
        <v>14390</v>
      </c>
      <c r="G102" s="210">
        <f t="shared" ref="G102" si="52">+H102</f>
        <v>14390</v>
      </c>
      <c r="H102" s="210">
        <f>+'Հավելված N 3'!D83</f>
        <v>14390</v>
      </c>
    </row>
    <row r="103" spans="2:8" s="127" customFormat="1">
      <c r="B103" s="28">
        <v>1236</v>
      </c>
      <c r="C103" s="28">
        <v>32005</v>
      </c>
      <c r="D103" s="185" t="s">
        <v>98</v>
      </c>
      <c r="E103" s="108">
        <f>+E105</f>
        <v>-363587.49999999994</v>
      </c>
      <c r="F103" s="108">
        <f t="shared" ref="F103:H103" si="53">+F105</f>
        <v>-650634.70000000007</v>
      </c>
      <c r="G103" s="108">
        <f t="shared" si="53"/>
        <v>-828458</v>
      </c>
      <c r="H103" s="108">
        <f t="shared" si="53"/>
        <v>-997266.3</v>
      </c>
    </row>
    <row r="104" spans="2:8" s="127" customFormat="1">
      <c r="B104" s="93"/>
      <c r="C104" s="93"/>
      <c r="D104" s="213" t="s">
        <v>16</v>
      </c>
      <c r="E104" s="104"/>
      <c r="F104" s="104"/>
      <c r="G104" s="104"/>
      <c r="H104" s="104"/>
    </row>
    <row r="105" spans="2:8" s="127" customFormat="1">
      <c r="B105" s="94"/>
      <c r="C105" s="94"/>
      <c r="D105" s="40" t="s">
        <v>105</v>
      </c>
      <c r="E105" s="105">
        <f>+E107+E110+E112+E114+E118+E120</f>
        <v>-363587.49999999994</v>
      </c>
      <c r="F105" s="105">
        <f t="shared" ref="F105:H105" si="54">+F107+F110+F112+F114+F118+F120</f>
        <v>-650634.70000000007</v>
      </c>
      <c r="G105" s="105">
        <f t="shared" si="54"/>
        <v>-828458</v>
      </c>
      <c r="H105" s="105">
        <f t="shared" si="54"/>
        <v>-997266.3</v>
      </c>
    </row>
    <row r="106" spans="2:8" s="127" customFormat="1">
      <c r="B106" s="94"/>
      <c r="C106" s="94"/>
      <c r="D106" s="214" t="s">
        <v>44</v>
      </c>
      <c r="E106" s="215"/>
      <c r="F106" s="215"/>
      <c r="G106" s="215"/>
      <c r="H106" s="215"/>
    </row>
    <row r="107" spans="2:8" s="127" customFormat="1">
      <c r="B107" s="145"/>
      <c r="C107" s="145"/>
      <c r="D107" s="49" t="s">
        <v>62</v>
      </c>
      <c r="E107" s="128">
        <f>+E108+E109</f>
        <v>-51807.6</v>
      </c>
      <c r="F107" s="128">
        <f t="shared" ref="F107:H107" si="55">+F108+F109</f>
        <v>-61574.899999999994</v>
      </c>
      <c r="G107" s="128">
        <f>+G108+G109</f>
        <v>-31545</v>
      </c>
      <c r="H107" s="128">
        <f t="shared" si="55"/>
        <v>7500</v>
      </c>
    </row>
    <row r="108" spans="2:8" s="127" customFormat="1">
      <c r="B108" s="327"/>
      <c r="C108" s="327"/>
      <c r="D108" s="148" t="str">
        <f>+'Հավելված N 3'!C87</f>
        <v>գ․ Հացաշենի մոդուլային կրթահամալիր</v>
      </c>
      <c r="E108" s="210">
        <v>0</v>
      </c>
      <c r="F108" s="210">
        <f t="shared" ref="F108" si="56">+H108</f>
        <v>7500</v>
      </c>
      <c r="G108" s="210">
        <f t="shared" ref="G108:G119" si="57">+H108</f>
        <v>7500</v>
      </c>
      <c r="H108" s="210">
        <f>+'Հավելված N 3'!D87</f>
        <v>7500</v>
      </c>
    </row>
    <row r="109" spans="2:8" s="127" customFormat="1">
      <c r="B109" s="329"/>
      <c r="C109" s="329"/>
      <c r="D109" s="148" t="s">
        <v>309</v>
      </c>
      <c r="E109" s="210">
        <f>-50000-1807.6</f>
        <v>-51807.6</v>
      </c>
      <c r="F109" s="210">
        <f>-66655.7-2419.2</f>
        <v>-69074.899999999994</v>
      </c>
      <c r="G109" s="210">
        <f>-37593.5-1451.5</f>
        <v>-39045</v>
      </c>
      <c r="H109" s="210">
        <v>0</v>
      </c>
    </row>
    <row r="110" spans="2:8" s="127" customFormat="1">
      <c r="B110" s="145"/>
      <c r="C110" s="145"/>
      <c r="D110" s="49" t="s">
        <v>109</v>
      </c>
      <c r="E110" s="128">
        <f>SUM(E111:E111)</f>
        <v>0</v>
      </c>
      <c r="F110" s="128">
        <f>SUM(F111:F111)</f>
        <v>7500</v>
      </c>
      <c r="G110" s="128">
        <f>SUM(G111:G111)</f>
        <v>7500</v>
      </c>
      <c r="H110" s="128">
        <f>SUM(H111:H111)</f>
        <v>7500</v>
      </c>
    </row>
    <row r="111" spans="2:8" s="127" customFormat="1">
      <c r="B111" s="152"/>
      <c r="C111" s="152"/>
      <c r="D111" s="148" t="str">
        <f>+'Հավելված N 3'!C89</f>
        <v>գ․ Արփունքի մոդուլային կրթահամալիր</v>
      </c>
      <c r="E111" s="210">
        <v>0</v>
      </c>
      <c r="F111" s="210">
        <f t="shared" ref="F111" si="58">+H111</f>
        <v>7500</v>
      </c>
      <c r="G111" s="210">
        <f t="shared" si="57"/>
        <v>7500</v>
      </c>
      <c r="H111" s="210">
        <f>+'Հավելված N 3'!D89</f>
        <v>7500</v>
      </c>
    </row>
    <row r="112" spans="2:8" s="127" customFormat="1">
      <c r="B112" s="145"/>
      <c r="C112" s="145"/>
      <c r="D112" s="49" t="s">
        <v>112</v>
      </c>
      <c r="E112" s="128">
        <f>SUM(E113:E113)</f>
        <v>0</v>
      </c>
      <c r="F112" s="128">
        <f>SUM(F113:F113)</f>
        <v>7500</v>
      </c>
      <c r="G112" s="128">
        <f>SUM(G113:G113)</f>
        <v>7500</v>
      </c>
      <c r="H112" s="128">
        <f>SUM(H113:H113)</f>
        <v>7500</v>
      </c>
    </row>
    <row r="113" spans="2:8" s="127" customFormat="1">
      <c r="B113" s="152"/>
      <c r="C113" s="152"/>
      <c r="D113" s="148" t="str">
        <f>+'Հավելված N 3'!C91</f>
        <v>գ․ Նուռնուսի մոդուլային կրթահամալիր</v>
      </c>
      <c r="E113" s="210">
        <v>0</v>
      </c>
      <c r="F113" s="210">
        <f t="shared" ref="F113" si="59">+H113</f>
        <v>7500</v>
      </c>
      <c r="G113" s="210">
        <f t="shared" si="57"/>
        <v>7500</v>
      </c>
      <c r="H113" s="210">
        <f>+'Հավելված N 3'!D91</f>
        <v>7500</v>
      </c>
    </row>
    <row r="114" spans="2:8" s="127" customFormat="1">
      <c r="B114" s="145"/>
      <c r="C114" s="145"/>
      <c r="D114" s="49" t="s">
        <v>157</v>
      </c>
      <c r="E114" s="128">
        <f>+E115+E116+E117</f>
        <v>-311779.89999999997</v>
      </c>
      <c r="F114" s="128">
        <f t="shared" ref="F114:H114" si="60">+F115+F116+F117</f>
        <v>-623559.80000000005</v>
      </c>
      <c r="G114" s="128">
        <f t="shared" si="60"/>
        <v>-831413</v>
      </c>
      <c r="H114" s="128">
        <f t="shared" si="60"/>
        <v>-1039266.3</v>
      </c>
    </row>
    <row r="115" spans="2:8" s="127" customFormat="1">
      <c r="B115" s="327"/>
      <c r="C115" s="327"/>
      <c r="D115" s="148" t="str">
        <f>+'Հավելված N 3'!C93</f>
        <v>Սիսիան համայնքի Գորայքի կրթահամալիր</v>
      </c>
      <c r="E115" s="210">
        <f>-71299.9-3569.8</f>
        <v>-74869.7</v>
      </c>
      <c r="F115" s="210">
        <f>-142600-7139.5</f>
        <v>-149739.5</v>
      </c>
      <c r="G115" s="210">
        <f>-190133.2-9519.4</f>
        <v>-199652.6</v>
      </c>
      <c r="H115" s="210">
        <f>+'Հավելված N 3'!D93</f>
        <v>-249565.80000000002</v>
      </c>
    </row>
    <row r="116" spans="2:8" s="127" customFormat="1">
      <c r="B116" s="328"/>
      <c r="C116" s="328"/>
      <c r="D116" s="148" t="str">
        <f>+'Հավելված N 3'!C94</f>
        <v>Սիսիան համայնքի Ախլաթյանի կրթահամալիր</v>
      </c>
      <c r="E116" s="210">
        <f>-157931.9-6933</f>
        <v>-164864.9</v>
      </c>
      <c r="F116" s="210">
        <f>-315863.8-13866</f>
        <v>-329729.8</v>
      </c>
      <c r="G116" s="210">
        <f>-421151.7-18488</f>
        <v>-439639.7</v>
      </c>
      <c r="H116" s="210">
        <f>+'Հավելված N 3'!D94</f>
        <v>-549549.6</v>
      </c>
    </row>
    <row r="117" spans="2:8" s="127" customFormat="1">
      <c r="B117" s="329"/>
      <c r="C117" s="329"/>
      <c r="D117" s="148" t="str">
        <f>+'Հավելված N 3'!C95</f>
        <v>Տեղ համայնքի Քարաշենի կրթահամալիր</v>
      </c>
      <c r="E117" s="210">
        <f>-68578.8-3466.5</f>
        <v>-72045.3</v>
      </c>
      <c r="F117" s="210">
        <f>-137157.5-6933</f>
        <v>-144090.5</v>
      </c>
      <c r="G117" s="210">
        <f>-182876.7-9244</f>
        <v>-192120.7</v>
      </c>
      <c r="H117" s="210">
        <f>+'Հավելված N 3'!D95</f>
        <v>-240150.9</v>
      </c>
    </row>
    <row r="118" spans="2:8" s="127" customFormat="1">
      <c r="B118" s="145"/>
      <c r="C118" s="145"/>
      <c r="D118" s="49" t="s">
        <v>97</v>
      </c>
      <c r="E118" s="128">
        <f>SUM(E119:E119)</f>
        <v>0</v>
      </c>
      <c r="F118" s="128">
        <f>SUM(F119:F119)</f>
        <v>7500</v>
      </c>
      <c r="G118" s="128">
        <f>SUM(G119:G119)</f>
        <v>7500</v>
      </c>
      <c r="H118" s="128">
        <f>SUM(H119:H119)</f>
        <v>7500</v>
      </c>
    </row>
    <row r="119" spans="2:8" s="127" customFormat="1">
      <c r="B119" s="152"/>
      <c r="C119" s="152"/>
      <c r="D119" s="148" t="str">
        <f>+'Հավելված N 3'!C97</f>
        <v>գ․ Գողթանիկի մոդուլային կրթահամալիր</v>
      </c>
      <c r="E119" s="210">
        <v>0</v>
      </c>
      <c r="F119" s="210">
        <f t="shared" ref="F119" si="61">+H119</f>
        <v>7500</v>
      </c>
      <c r="G119" s="210">
        <f t="shared" si="57"/>
        <v>7500</v>
      </c>
      <c r="H119" s="210">
        <f>+'Հավելված N 3'!D97</f>
        <v>7500</v>
      </c>
    </row>
    <row r="120" spans="2:8" s="127" customFormat="1">
      <c r="B120" s="145"/>
      <c r="C120" s="145"/>
      <c r="D120" s="49" t="s">
        <v>113</v>
      </c>
      <c r="E120" s="128">
        <f>SUM(E121:E121)</f>
        <v>0</v>
      </c>
      <c r="F120" s="128">
        <f>SUM(F121:F121)</f>
        <v>12000</v>
      </c>
      <c r="G120" s="128">
        <f>SUM(G121:G121)</f>
        <v>12000</v>
      </c>
      <c r="H120" s="128">
        <f>SUM(H121:H121)</f>
        <v>12000</v>
      </c>
    </row>
    <row r="121" spans="2:8" s="127" customFormat="1">
      <c r="B121" s="152"/>
      <c r="C121" s="152"/>
      <c r="D121" s="148" t="str">
        <f>+'Հավելված N 3'!C99</f>
        <v>գ․ Գոշի մոդուլային կրթահամալիր</v>
      </c>
      <c r="E121" s="210">
        <v>0</v>
      </c>
      <c r="F121" s="210">
        <f t="shared" ref="F121" si="62">+H121</f>
        <v>12000</v>
      </c>
      <c r="G121" s="210">
        <f t="shared" ref="G121" si="63">+H121</f>
        <v>12000</v>
      </c>
      <c r="H121" s="210">
        <f>+'Հավելված N 3'!D99</f>
        <v>12000</v>
      </c>
    </row>
    <row r="122" spans="2:8" s="127" customFormat="1" ht="51.75">
      <c r="B122" s="28">
        <v>1236</v>
      </c>
      <c r="C122" s="28">
        <v>32006</v>
      </c>
      <c r="D122" s="185" t="s">
        <v>196</v>
      </c>
      <c r="E122" s="108">
        <f>+E124</f>
        <v>-10000</v>
      </c>
      <c r="F122" s="108">
        <f t="shared" ref="F122:H122" si="64">+F124</f>
        <v>0</v>
      </c>
      <c r="G122" s="108">
        <f t="shared" si="64"/>
        <v>0</v>
      </c>
      <c r="H122" s="108">
        <f t="shared" si="64"/>
        <v>0</v>
      </c>
    </row>
    <row r="123" spans="2:8" s="127" customFormat="1">
      <c r="B123" s="93"/>
      <c r="C123" s="93"/>
      <c r="D123" s="213" t="s">
        <v>16</v>
      </c>
      <c r="E123" s="104"/>
      <c r="F123" s="104"/>
      <c r="G123" s="104"/>
      <c r="H123" s="104"/>
    </row>
    <row r="124" spans="2:8" s="127" customFormat="1" ht="34.5">
      <c r="B124" s="94"/>
      <c r="C124" s="94"/>
      <c r="D124" s="40" t="s">
        <v>12</v>
      </c>
      <c r="E124" s="105">
        <v>-10000</v>
      </c>
      <c r="F124" s="105">
        <v>0</v>
      </c>
      <c r="G124" s="105">
        <v>0</v>
      </c>
      <c r="H124" s="105">
        <v>0</v>
      </c>
    </row>
  </sheetData>
  <mergeCells count="31">
    <mergeCell ref="G1:H1"/>
    <mergeCell ref="G3:H3"/>
    <mergeCell ref="B6:H6"/>
    <mergeCell ref="B9:C9"/>
    <mergeCell ref="D9:D10"/>
    <mergeCell ref="E1:F1"/>
    <mergeCell ref="E3:F3"/>
    <mergeCell ref="E9:H9"/>
    <mergeCell ref="E2:H2"/>
    <mergeCell ref="C115:C117"/>
    <mergeCell ref="B115:B117"/>
    <mergeCell ref="C24:C25"/>
    <mergeCell ref="B24:B25"/>
    <mergeCell ref="C48:C49"/>
    <mergeCell ref="B48:B49"/>
    <mergeCell ref="B79:B80"/>
    <mergeCell ref="C79:C80"/>
    <mergeCell ref="C95:C96"/>
    <mergeCell ref="B95:B96"/>
    <mergeCell ref="C84:C85"/>
    <mergeCell ref="B84:B85"/>
    <mergeCell ref="C33:C34"/>
    <mergeCell ref="B33:B34"/>
    <mergeCell ref="B44:B46"/>
    <mergeCell ref="C44:C46"/>
    <mergeCell ref="C76:C77"/>
    <mergeCell ref="B76:B77"/>
    <mergeCell ref="C89:C93"/>
    <mergeCell ref="B89:B93"/>
    <mergeCell ref="C108:C109"/>
    <mergeCell ref="B108:B109"/>
  </mergeCells>
  <pageMargins left="0.25" right="0.25" top="0.75" bottom="0.75" header="0.3" footer="0.3"/>
  <pageSetup paperSize="9" scale="4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zoomScale="70" zoomScaleNormal="70" workbookViewId="0">
      <selection activeCell="E15" sqref="E15:I15"/>
    </sheetView>
  </sheetViews>
  <sheetFormatPr defaultColWidth="8.85546875" defaultRowHeight="17.25"/>
  <cols>
    <col min="1" max="1" width="6.42578125" style="240" bestFit="1" customWidth="1"/>
    <col min="2" max="2" width="9.7109375" style="240" customWidth="1"/>
    <col min="3" max="3" width="13.140625" style="240" customWidth="1"/>
    <col min="4" max="4" width="16.7109375" style="247" customWidth="1"/>
    <col min="5" max="5" width="13.140625" style="240" customWidth="1"/>
    <col min="6" max="6" width="15.42578125" style="240" customWidth="1"/>
    <col min="7" max="7" width="10.42578125" style="240" customWidth="1"/>
    <col min="8" max="8" width="22.5703125" style="240" customWidth="1"/>
    <col min="9" max="9" width="46.28515625" style="240" customWidth="1"/>
    <col min="10" max="13" width="19.42578125" style="240" customWidth="1"/>
    <col min="14" max="16384" width="8.85546875" style="240"/>
  </cols>
  <sheetData>
    <row r="1" spans="1:13" ht="28.5" customHeight="1">
      <c r="D1" s="35"/>
      <c r="E1" s="35"/>
      <c r="F1" s="35"/>
      <c r="G1" s="334"/>
      <c r="H1" s="334"/>
      <c r="J1" s="258"/>
      <c r="K1" s="334" t="s">
        <v>94</v>
      </c>
      <c r="L1" s="334"/>
      <c r="M1" s="334"/>
    </row>
    <row r="2" spans="1:13" ht="17.850000000000001" customHeight="1">
      <c r="D2" s="36"/>
      <c r="E2" s="36"/>
      <c r="F2" s="37"/>
      <c r="H2" s="101"/>
      <c r="I2" s="101"/>
      <c r="J2" s="101"/>
      <c r="K2" s="335" t="s">
        <v>148</v>
      </c>
      <c r="L2" s="335"/>
      <c r="M2" s="335"/>
    </row>
    <row r="3" spans="1:13">
      <c r="D3" s="36"/>
      <c r="E3" s="36"/>
      <c r="F3" s="37"/>
      <c r="G3" s="335"/>
      <c r="H3" s="335"/>
      <c r="J3" s="101"/>
      <c r="K3" s="335" t="s">
        <v>20</v>
      </c>
      <c r="L3" s="335"/>
      <c r="M3" s="335"/>
    </row>
    <row r="4" spans="1:13">
      <c r="D4" s="36"/>
      <c r="E4" s="36"/>
      <c r="F4" s="37"/>
      <c r="G4" s="101"/>
      <c r="H4" s="101"/>
      <c r="I4" s="101"/>
      <c r="J4" s="101"/>
    </row>
    <row r="5" spans="1:13">
      <c r="D5" s="36"/>
      <c r="E5" s="36"/>
      <c r="F5" s="37"/>
      <c r="G5" s="101"/>
      <c r="H5" s="101"/>
      <c r="I5" s="101"/>
      <c r="J5" s="101"/>
    </row>
    <row r="6" spans="1:13">
      <c r="A6" s="336" t="s">
        <v>301</v>
      </c>
      <c r="B6" s="336"/>
      <c r="C6" s="336"/>
      <c r="D6" s="336"/>
      <c r="E6" s="336"/>
      <c r="F6" s="336"/>
      <c r="G6" s="336"/>
      <c r="H6" s="336"/>
      <c r="I6" s="336"/>
      <c r="J6" s="336"/>
      <c r="K6" s="336"/>
      <c r="L6" s="336"/>
      <c r="M6" s="336"/>
    </row>
    <row r="9" spans="1:13" ht="51" customHeight="1">
      <c r="A9" s="269" t="s">
        <v>254</v>
      </c>
      <c r="B9" s="269" t="s">
        <v>255</v>
      </c>
      <c r="C9" s="269"/>
      <c r="D9" s="269" t="s">
        <v>256</v>
      </c>
      <c r="E9" s="269"/>
      <c r="F9" s="269"/>
      <c r="G9" s="269"/>
      <c r="H9" s="269" t="s">
        <v>257</v>
      </c>
      <c r="I9" s="269" t="s">
        <v>258</v>
      </c>
      <c r="J9" s="376" t="s">
        <v>53</v>
      </c>
      <c r="K9" s="376"/>
      <c r="L9" s="376"/>
      <c r="M9" s="376"/>
    </row>
    <row r="10" spans="1:13" ht="51" customHeight="1">
      <c r="A10" s="269"/>
      <c r="B10" s="184" t="s">
        <v>266</v>
      </c>
      <c r="C10" s="184" t="s">
        <v>265</v>
      </c>
      <c r="D10" s="184" t="s">
        <v>259</v>
      </c>
      <c r="E10" s="184" t="s">
        <v>265</v>
      </c>
      <c r="F10" s="184" t="s">
        <v>267</v>
      </c>
      <c r="G10" s="184" t="s">
        <v>260</v>
      </c>
      <c r="H10" s="269"/>
      <c r="I10" s="269"/>
      <c r="J10" s="184" t="s">
        <v>261</v>
      </c>
      <c r="K10" s="184" t="s">
        <v>262</v>
      </c>
      <c r="L10" s="184" t="s">
        <v>263</v>
      </c>
      <c r="M10" s="184" t="s">
        <v>264</v>
      </c>
    </row>
    <row r="11" spans="1:13" s="261" customFormat="1" ht="48.6" customHeight="1">
      <c r="A11" s="370" t="s">
        <v>268</v>
      </c>
      <c r="B11" s="370"/>
      <c r="C11" s="370"/>
      <c r="D11" s="370"/>
      <c r="E11" s="370"/>
      <c r="F11" s="370"/>
      <c r="G11" s="370"/>
      <c r="H11" s="370"/>
      <c r="I11" s="370"/>
      <c r="J11" s="260">
        <f>+J13</f>
        <v>0</v>
      </c>
      <c r="K11" s="260">
        <f t="shared" ref="K11:M11" si="0">+K13</f>
        <v>0</v>
      </c>
      <c r="L11" s="260">
        <f t="shared" si="0"/>
        <v>1.1641532182693481E-10</v>
      </c>
      <c r="M11" s="260">
        <f t="shared" si="0"/>
        <v>0</v>
      </c>
    </row>
    <row r="12" spans="1:13" s="239" customFormat="1">
      <c r="A12" s="371" t="s">
        <v>140</v>
      </c>
      <c r="B12" s="371"/>
      <c r="C12" s="371"/>
      <c r="D12" s="371"/>
      <c r="E12" s="371"/>
      <c r="F12" s="371"/>
      <c r="G12" s="371"/>
      <c r="H12" s="371"/>
      <c r="I12" s="371"/>
      <c r="J12" s="30"/>
      <c r="K12" s="30"/>
      <c r="L12" s="30"/>
      <c r="M12" s="30"/>
    </row>
    <row r="13" spans="1:13" s="251" customFormat="1" ht="30" customHeight="1">
      <c r="A13" s="372" t="s">
        <v>269</v>
      </c>
      <c r="B13" s="372"/>
      <c r="C13" s="372"/>
      <c r="D13" s="372"/>
      <c r="E13" s="372"/>
      <c r="F13" s="372"/>
      <c r="G13" s="372"/>
      <c r="H13" s="372"/>
      <c r="I13" s="372"/>
      <c r="J13" s="259">
        <f>+J14+J27+J40+J46</f>
        <v>0</v>
      </c>
      <c r="K13" s="259">
        <f t="shared" ref="K13:M13" si="1">+K14+K27+K40+K46</f>
        <v>0</v>
      </c>
      <c r="L13" s="259">
        <f t="shared" si="1"/>
        <v>1.1641532182693481E-10</v>
      </c>
      <c r="M13" s="259">
        <f t="shared" si="1"/>
        <v>0</v>
      </c>
    </row>
    <row r="14" spans="1:13">
      <c r="A14" s="343"/>
      <c r="B14" s="254" t="s">
        <v>270</v>
      </c>
      <c r="C14" s="366" t="s">
        <v>271</v>
      </c>
      <c r="D14" s="366"/>
      <c r="E14" s="366"/>
      <c r="F14" s="366"/>
      <c r="G14" s="366"/>
      <c r="H14" s="366"/>
      <c r="I14" s="366"/>
      <c r="J14" s="154">
        <f>+J15+J19</f>
        <v>5193.6999999999971</v>
      </c>
      <c r="K14" s="154">
        <f>+K15+K19</f>
        <v>-60948.100000000006</v>
      </c>
      <c r="L14" s="154">
        <f>+L15+L19</f>
        <v>-173942.3</v>
      </c>
      <c r="M14" s="154">
        <f>+M15+M19</f>
        <v>34157.399999999965</v>
      </c>
    </row>
    <row r="15" spans="1:13" s="241" customFormat="1" ht="33" customHeight="1">
      <c r="A15" s="343"/>
      <c r="B15" s="373"/>
      <c r="C15" s="367"/>
      <c r="D15" s="246" t="s">
        <v>280</v>
      </c>
      <c r="E15" s="366" t="s">
        <v>182</v>
      </c>
      <c r="F15" s="366"/>
      <c r="G15" s="366"/>
      <c r="H15" s="366"/>
      <c r="I15" s="366"/>
      <c r="J15" s="243">
        <f>+'Հավելված N 1'!G17</f>
        <v>-63849.100000000006</v>
      </c>
      <c r="K15" s="243">
        <f>+'Հավելված N 1'!H17</f>
        <v>-224033.4</v>
      </c>
      <c r="L15" s="243">
        <f>+'Հավելված N 1'!I17</f>
        <v>-472624.1</v>
      </c>
      <c r="M15" s="243">
        <f>+'Հավելված N 1'!J17</f>
        <v>-264524.40000000002</v>
      </c>
    </row>
    <row r="16" spans="1:13" ht="33.4" customHeight="1">
      <c r="A16" s="343"/>
      <c r="B16" s="374"/>
      <c r="C16" s="369"/>
      <c r="D16" s="367"/>
      <c r="E16" s="367"/>
      <c r="F16" s="363" t="s">
        <v>272</v>
      </c>
      <c r="G16" s="364"/>
      <c r="H16" s="364"/>
      <c r="I16" s="364"/>
      <c r="J16" s="364"/>
      <c r="K16" s="364"/>
      <c r="L16" s="364"/>
      <c r="M16" s="365"/>
    </row>
    <row r="17" spans="1:13" ht="17.850000000000001" customHeight="1">
      <c r="A17" s="343"/>
      <c r="B17" s="374"/>
      <c r="C17" s="369"/>
      <c r="D17" s="369"/>
      <c r="E17" s="369"/>
      <c r="F17" s="367"/>
      <c r="G17" s="363" t="s">
        <v>273</v>
      </c>
      <c r="H17" s="364"/>
      <c r="I17" s="364"/>
      <c r="J17" s="364"/>
      <c r="K17" s="364"/>
      <c r="L17" s="364"/>
      <c r="M17" s="365"/>
    </row>
    <row r="18" spans="1:13" ht="49.7" customHeight="1">
      <c r="A18" s="343"/>
      <c r="B18" s="374"/>
      <c r="C18" s="369"/>
      <c r="D18" s="368"/>
      <c r="E18" s="368"/>
      <c r="F18" s="368"/>
      <c r="G18" s="242"/>
      <c r="H18" s="363" t="s">
        <v>274</v>
      </c>
      <c r="I18" s="364"/>
      <c r="J18" s="364"/>
      <c r="K18" s="364"/>
      <c r="L18" s="364"/>
      <c r="M18" s="365"/>
    </row>
    <row r="19" spans="1:13" s="241" customFormat="1" ht="33" customHeight="1">
      <c r="A19" s="343"/>
      <c r="B19" s="374"/>
      <c r="C19" s="369"/>
      <c r="D19" s="246" t="s">
        <v>281</v>
      </c>
      <c r="E19" s="366" t="s">
        <v>87</v>
      </c>
      <c r="F19" s="366"/>
      <c r="G19" s="366"/>
      <c r="H19" s="366"/>
      <c r="I19" s="366"/>
      <c r="J19" s="243">
        <f>+'Հավելված N 1'!G18</f>
        <v>69042.8</v>
      </c>
      <c r="K19" s="243">
        <f>+'Հավելված N 1'!H18</f>
        <v>163085.29999999999</v>
      </c>
      <c r="L19" s="243">
        <f>+'Հավելված N 1'!I18</f>
        <v>298681.8</v>
      </c>
      <c r="M19" s="243">
        <f>+'Հավելված N 1'!J18</f>
        <v>298681.8</v>
      </c>
    </row>
    <row r="20" spans="1:13" ht="33.4" customHeight="1">
      <c r="A20" s="343"/>
      <c r="B20" s="374"/>
      <c r="C20" s="369"/>
      <c r="D20" s="367"/>
      <c r="E20" s="367"/>
      <c r="F20" s="363" t="s">
        <v>84</v>
      </c>
      <c r="G20" s="364"/>
      <c r="H20" s="364"/>
      <c r="I20" s="364"/>
      <c r="J20" s="364"/>
      <c r="K20" s="364"/>
      <c r="L20" s="364"/>
      <c r="M20" s="365"/>
    </row>
    <row r="21" spans="1:13" ht="33.4" customHeight="1">
      <c r="A21" s="343"/>
      <c r="B21" s="374"/>
      <c r="C21" s="369"/>
      <c r="D21" s="369"/>
      <c r="E21" s="369"/>
      <c r="F21" s="367"/>
      <c r="G21" s="363" t="s">
        <v>77</v>
      </c>
      <c r="H21" s="364"/>
      <c r="I21" s="364"/>
      <c r="J21" s="364"/>
      <c r="K21" s="364"/>
      <c r="L21" s="364"/>
      <c r="M21" s="365"/>
    </row>
    <row r="22" spans="1:13" ht="33.4" customHeight="1">
      <c r="A22" s="343"/>
      <c r="B22" s="374"/>
      <c r="C22" s="369"/>
      <c r="D22" s="369"/>
      <c r="E22" s="369"/>
      <c r="F22" s="369"/>
      <c r="G22" s="367"/>
      <c r="H22" s="363" t="s">
        <v>276</v>
      </c>
      <c r="I22" s="364"/>
      <c r="J22" s="364"/>
      <c r="K22" s="364"/>
      <c r="L22" s="364"/>
      <c r="M22" s="365"/>
    </row>
    <row r="23" spans="1:13" ht="34.5">
      <c r="A23" s="343"/>
      <c r="B23" s="374"/>
      <c r="C23" s="369"/>
      <c r="D23" s="369"/>
      <c r="E23" s="369"/>
      <c r="F23" s="369"/>
      <c r="G23" s="369"/>
      <c r="H23" s="340"/>
      <c r="I23" s="225" t="s">
        <v>277</v>
      </c>
      <c r="J23" s="225" t="s">
        <v>275</v>
      </c>
      <c r="K23" s="244">
        <v>1</v>
      </c>
      <c r="L23" s="244" t="s">
        <v>275</v>
      </c>
      <c r="M23" s="244">
        <v>1</v>
      </c>
    </row>
    <row r="24" spans="1:13" ht="34.5">
      <c r="A24" s="343"/>
      <c r="B24" s="374"/>
      <c r="C24" s="369"/>
      <c r="D24" s="369"/>
      <c r="E24" s="369"/>
      <c r="F24" s="369"/>
      <c r="G24" s="369"/>
      <c r="H24" s="341"/>
      <c r="I24" s="225" t="s">
        <v>278</v>
      </c>
      <c r="J24" s="225" t="s">
        <v>275</v>
      </c>
      <c r="K24" s="225">
        <v>2</v>
      </c>
      <c r="L24" s="225" t="s">
        <v>275</v>
      </c>
      <c r="M24" s="225">
        <v>2</v>
      </c>
    </row>
    <row r="25" spans="1:13" ht="69">
      <c r="A25" s="343"/>
      <c r="B25" s="375"/>
      <c r="C25" s="368"/>
      <c r="D25" s="368"/>
      <c r="E25" s="368"/>
      <c r="F25" s="368"/>
      <c r="G25" s="368"/>
      <c r="H25" s="342"/>
      <c r="I25" s="225" t="s">
        <v>279</v>
      </c>
      <c r="J25" s="225" t="s">
        <v>275</v>
      </c>
      <c r="K25" s="225">
        <v>1</v>
      </c>
      <c r="L25" s="225" t="s">
        <v>275</v>
      </c>
      <c r="M25" s="225">
        <v>2</v>
      </c>
    </row>
    <row r="26" spans="1:13" ht="8.65" customHeight="1">
      <c r="A26" s="343"/>
      <c r="B26" s="252"/>
      <c r="C26" s="252"/>
      <c r="D26" s="252"/>
      <c r="E26" s="252"/>
      <c r="F26" s="252"/>
      <c r="G26" s="252"/>
      <c r="H26" s="252"/>
      <c r="I26" s="252"/>
      <c r="J26" s="252"/>
      <c r="K26" s="252"/>
      <c r="L26" s="252"/>
      <c r="M26" s="253"/>
    </row>
    <row r="27" spans="1:13" s="248" customFormat="1">
      <c r="A27" s="343"/>
      <c r="B27" s="224">
        <v>1183</v>
      </c>
      <c r="C27" s="345" t="s">
        <v>115</v>
      </c>
      <c r="D27" s="345"/>
      <c r="E27" s="345"/>
      <c r="F27" s="345"/>
      <c r="G27" s="345"/>
      <c r="H27" s="345"/>
      <c r="I27" s="345"/>
      <c r="J27" s="154">
        <f>+J28+J32</f>
        <v>116742.20000000001</v>
      </c>
      <c r="K27" s="154">
        <f>+K28+K32</f>
        <v>235315.7</v>
      </c>
      <c r="L27" s="154">
        <f>+L28+L32</f>
        <v>235315.7</v>
      </c>
      <c r="M27" s="154">
        <f>+M28+M32</f>
        <v>235315.7</v>
      </c>
    </row>
    <row r="28" spans="1:13" s="249" customFormat="1" ht="33" customHeight="1">
      <c r="A28" s="343"/>
      <c r="B28" s="360"/>
      <c r="C28" s="349"/>
      <c r="D28" s="137" t="s">
        <v>228</v>
      </c>
      <c r="E28" s="345" t="s">
        <v>229</v>
      </c>
      <c r="F28" s="345"/>
      <c r="G28" s="345"/>
      <c r="H28" s="345"/>
      <c r="I28" s="345"/>
      <c r="J28" s="237">
        <f>+'Հավելված N 1'!G20</f>
        <v>2679.5</v>
      </c>
      <c r="K28" s="237">
        <f>+'Հավելված N 1'!H20</f>
        <v>3159.5</v>
      </c>
      <c r="L28" s="237">
        <f>+'Հավելված N 1'!I20</f>
        <v>3159.5</v>
      </c>
      <c r="M28" s="237">
        <f>+'Հավելված N 1'!J20</f>
        <v>3159.5</v>
      </c>
    </row>
    <row r="29" spans="1:13" s="248" customFormat="1" ht="33.4" customHeight="1">
      <c r="A29" s="343"/>
      <c r="B29" s="361"/>
      <c r="C29" s="350"/>
      <c r="D29" s="349"/>
      <c r="E29" s="349"/>
      <c r="F29" s="355" t="s">
        <v>141</v>
      </c>
      <c r="G29" s="356"/>
      <c r="H29" s="356"/>
      <c r="I29" s="356"/>
      <c r="J29" s="356"/>
      <c r="K29" s="356"/>
      <c r="L29" s="356"/>
      <c r="M29" s="346"/>
    </row>
    <row r="30" spans="1:13" s="248" customFormat="1" ht="17.850000000000001" customHeight="1">
      <c r="A30" s="343"/>
      <c r="B30" s="361"/>
      <c r="C30" s="350"/>
      <c r="D30" s="350"/>
      <c r="E30" s="350"/>
      <c r="F30" s="349"/>
      <c r="G30" s="355" t="s">
        <v>77</v>
      </c>
      <c r="H30" s="356"/>
      <c r="I30" s="356"/>
      <c r="J30" s="356"/>
      <c r="K30" s="356"/>
      <c r="L30" s="356"/>
      <c r="M30" s="346"/>
    </row>
    <row r="31" spans="1:13" s="248" customFormat="1">
      <c r="A31" s="343"/>
      <c r="B31" s="361"/>
      <c r="C31" s="350"/>
      <c r="D31" s="351"/>
      <c r="E31" s="351"/>
      <c r="F31" s="351"/>
      <c r="G31" s="232"/>
      <c r="H31" s="355" t="s">
        <v>282</v>
      </c>
      <c r="I31" s="356"/>
      <c r="J31" s="356"/>
      <c r="K31" s="356"/>
      <c r="L31" s="356"/>
      <c r="M31" s="346"/>
    </row>
    <row r="32" spans="1:13" s="249" customFormat="1" ht="33" customHeight="1">
      <c r="A32" s="343"/>
      <c r="B32" s="361"/>
      <c r="C32" s="350"/>
      <c r="D32" s="137" t="s">
        <v>231</v>
      </c>
      <c r="E32" s="345" t="s">
        <v>232</v>
      </c>
      <c r="F32" s="345"/>
      <c r="G32" s="345"/>
      <c r="H32" s="345"/>
      <c r="I32" s="345"/>
      <c r="J32" s="237">
        <f>+'Հավելված N 1'!G21</f>
        <v>114062.70000000001</v>
      </c>
      <c r="K32" s="237">
        <f>+'Հավելված N 1'!H21</f>
        <v>232156.2</v>
      </c>
      <c r="L32" s="237">
        <f>+'Հավելված N 1'!I21</f>
        <v>232156.2</v>
      </c>
      <c r="M32" s="237">
        <f>+'Հավելված N 1'!J21</f>
        <v>232156.2</v>
      </c>
    </row>
    <row r="33" spans="1:13" s="248" customFormat="1" ht="33.4" customHeight="1">
      <c r="A33" s="343"/>
      <c r="B33" s="361"/>
      <c r="C33" s="350"/>
      <c r="D33" s="349"/>
      <c r="E33" s="349"/>
      <c r="F33" s="355" t="s">
        <v>142</v>
      </c>
      <c r="G33" s="356"/>
      <c r="H33" s="356"/>
      <c r="I33" s="356"/>
      <c r="J33" s="356"/>
      <c r="K33" s="356"/>
      <c r="L33" s="356"/>
      <c r="M33" s="346"/>
    </row>
    <row r="34" spans="1:13" s="248" customFormat="1" ht="17.850000000000001" customHeight="1">
      <c r="A34" s="343"/>
      <c r="B34" s="361"/>
      <c r="C34" s="350"/>
      <c r="D34" s="350"/>
      <c r="E34" s="350"/>
      <c r="F34" s="349"/>
      <c r="G34" s="355" t="s">
        <v>77</v>
      </c>
      <c r="H34" s="356"/>
      <c r="I34" s="356"/>
      <c r="J34" s="356"/>
      <c r="K34" s="356"/>
      <c r="L34" s="356"/>
      <c r="M34" s="346"/>
    </row>
    <row r="35" spans="1:13" s="248" customFormat="1">
      <c r="A35" s="343"/>
      <c r="B35" s="361"/>
      <c r="C35" s="350"/>
      <c r="D35" s="350"/>
      <c r="E35" s="350"/>
      <c r="F35" s="350"/>
      <c r="G35" s="349"/>
      <c r="H35" s="355" t="s">
        <v>282</v>
      </c>
      <c r="I35" s="356"/>
      <c r="J35" s="356"/>
      <c r="K35" s="356"/>
      <c r="L35" s="356"/>
      <c r="M35" s="346"/>
    </row>
    <row r="36" spans="1:13" s="248" customFormat="1" ht="34.5">
      <c r="A36" s="343"/>
      <c r="B36" s="361"/>
      <c r="C36" s="350"/>
      <c r="D36" s="350"/>
      <c r="E36" s="350"/>
      <c r="F36" s="350"/>
      <c r="G36" s="350"/>
      <c r="H36" s="352"/>
      <c r="I36" s="226" t="s">
        <v>285</v>
      </c>
      <c r="J36" s="226">
        <v>2</v>
      </c>
      <c r="K36" s="250">
        <v>2</v>
      </c>
      <c r="L36" s="250">
        <v>2</v>
      </c>
      <c r="M36" s="250">
        <v>2</v>
      </c>
    </row>
    <row r="37" spans="1:13" s="248" customFormat="1" ht="34.5">
      <c r="A37" s="343"/>
      <c r="B37" s="361"/>
      <c r="C37" s="350"/>
      <c r="D37" s="350"/>
      <c r="E37" s="350"/>
      <c r="F37" s="350"/>
      <c r="G37" s="350"/>
      <c r="H37" s="353"/>
      <c r="I37" s="226" t="s">
        <v>283</v>
      </c>
      <c r="J37" s="226" t="s">
        <v>275</v>
      </c>
      <c r="K37" s="226">
        <v>2</v>
      </c>
      <c r="L37" s="226">
        <v>2</v>
      </c>
      <c r="M37" s="226">
        <v>2</v>
      </c>
    </row>
    <row r="38" spans="1:13" s="248" customFormat="1" ht="69">
      <c r="A38" s="343"/>
      <c r="B38" s="362"/>
      <c r="C38" s="351"/>
      <c r="D38" s="351"/>
      <c r="E38" s="351"/>
      <c r="F38" s="351"/>
      <c r="G38" s="351"/>
      <c r="H38" s="354"/>
      <c r="I38" s="226" t="s">
        <v>284</v>
      </c>
      <c r="J38" s="226" t="s">
        <v>275</v>
      </c>
      <c r="K38" s="226">
        <v>2</v>
      </c>
      <c r="L38" s="226">
        <v>2</v>
      </c>
      <c r="M38" s="226">
        <v>2</v>
      </c>
    </row>
    <row r="39" spans="1:13" ht="8.65" customHeight="1">
      <c r="A39" s="343"/>
      <c r="B39" s="252"/>
      <c r="C39" s="252"/>
      <c r="D39" s="252"/>
      <c r="E39" s="252"/>
      <c r="F39" s="252"/>
      <c r="G39" s="252"/>
      <c r="H39" s="252"/>
      <c r="I39" s="252"/>
      <c r="J39" s="252"/>
      <c r="K39" s="252"/>
      <c r="L39" s="252"/>
      <c r="M39" s="253"/>
    </row>
    <row r="40" spans="1:13" s="248" customFormat="1">
      <c r="A40" s="343"/>
      <c r="B40" s="224">
        <v>1192</v>
      </c>
      <c r="C40" s="345" t="s">
        <v>207</v>
      </c>
      <c r="D40" s="345"/>
      <c r="E40" s="345"/>
      <c r="F40" s="345"/>
      <c r="G40" s="345"/>
      <c r="H40" s="345"/>
      <c r="I40" s="345"/>
      <c r="J40" s="154">
        <f>+J41</f>
        <v>10000</v>
      </c>
      <c r="K40" s="154">
        <f t="shared" ref="K40:M40" si="2">+K41</f>
        <v>0</v>
      </c>
      <c r="L40" s="154">
        <f t="shared" si="2"/>
        <v>0</v>
      </c>
      <c r="M40" s="154">
        <f t="shared" si="2"/>
        <v>0</v>
      </c>
    </row>
    <row r="41" spans="1:13" s="249" customFormat="1" ht="17.850000000000001" customHeight="1">
      <c r="A41" s="343"/>
      <c r="B41" s="357"/>
      <c r="C41" s="340"/>
      <c r="D41" s="224" t="s">
        <v>238</v>
      </c>
      <c r="E41" s="345" t="s">
        <v>239</v>
      </c>
      <c r="F41" s="345"/>
      <c r="G41" s="345"/>
      <c r="H41" s="345"/>
      <c r="I41" s="345"/>
      <c r="J41" s="237">
        <f>+'Հավելված N 1'!G23</f>
        <v>10000</v>
      </c>
      <c r="K41" s="237">
        <f>+'Հավելված N 1'!H23</f>
        <v>0</v>
      </c>
      <c r="L41" s="237">
        <f>+'Հավելված N 1'!I23</f>
        <v>0</v>
      </c>
      <c r="M41" s="237">
        <f>+'Հավելված N 1'!J23</f>
        <v>0</v>
      </c>
    </row>
    <row r="42" spans="1:13" s="248" customFormat="1">
      <c r="A42" s="343"/>
      <c r="B42" s="358"/>
      <c r="C42" s="341"/>
      <c r="D42" s="360"/>
      <c r="E42" s="349"/>
      <c r="F42" s="355" t="s">
        <v>286</v>
      </c>
      <c r="G42" s="356"/>
      <c r="H42" s="356"/>
      <c r="I42" s="356"/>
      <c r="J42" s="356"/>
      <c r="K42" s="356"/>
      <c r="L42" s="356"/>
      <c r="M42" s="346"/>
    </row>
    <row r="43" spans="1:13" s="248" customFormat="1" ht="17.850000000000001" customHeight="1">
      <c r="A43" s="343"/>
      <c r="B43" s="358"/>
      <c r="C43" s="341"/>
      <c r="D43" s="361"/>
      <c r="E43" s="350"/>
      <c r="F43" s="349"/>
      <c r="G43" s="355" t="s">
        <v>77</v>
      </c>
      <c r="H43" s="356"/>
      <c r="I43" s="356"/>
      <c r="J43" s="356"/>
      <c r="K43" s="356"/>
      <c r="L43" s="356"/>
      <c r="M43" s="346"/>
    </row>
    <row r="44" spans="1:13" s="248" customFormat="1">
      <c r="A44" s="343"/>
      <c r="B44" s="359"/>
      <c r="C44" s="342"/>
      <c r="D44" s="362"/>
      <c r="E44" s="351"/>
      <c r="F44" s="351"/>
      <c r="G44" s="232"/>
      <c r="H44" s="355" t="s">
        <v>287</v>
      </c>
      <c r="I44" s="356"/>
      <c r="J44" s="356"/>
      <c r="K44" s="356"/>
      <c r="L44" s="356"/>
      <c r="M44" s="346"/>
    </row>
    <row r="45" spans="1:13" ht="8.65" customHeight="1">
      <c r="A45" s="343"/>
      <c r="B45" s="252"/>
      <c r="C45" s="252"/>
      <c r="D45" s="252"/>
      <c r="E45" s="252"/>
      <c r="F45" s="252"/>
      <c r="G45" s="252"/>
      <c r="H45" s="252"/>
      <c r="I45" s="252"/>
      <c r="J45" s="252"/>
      <c r="K45" s="252"/>
      <c r="L45" s="252"/>
      <c r="M45" s="253"/>
    </row>
    <row r="46" spans="1:13" s="248" customFormat="1">
      <c r="A46" s="343"/>
      <c r="B46" s="224">
        <v>1236</v>
      </c>
      <c r="C46" s="345" t="s">
        <v>76</v>
      </c>
      <c r="D46" s="345"/>
      <c r="E46" s="345"/>
      <c r="F46" s="345"/>
      <c r="G46" s="345"/>
      <c r="H46" s="345"/>
      <c r="I46" s="345"/>
      <c r="J46" s="154">
        <f>+J47+J53+J61+J66+J72</f>
        <v>-131935.89999999991</v>
      </c>
      <c r="K46" s="154">
        <f t="shared" ref="K46:M46" si="3">+K47+K53+K61+K66+K72</f>
        <v>-174367.59999999986</v>
      </c>
      <c r="L46" s="154">
        <f t="shared" si="3"/>
        <v>-61373.399999999907</v>
      </c>
      <c r="M46" s="154">
        <f t="shared" si="3"/>
        <v>-269473.10000000009</v>
      </c>
    </row>
    <row r="47" spans="1:13" s="249" customFormat="1" ht="17.850000000000001" customHeight="1">
      <c r="A47" s="343"/>
      <c r="B47" s="344"/>
      <c r="C47" s="343"/>
      <c r="D47" s="137" t="s">
        <v>245</v>
      </c>
      <c r="E47" s="345" t="s">
        <v>85</v>
      </c>
      <c r="F47" s="345"/>
      <c r="G47" s="345"/>
      <c r="H47" s="345"/>
      <c r="I47" s="345"/>
      <c r="J47" s="237">
        <f>+'Հավելված N 1'!G25</f>
        <v>226678.9</v>
      </c>
      <c r="K47" s="237">
        <f>+'Հավելված N 1'!H25</f>
        <v>287782.8</v>
      </c>
      <c r="L47" s="237">
        <f>+'Հավելված N 1'!I25</f>
        <v>433427.89999999997</v>
      </c>
      <c r="M47" s="237">
        <f>+'Հավելված N 1'!J25</f>
        <v>433427.89999999997</v>
      </c>
    </row>
    <row r="48" spans="1:13" s="248" customFormat="1" ht="33.950000000000003" customHeight="1">
      <c r="A48" s="343"/>
      <c r="B48" s="344"/>
      <c r="C48" s="343"/>
      <c r="D48" s="347"/>
      <c r="E48" s="347"/>
      <c r="F48" s="345" t="s">
        <v>288</v>
      </c>
      <c r="G48" s="345"/>
      <c r="H48" s="345"/>
      <c r="I48" s="345"/>
      <c r="J48" s="345"/>
      <c r="K48" s="345"/>
      <c r="L48" s="345"/>
      <c r="M48" s="345"/>
    </row>
    <row r="49" spans="1:13" s="248" customFormat="1" ht="17.850000000000001" customHeight="1">
      <c r="A49" s="343"/>
      <c r="B49" s="344"/>
      <c r="C49" s="343"/>
      <c r="D49" s="347"/>
      <c r="E49" s="347"/>
      <c r="F49" s="347"/>
      <c r="G49" s="345" t="s">
        <v>77</v>
      </c>
      <c r="H49" s="345"/>
      <c r="I49" s="345"/>
      <c r="J49" s="345"/>
      <c r="K49" s="345"/>
      <c r="L49" s="345"/>
      <c r="M49" s="345"/>
    </row>
    <row r="50" spans="1:13" s="248" customFormat="1" ht="33.950000000000003" customHeight="1">
      <c r="A50" s="343"/>
      <c r="B50" s="344"/>
      <c r="C50" s="343"/>
      <c r="D50" s="347"/>
      <c r="E50" s="347"/>
      <c r="F50" s="347"/>
      <c r="G50" s="347"/>
      <c r="H50" s="345" t="s">
        <v>289</v>
      </c>
      <c r="I50" s="345"/>
      <c r="J50" s="345"/>
      <c r="K50" s="345"/>
      <c r="L50" s="345"/>
      <c r="M50" s="345"/>
    </row>
    <row r="51" spans="1:13" s="248" customFormat="1" ht="34.5">
      <c r="A51" s="343"/>
      <c r="B51" s="344"/>
      <c r="C51" s="343"/>
      <c r="D51" s="347"/>
      <c r="E51" s="347"/>
      <c r="F51" s="347"/>
      <c r="G51" s="347"/>
      <c r="H51" s="348"/>
      <c r="I51" s="226" t="s">
        <v>290</v>
      </c>
      <c r="J51" s="226">
        <v>1</v>
      </c>
      <c r="K51" s="250">
        <v>1</v>
      </c>
      <c r="L51" s="250">
        <v>1</v>
      </c>
      <c r="M51" s="250">
        <v>1</v>
      </c>
    </row>
    <row r="52" spans="1:13" s="248" customFormat="1" ht="69">
      <c r="A52" s="343"/>
      <c r="B52" s="344"/>
      <c r="C52" s="343"/>
      <c r="D52" s="347"/>
      <c r="E52" s="347"/>
      <c r="F52" s="347"/>
      <c r="G52" s="347"/>
      <c r="H52" s="348"/>
      <c r="I52" s="226" t="s">
        <v>291</v>
      </c>
      <c r="J52" s="226">
        <v>0</v>
      </c>
      <c r="K52" s="226">
        <v>0</v>
      </c>
      <c r="L52" s="226">
        <v>1</v>
      </c>
      <c r="M52" s="226">
        <v>1</v>
      </c>
    </row>
    <row r="53" spans="1:13" s="249" customFormat="1" ht="17.850000000000001" customHeight="1">
      <c r="A53" s="343"/>
      <c r="B53" s="344"/>
      <c r="C53" s="343"/>
      <c r="D53" s="137" t="s">
        <v>247</v>
      </c>
      <c r="E53" s="345" t="s">
        <v>95</v>
      </c>
      <c r="F53" s="345"/>
      <c r="G53" s="345"/>
      <c r="H53" s="345"/>
      <c r="I53" s="345"/>
      <c r="J53" s="237">
        <f>+'Հավելված N 1'!G26</f>
        <v>14972.700000000041</v>
      </c>
      <c r="K53" s="237">
        <f>+'Հավելված N 1'!H26</f>
        <v>174094.3000000001</v>
      </c>
      <c r="L53" s="237">
        <f>+'Հավելված N 1'!I26</f>
        <v>319266.70000000007</v>
      </c>
      <c r="M53" s="237">
        <f>+'Հավելված N 1'!J26</f>
        <v>279975.30000000005</v>
      </c>
    </row>
    <row r="54" spans="1:13" s="248" customFormat="1" ht="33.950000000000003" customHeight="1">
      <c r="A54" s="343"/>
      <c r="B54" s="344"/>
      <c r="C54" s="343"/>
      <c r="D54" s="349"/>
      <c r="E54" s="349"/>
      <c r="F54" s="345" t="s">
        <v>104</v>
      </c>
      <c r="G54" s="345"/>
      <c r="H54" s="345"/>
      <c r="I54" s="345"/>
      <c r="J54" s="345"/>
      <c r="K54" s="345"/>
      <c r="L54" s="345"/>
      <c r="M54" s="345"/>
    </row>
    <row r="55" spans="1:13" s="248" customFormat="1" ht="17.850000000000001" customHeight="1">
      <c r="A55" s="343"/>
      <c r="B55" s="344"/>
      <c r="C55" s="343"/>
      <c r="D55" s="350"/>
      <c r="E55" s="350"/>
      <c r="F55" s="349"/>
      <c r="G55" s="345" t="s">
        <v>77</v>
      </c>
      <c r="H55" s="345"/>
      <c r="I55" s="345"/>
      <c r="J55" s="345"/>
      <c r="K55" s="345"/>
      <c r="L55" s="345"/>
      <c r="M55" s="345"/>
    </row>
    <row r="56" spans="1:13" s="248" customFormat="1">
      <c r="A56" s="343"/>
      <c r="B56" s="344"/>
      <c r="C56" s="343"/>
      <c r="D56" s="350"/>
      <c r="E56" s="350"/>
      <c r="F56" s="350"/>
      <c r="G56" s="349"/>
      <c r="H56" s="345" t="s">
        <v>292</v>
      </c>
      <c r="I56" s="345"/>
      <c r="J56" s="345"/>
      <c r="K56" s="345"/>
      <c r="L56" s="345"/>
      <c r="M56" s="345"/>
    </row>
    <row r="57" spans="1:13" s="248" customFormat="1" ht="34.5">
      <c r="A57" s="343"/>
      <c r="B57" s="344"/>
      <c r="C57" s="343"/>
      <c r="D57" s="350"/>
      <c r="E57" s="350"/>
      <c r="F57" s="350"/>
      <c r="G57" s="350"/>
      <c r="H57" s="352"/>
      <c r="I57" s="226" t="s">
        <v>293</v>
      </c>
      <c r="J57" s="226">
        <v>2</v>
      </c>
      <c r="K57" s="250">
        <v>3</v>
      </c>
      <c r="L57" s="250">
        <v>3</v>
      </c>
      <c r="M57" s="250">
        <v>3</v>
      </c>
    </row>
    <row r="58" spans="1:13" s="248" customFormat="1" ht="69">
      <c r="A58" s="343"/>
      <c r="B58" s="344"/>
      <c r="C58" s="343"/>
      <c r="D58" s="350"/>
      <c r="E58" s="350"/>
      <c r="F58" s="350"/>
      <c r="G58" s="350"/>
      <c r="H58" s="353"/>
      <c r="I58" s="226" t="s">
        <v>294</v>
      </c>
      <c r="J58" s="226">
        <v>0</v>
      </c>
      <c r="K58" s="226">
        <v>0</v>
      </c>
      <c r="L58" s="226">
        <v>3</v>
      </c>
      <c r="M58" s="226">
        <v>3</v>
      </c>
    </row>
    <row r="59" spans="1:13" s="248" customFormat="1" ht="69">
      <c r="A59" s="343"/>
      <c r="B59" s="344"/>
      <c r="C59" s="343"/>
      <c r="D59" s="350"/>
      <c r="E59" s="350"/>
      <c r="F59" s="350"/>
      <c r="G59" s="350"/>
      <c r="H59" s="353"/>
      <c r="I59" s="226" t="s">
        <v>295</v>
      </c>
      <c r="J59" s="226">
        <v>0</v>
      </c>
      <c r="K59" s="226">
        <v>0</v>
      </c>
      <c r="L59" s="226">
        <v>350</v>
      </c>
      <c r="M59" s="226">
        <v>350</v>
      </c>
    </row>
    <row r="60" spans="1:13" ht="34.5">
      <c r="A60" s="343"/>
      <c r="B60" s="344"/>
      <c r="C60" s="343"/>
      <c r="D60" s="351"/>
      <c r="E60" s="351"/>
      <c r="F60" s="351"/>
      <c r="G60" s="351"/>
      <c r="H60" s="354"/>
      <c r="I60" s="225" t="s">
        <v>283</v>
      </c>
      <c r="J60" s="225">
        <v>0</v>
      </c>
      <c r="K60" s="225">
        <v>3</v>
      </c>
      <c r="L60" s="225">
        <v>3</v>
      </c>
      <c r="M60" s="225">
        <v>3</v>
      </c>
    </row>
    <row r="61" spans="1:13" s="249" customFormat="1" ht="17.850000000000001" customHeight="1">
      <c r="A61" s="343"/>
      <c r="B61" s="344"/>
      <c r="C61" s="343"/>
      <c r="D61" s="137" t="s">
        <v>249</v>
      </c>
      <c r="E61" s="345" t="s">
        <v>164</v>
      </c>
      <c r="F61" s="345"/>
      <c r="G61" s="345"/>
      <c r="H61" s="345"/>
      <c r="I61" s="345"/>
      <c r="J61" s="237">
        <f>+'Հավելված N 1'!G27</f>
        <v>0</v>
      </c>
      <c r="K61" s="237">
        <f>+'Հավելված N 1'!H27</f>
        <v>14390</v>
      </c>
      <c r="L61" s="237">
        <f>+'Հավելված N 1'!I27</f>
        <v>14390</v>
      </c>
      <c r="M61" s="237">
        <f>+'Հավելված N 1'!J27</f>
        <v>14390</v>
      </c>
    </row>
    <row r="62" spans="1:13" s="248" customFormat="1" ht="33.950000000000003" customHeight="1">
      <c r="A62" s="343"/>
      <c r="B62" s="344"/>
      <c r="C62" s="343"/>
      <c r="D62" s="347"/>
      <c r="E62" s="347"/>
      <c r="F62" s="345" t="s">
        <v>296</v>
      </c>
      <c r="G62" s="345"/>
      <c r="H62" s="345"/>
      <c r="I62" s="345"/>
      <c r="J62" s="345"/>
      <c r="K62" s="345"/>
      <c r="L62" s="345"/>
      <c r="M62" s="345"/>
    </row>
    <row r="63" spans="1:13" s="248" customFormat="1" ht="17.850000000000001" customHeight="1">
      <c r="A63" s="343"/>
      <c r="B63" s="344"/>
      <c r="C63" s="343"/>
      <c r="D63" s="347"/>
      <c r="E63" s="347"/>
      <c r="F63" s="347"/>
      <c r="G63" s="345" t="s">
        <v>77</v>
      </c>
      <c r="H63" s="345"/>
      <c r="I63" s="345"/>
      <c r="J63" s="345"/>
      <c r="K63" s="345"/>
      <c r="L63" s="345"/>
      <c r="M63" s="345"/>
    </row>
    <row r="64" spans="1:13" s="248" customFormat="1">
      <c r="A64" s="343"/>
      <c r="B64" s="344"/>
      <c r="C64" s="343"/>
      <c r="D64" s="347"/>
      <c r="E64" s="347"/>
      <c r="F64" s="347"/>
      <c r="G64" s="347"/>
      <c r="H64" s="345" t="s">
        <v>292</v>
      </c>
      <c r="I64" s="345"/>
      <c r="J64" s="345"/>
      <c r="K64" s="345"/>
      <c r="L64" s="345"/>
      <c r="M64" s="345"/>
    </row>
    <row r="65" spans="1:13" s="248" customFormat="1" ht="34.5">
      <c r="A65" s="343"/>
      <c r="B65" s="344"/>
      <c r="C65" s="343"/>
      <c r="D65" s="347"/>
      <c r="E65" s="347"/>
      <c r="F65" s="347"/>
      <c r="G65" s="347"/>
      <c r="H65" s="159"/>
      <c r="I65" s="226" t="s">
        <v>283</v>
      </c>
      <c r="J65" s="226">
        <v>0</v>
      </c>
      <c r="K65" s="250">
        <v>1</v>
      </c>
      <c r="L65" s="250">
        <v>1</v>
      </c>
      <c r="M65" s="250">
        <v>1</v>
      </c>
    </row>
    <row r="66" spans="1:13" s="249" customFormat="1" ht="17.850000000000001" customHeight="1">
      <c r="A66" s="343"/>
      <c r="B66" s="344"/>
      <c r="C66" s="343"/>
      <c r="D66" s="137" t="s">
        <v>251</v>
      </c>
      <c r="E66" s="345" t="s">
        <v>98</v>
      </c>
      <c r="F66" s="345"/>
      <c r="G66" s="345"/>
      <c r="H66" s="345"/>
      <c r="I66" s="345"/>
      <c r="J66" s="237">
        <f>+'Հավելված N 1'!G28</f>
        <v>-363587.49999999994</v>
      </c>
      <c r="K66" s="237">
        <f>+'Հավելված N 1'!H28</f>
        <v>-650634.69999999995</v>
      </c>
      <c r="L66" s="237">
        <f>+'Հավելված N 1'!I28</f>
        <v>-828458</v>
      </c>
      <c r="M66" s="237">
        <f>+'Հավելված N 1'!J28</f>
        <v>-997266.3</v>
      </c>
    </row>
    <row r="67" spans="1:13" s="248" customFormat="1" ht="33.950000000000003" customHeight="1">
      <c r="A67" s="343"/>
      <c r="B67" s="344"/>
      <c r="C67" s="343"/>
      <c r="D67" s="347"/>
      <c r="E67" s="347"/>
      <c r="F67" s="346" t="s">
        <v>104</v>
      </c>
      <c r="G67" s="345"/>
      <c r="H67" s="345"/>
      <c r="I67" s="345"/>
      <c r="J67" s="345"/>
      <c r="K67" s="345"/>
      <c r="L67" s="345"/>
      <c r="M67" s="345"/>
    </row>
    <row r="68" spans="1:13" s="248" customFormat="1" ht="17.850000000000001" customHeight="1">
      <c r="A68" s="343"/>
      <c r="B68" s="344"/>
      <c r="C68" s="343"/>
      <c r="D68" s="347"/>
      <c r="E68" s="347"/>
      <c r="F68" s="347"/>
      <c r="G68" s="346" t="s">
        <v>77</v>
      </c>
      <c r="H68" s="345"/>
      <c r="I68" s="345"/>
      <c r="J68" s="345"/>
      <c r="K68" s="345"/>
      <c r="L68" s="345"/>
      <c r="M68" s="345"/>
    </row>
    <row r="69" spans="1:13" s="248" customFormat="1">
      <c r="A69" s="343"/>
      <c r="B69" s="344"/>
      <c r="C69" s="343"/>
      <c r="D69" s="347"/>
      <c r="E69" s="347"/>
      <c r="F69" s="347"/>
      <c r="G69" s="347"/>
      <c r="H69" s="346" t="s">
        <v>297</v>
      </c>
      <c r="I69" s="345"/>
      <c r="J69" s="345"/>
      <c r="K69" s="345"/>
      <c r="L69" s="345"/>
      <c r="M69" s="345"/>
    </row>
    <row r="70" spans="1:13" s="248" customFormat="1" ht="103.5">
      <c r="A70" s="343"/>
      <c r="B70" s="344"/>
      <c r="C70" s="343"/>
      <c r="D70" s="347"/>
      <c r="E70" s="347"/>
      <c r="F70" s="347"/>
      <c r="G70" s="347"/>
      <c r="H70" s="348"/>
      <c r="I70" s="257" t="s">
        <v>298</v>
      </c>
      <c r="J70" s="255">
        <v>-3</v>
      </c>
      <c r="K70" s="256">
        <v>-3</v>
      </c>
      <c r="L70" s="256">
        <v>-3</v>
      </c>
      <c r="M70" s="256">
        <v>-3</v>
      </c>
    </row>
    <row r="71" spans="1:13" s="248" customFormat="1" ht="34.5">
      <c r="A71" s="343"/>
      <c r="B71" s="344"/>
      <c r="C71" s="343"/>
      <c r="D71" s="347"/>
      <c r="E71" s="347"/>
      <c r="F71" s="347"/>
      <c r="G71" s="347"/>
      <c r="H71" s="348"/>
      <c r="I71" s="257" t="s">
        <v>283</v>
      </c>
      <c r="J71" s="255">
        <v>0</v>
      </c>
      <c r="K71" s="256">
        <v>5</v>
      </c>
      <c r="L71" s="256">
        <v>5</v>
      </c>
      <c r="M71" s="256">
        <v>5</v>
      </c>
    </row>
    <row r="72" spans="1:13" s="249" customFormat="1" ht="17.850000000000001" customHeight="1">
      <c r="A72" s="343"/>
      <c r="B72" s="344"/>
      <c r="C72" s="343"/>
      <c r="D72" s="137" t="s">
        <v>252</v>
      </c>
      <c r="E72" s="345" t="s">
        <v>196</v>
      </c>
      <c r="F72" s="345"/>
      <c r="G72" s="345"/>
      <c r="H72" s="345"/>
      <c r="I72" s="345"/>
      <c r="J72" s="237">
        <f>+'Հավելված N 1'!G29</f>
        <v>-10000</v>
      </c>
      <c r="K72" s="237">
        <f>+'Հավելված N 1'!H29</f>
        <v>0</v>
      </c>
      <c r="L72" s="237">
        <f>+'Հավելված N 1'!I29</f>
        <v>0</v>
      </c>
      <c r="M72" s="237">
        <f>+'Հավելված N 1'!J29</f>
        <v>0</v>
      </c>
    </row>
    <row r="73" spans="1:13" s="248" customFormat="1" ht="33.950000000000003" customHeight="1">
      <c r="A73" s="343"/>
      <c r="B73" s="344"/>
      <c r="C73" s="343"/>
      <c r="D73" s="340"/>
      <c r="E73" s="340"/>
      <c r="F73" s="346" t="s">
        <v>299</v>
      </c>
      <c r="G73" s="345"/>
      <c r="H73" s="345"/>
      <c r="I73" s="345"/>
      <c r="J73" s="345"/>
      <c r="K73" s="345"/>
      <c r="L73" s="345"/>
      <c r="M73" s="345"/>
    </row>
    <row r="74" spans="1:13" s="248" customFormat="1" ht="17.850000000000001" customHeight="1">
      <c r="A74" s="343"/>
      <c r="B74" s="344"/>
      <c r="C74" s="343"/>
      <c r="D74" s="341"/>
      <c r="E74" s="341"/>
      <c r="F74" s="340"/>
      <c r="G74" s="346" t="s">
        <v>77</v>
      </c>
      <c r="H74" s="345"/>
      <c r="I74" s="345"/>
      <c r="J74" s="345"/>
      <c r="K74" s="345"/>
      <c r="L74" s="345"/>
      <c r="M74" s="345"/>
    </row>
    <row r="75" spans="1:13" s="248" customFormat="1">
      <c r="A75" s="343"/>
      <c r="B75" s="344"/>
      <c r="C75" s="343"/>
      <c r="D75" s="342"/>
      <c r="E75" s="342"/>
      <c r="F75" s="342"/>
      <c r="G75" s="245"/>
      <c r="H75" s="346" t="s">
        <v>300</v>
      </c>
      <c r="I75" s="345"/>
      <c r="J75" s="345"/>
      <c r="K75" s="345"/>
      <c r="L75" s="345"/>
      <c r="M75" s="345"/>
    </row>
  </sheetData>
  <mergeCells count="109">
    <mergeCell ref="A11:I11"/>
    <mergeCell ref="A12:I12"/>
    <mergeCell ref="A13:I13"/>
    <mergeCell ref="C14:I14"/>
    <mergeCell ref="E15:I15"/>
    <mergeCell ref="F16:M16"/>
    <mergeCell ref="B15:B25"/>
    <mergeCell ref="A9:A10"/>
    <mergeCell ref="B9:C9"/>
    <mergeCell ref="D9:G9"/>
    <mergeCell ref="H9:H10"/>
    <mergeCell ref="I9:I10"/>
    <mergeCell ref="J9:M9"/>
    <mergeCell ref="H23:H25"/>
    <mergeCell ref="G22:G25"/>
    <mergeCell ref="F21:F25"/>
    <mergeCell ref="E20:E25"/>
    <mergeCell ref="D20:D25"/>
    <mergeCell ref="C15:C25"/>
    <mergeCell ref="E32:I32"/>
    <mergeCell ref="H18:M18"/>
    <mergeCell ref="G17:M17"/>
    <mergeCell ref="H22:M22"/>
    <mergeCell ref="G21:M21"/>
    <mergeCell ref="F20:M20"/>
    <mergeCell ref="H31:M31"/>
    <mergeCell ref="C27:I27"/>
    <mergeCell ref="E28:I28"/>
    <mergeCell ref="G30:M30"/>
    <mergeCell ref="F29:M29"/>
    <mergeCell ref="C28:C38"/>
    <mergeCell ref="E19:I19"/>
    <mergeCell ref="F17:F18"/>
    <mergeCell ref="E16:E18"/>
    <mergeCell ref="D16:D18"/>
    <mergeCell ref="H44:M44"/>
    <mergeCell ref="C41:C44"/>
    <mergeCell ref="B41:B44"/>
    <mergeCell ref="C46:I46"/>
    <mergeCell ref="E47:I47"/>
    <mergeCell ref="B28:B38"/>
    <mergeCell ref="C40:I40"/>
    <mergeCell ref="E41:I41"/>
    <mergeCell ref="D42:D44"/>
    <mergeCell ref="E42:E44"/>
    <mergeCell ref="F42:M42"/>
    <mergeCell ref="F43:F44"/>
    <mergeCell ref="G43:M43"/>
    <mergeCell ref="H36:H38"/>
    <mergeCell ref="G35:G38"/>
    <mergeCell ref="F34:F38"/>
    <mergeCell ref="E33:E38"/>
    <mergeCell ref="D33:D38"/>
    <mergeCell ref="F30:F31"/>
    <mergeCell ref="E29:E31"/>
    <mergeCell ref="D29:D31"/>
    <mergeCell ref="H35:M35"/>
    <mergeCell ref="G34:M34"/>
    <mergeCell ref="F33:M33"/>
    <mergeCell ref="F49:F52"/>
    <mergeCell ref="E53:I53"/>
    <mergeCell ref="F54:M54"/>
    <mergeCell ref="G55:M55"/>
    <mergeCell ref="F48:M48"/>
    <mergeCell ref="G49:M49"/>
    <mergeCell ref="H50:M50"/>
    <mergeCell ref="H51:H52"/>
    <mergeCell ref="D48:D52"/>
    <mergeCell ref="E48:E52"/>
    <mergeCell ref="G50:G52"/>
    <mergeCell ref="F67:M67"/>
    <mergeCell ref="G68:M68"/>
    <mergeCell ref="D54:D60"/>
    <mergeCell ref="E61:I61"/>
    <mergeCell ref="D62:D65"/>
    <mergeCell ref="E62:E65"/>
    <mergeCell ref="F62:M62"/>
    <mergeCell ref="F63:F65"/>
    <mergeCell ref="G63:M63"/>
    <mergeCell ref="G64:G65"/>
    <mergeCell ref="H56:M56"/>
    <mergeCell ref="H57:H60"/>
    <mergeCell ref="G56:G60"/>
    <mergeCell ref="F55:F60"/>
    <mergeCell ref="E54:E60"/>
    <mergeCell ref="K3:M3"/>
    <mergeCell ref="K2:M2"/>
    <mergeCell ref="K1:M1"/>
    <mergeCell ref="A6:M6"/>
    <mergeCell ref="G1:H1"/>
    <mergeCell ref="G3:H3"/>
    <mergeCell ref="D73:D75"/>
    <mergeCell ref="C47:C75"/>
    <mergeCell ref="B47:B75"/>
    <mergeCell ref="A14:A75"/>
    <mergeCell ref="E72:I72"/>
    <mergeCell ref="F73:M73"/>
    <mergeCell ref="G74:M74"/>
    <mergeCell ref="H75:M75"/>
    <mergeCell ref="F74:F75"/>
    <mergeCell ref="E73:E75"/>
    <mergeCell ref="H69:M69"/>
    <mergeCell ref="D67:D71"/>
    <mergeCell ref="E67:E71"/>
    <mergeCell ref="F68:F71"/>
    <mergeCell ref="G69:G71"/>
    <mergeCell ref="H70:H71"/>
    <mergeCell ref="H64:M64"/>
    <mergeCell ref="E66:I6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topLeftCell="A66" zoomScale="70" zoomScaleNormal="70" workbookViewId="0">
      <selection activeCell="F84" sqref="F84"/>
    </sheetView>
  </sheetViews>
  <sheetFormatPr defaultColWidth="8.85546875" defaultRowHeight="17.25"/>
  <cols>
    <col min="1" max="1" width="6.42578125" style="240" bestFit="1" customWidth="1"/>
    <col min="2" max="2" width="9.7109375" style="240" customWidth="1"/>
    <col min="3" max="3" width="13.140625" style="240" customWidth="1"/>
    <col min="4" max="4" width="16.7109375" style="247" customWidth="1"/>
    <col min="5" max="5" width="13.140625" style="240" customWidth="1"/>
    <col min="6" max="6" width="15.42578125" style="240" customWidth="1"/>
    <col min="7" max="7" width="10.42578125" style="240" customWidth="1"/>
    <col min="8" max="8" width="22.5703125" style="240" customWidth="1"/>
    <col min="9" max="9" width="46.28515625" style="240" customWidth="1"/>
    <col min="10" max="13" width="19.42578125" style="240" customWidth="1"/>
    <col min="14" max="16384" width="8.85546875" style="240"/>
  </cols>
  <sheetData>
    <row r="1" spans="1:13" ht="28.5" customHeight="1">
      <c r="D1" s="35"/>
      <c r="E1" s="35"/>
      <c r="F1" s="35"/>
      <c r="G1" s="334"/>
      <c r="H1" s="334"/>
      <c r="J1" s="258"/>
      <c r="K1" s="334" t="s">
        <v>32</v>
      </c>
      <c r="L1" s="334"/>
      <c r="M1" s="334"/>
    </row>
    <row r="2" spans="1:13" ht="17.850000000000001" customHeight="1">
      <c r="D2" s="36"/>
      <c r="E2" s="36"/>
      <c r="F2" s="37"/>
      <c r="H2" s="101"/>
      <c r="I2" s="101"/>
      <c r="J2" s="101"/>
      <c r="K2" s="335" t="s">
        <v>148</v>
      </c>
      <c r="L2" s="335"/>
      <c r="M2" s="335"/>
    </row>
    <row r="3" spans="1:13">
      <c r="D3" s="36"/>
      <c r="E3" s="36"/>
      <c r="F3" s="37"/>
      <c r="G3" s="335"/>
      <c r="H3" s="335"/>
      <c r="J3" s="101"/>
      <c r="K3" s="335" t="s">
        <v>20</v>
      </c>
      <c r="L3" s="335"/>
      <c r="M3" s="335"/>
    </row>
    <row r="4" spans="1:13">
      <c r="D4" s="36"/>
      <c r="E4" s="36"/>
      <c r="F4" s="37"/>
      <c r="G4" s="101"/>
      <c r="H4" s="101"/>
      <c r="I4" s="101"/>
      <c r="J4" s="101"/>
    </row>
    <row r="5" spans="1:13">
      <c r="D5" s="36"/>
      <c r="E5" s="36"/>
      <c r="F5" s="37"/>
      <c r="G5" s="101"/>
      <c r="H5" s="101"/>
      <c r="I5" s="101"/>
      <c r="J5" s="101"/>
    </row>
    <row r="6" spans="1:13">
      <c r="A6" s="336" t="s">
        <v>302</v>
      </c>
      <c r="B6" s="336"/>
      <c r="C6" s="336"/>
      <c r="D6" s="336"/>
      <c r="E6" s="336"/>
      <c r="F6" s="336"/>
      <c r="G6" s="336"/>
      <c r="H6" s="336"/>
      <c r="I6" s="336"/>
      <c r="J6" s="336"/>
      <c r="K6" s="336"/>
      <c r="L6" s="336"/>
      <c r="M6" s="336"/>
    </row>
    <row r="9" spans="1:13" ht="51" customHeight="1">
      <c r="A9" s="269" t="s">
        <v>303</v>
      </c>
      <c r="B9" s="269" t="s">
        <v>255</v>
      </c>
      <c r="C9" s="269"/>
      <c r="D9" s="269" t="s">
        <v>256</v>
      </c>
      <c r="E9" s="269"/>
      <c r="F9" s="269"/>
      <c r="G9" s="269"/>
      <c r="H9" s="269" t="s">
        <v>257</v>
      </c>
      <c r="I9" s="269" t="s">
        <v>258</v>
      </c>
      <c r="J9" s="376" t="s">
        <v>53</v>
      </c>
      <c r="K9" s="376"/>
      <c r="L9" s="376"/>
      <c r="M9" s="376"/>
    </row>
    <row r="10" spans="1:13" ht="51" customHeight="1">
      <c r="A10" s="269"/>
      <c r="B10" s="184" t="s">
        <v>266</v>
      </c>
      <c r="C10" s="184" t="s">
        <v>265</v>
      </c>
      <c r="D10" s="184" t="s">
        <v>259</v>
      </c>
      <c r="E10" s="184" t="s">
        <v>265</v>
      </c>
      <c r="F10" s="184" t="s">
        <v>267</v>
      </c>
      <c r="G10" s="184" t="s">
        <v>260</v>
      </c>
      <c r="H10" s="269"/>
      <c r="I10" s="269"/>
      <c r="J10" s="184" t="s">
        <v>261</v>
      </c>
      <c r="K10" s="184" t="s">
        <v>262</v>
      </c>
      <c r="L10" s="184" t="s">
        <v>263</v>
      </c>
      <c r="M10" s="184" t="s">
        <v>264</v>
      </c>
    </row>
    <row r="11" spans="1:13" s="261" customFormat="1" ht="48.6" customHeight="1">
      <c r="A11" s="370" t="s">
        <v>268</v>
      </c>
      <c r="B11" s="370"/>
      <c r="C11" s="370"/>
      <c r="D11" s="370"/>
      <c r="E11" s="370"/>
      <c r="F11" s="370"/>
      <c r="G11" s="370"/>
      <c r="H11" s="370"/>
      <c r="I11" s="370"/>
      <c r="J11" s="260">
        <f>+J13+J26</f>
        <v>0</v>
      </c>
      <c r="K11" s="260">
        <f t="shared" ref="K11:M11" si="0">+K13+K26</f>
        <v>0</v>
      </c>
      <c r="L11" s="260">
        <f t="shared" si="0"/>
        <v>1.1641532182693481E-10</v>
      </c>
      <c r="M11" s="260">
        <f t="shared" si="0"/>
        <v>0</v>
      </c>
    </row>
    <row r="12" spans="1:13" s="239" customFormat="1">
      <c r="A12" s="371" t="s">
        <v>140</v>
      </c>
      <c r="B12" s="371"/>
      <c r="C12" s="371"/>
      <c r="D12" s="371"/>
      <c r="E12" s="371"/>
      <c r="F12" s="371"/>
      <c r="G12" s="371"/>
      <c r="H12" s="371"/>
      <c r="I12" s="371"/>
      <c r="J12" s="30"/>
      <c r="K12" s="30"/>
      <c r="L12" s="30"/>
      <c r="M12" s="30"/>
    </row>
    <row r="13" spans="1:13" s="251" customFormat="1" ht="30" customHeight="1">
      <c r="A13" s="372" t="s">
        <v>269</v>
      </c>
      <c r="B13" s="372"/>
      <c r="C13" s="372"/>
      <c r="D13" s="372"/>
      <c r="E13" s="372"/>
      <c r="F13" s="372"/>
      <c r="G13" s="372"/>
      <c r="H13" s="372"/>
      <c r="I13" s="372"/>
      <c r="J13" s="259">
        <f>+J14+J20</f>
        <v>0</v>
      </c>
      <c r="K13" s="259">
        <f t="shared" ref="K13:M13" si="1">+K14+K20</f>
        <v>0</v>
      </c>
      <c r="L13" s="259">
        <f t="shared" si="1"/>
        <v>0</v>
      </c>
      <c r="M13" s="259">
        <f t="shared" si="1"/>
        <v>0</v>
      </c>
    </row>
    <row r="14" spans="1:13" s="248" customFormat="1">
      <c r="A14" s="343"/>
      <c r="B14" s="224">
        <v>1192</v>
      </c>
      <c r="C14" s="345" t="s">
        <v>207</v>
      </c>
      <c r="D14" s="345"/>
      <c r="E14" s="345"/>
      <c r="F14" s="345"/>
      <c r="G14" s="345"/>
      <c r="H14" s="345"/>
      <c r="I14" s="345"/>
      <c r="J14" s="154">
        <f>+J15</f>
        <v>10000</v>
      </c>
      <c r="K14" s="154">
        <f t="shared" ref="K14:M14" si="2">+K15</f>
        <v>0</v>
      </c>
      <c r="L14" s="154">
        <f t="shared" si="2"/>
        <v>0</v>
      </c>
      <c r="M14" s="154">
        <f t="shared" si="2"/>
        <v>0</v>
      </c>
    </row>
    <row r="15" spans="1:13" s="249" customFormat="1" ht="17.850000000000001" customHeight="1">
      <c r="A15" s="343"/>
      <c r="B15" s="357"/>
      <c r="C15" s="340"/>
      <c r="D15" s="224" t="s">
        <v>238</v>
      </c>
      <c r="E15" s="345" t="s">
        <v>239</v>
      </c>
      <c r="F15" s="345"/>
      <c r="G15" s="345"/>
      <c r="H15" s="345"/>
      <c r="I15" s="345"/>
      <c r="J15" s="237">
        <f>+'Հավելված N 2'!G45</f>
        <v>10000</v>
      </c>
      <c r="K15" s="237">
        <f>+'Հավելված N 2'!H45</f>
        <v>0</v>
      </c>
      <c r="L15" s="237">
        <f>+'Հավելված N 2'!I45</f>
        <v>0</v>
      </c>
      <c r="M15" s="237">
        <f>+'Հավելված N 2'!J45</f>
        <v>0</v>
      </c>
    </row>
    <row r="16" spans="1:13" s="248" customFormat="1">
      <c r="A16" s="343"/>
      <c r="B16" s="358"/>
      <c r="C16" s="341"/>
      <c r="D16" s="360"/>
      <c r="E16" s="349"/>
      <c r="F16" s="355" t="s">
        <v>286</v>
      </c>
      <c r="G16" s="356"/>
      <c r="H16" s="356"/>
      <c r="I16" s="356"/>
      <c r="J16" s="356"/>
      <c r="K16" s="356"/>
      <c r="L16" s="356"/>
      <c r="M16" s="346"/>
    </row>
    <row r="17" spans="1:13" s="248" customFormat="1" ht="17.850000000000001" customHeight="1">
      <c r="A17" s="343"/>
      <c r="B17" s="358"/>
      <c r="C17" s="341"/>
      <c r="D17" s="361"/>
      <c r="E17" s="350"/>
      <c r="F17" s="349"/>
      <c r="G17" s="355" t="s">
        <v>77</v>
      </c>
      <c r="H17" s="356"/>
      <c r="I17" s="356"/>
      <c r="J17" s="356"/>
      <c r="K17" s="356"/>
      <c r="L17" s="356"/>
      <c r="M17" s="346"/>
    </row>
    <row r="18" spans="1:13" s="248" customFormat="1">
      <c r="A18" s="343"/>
      <c r="B18" s="359"/>
      <c r="C18" s="342"/>
      <c r="D18" s="362"/>
      <c r="E18" s="351"/>
      <c r="F18" s="351"/>
      <c r="G18" s="232"/>
      <c r="H18" s="355" t="s">
        <v>287</v>
      </c>
      <c r="I18" s="356"/>
      <c r="J18" s="356"/>
      <c r="K18" s="356"/>
      <c r="L18" s="356"/>
      <c r="M18" s="346"/>
    </row>
    <row r="19" spans="1:13" ht="8.65" customHeight="1">
      <c r="A19" s="343"/>
      <c r="B19" s="252"/>
      <c r="C19" s="252"/>
      <c r="D19" s="252"/>
      <c r="E19" s="252"/>
      <c r="F19" s="252"/>
      <c r="G19" s="252"/>
      <c r="H19" s="252"/>
      <c r="I19" s="252"/>
      <c r="J19" s="252"/>
      <c r="K19" s="252"/>
      <c r="L19" s="252"/>
      <c r="M19" s="253"/>
    </row>
    <row r="20" spans="1:13" s="248" customFormat="1">
      <c r="A20" s="343"/>
      <c r="B20" s="224">
        <v>1236</v>
      </c>
      <c r="C20" s="345" t="s">
        <v>76</v>
      </c>
      <c r="D20" s="345"/>
      <c r="E20" s="345"/>
      <c r="F20" s="345"/>
      <c r="G20" s="345"/>
      <c r="H20" s="345"/>
      <c r="I20" s="345"/>
      <c r="J20" s="154">
        <f>+J21</f>
        <v>-10000</v>
      </c>
      <c r="K20" s="154">
        <f t="shared" ref="K20:M20" si="3">+K21</f>
        <v>0</v>
      </c>
      <c r="L20" s="154">
        <f t="shared" si="3"/>
        <v>0</v>
      </c>
      <c r="M20" s="154">
        <f t="shared" si="3"/>
        <v>0</v>
      </c>
    </row>
    <row r="21" spans="1:13" s="249" customFormat="1" ht="17.850000000000001" customHeight="1">
      <c r="A21" s="343"/>
      <c r="B21" s="344"/>
      <c r="C21" s="343"/>
      <c r="D21" s="137" t="s">
        <v>252</v>
      </c>
      <c r="E21" s="345" t="s">
        <v>196</v>
      </c>
      <c r="F21" s="345"/>
      <c r="G21" s="345"/>
      <c r="H21" s="345"/>
      <c r="I21" s="345"/>
      <c r="J21" s="237">
        <f>+'Հավելված N 2'!G87</f>
        <v>-10000</v>
      </c>
      <c r="K21" s="237">
        <f>+'Հավելված N 2'!H87</f>
        <v>0</v>
      </c>
      <c r="L21" s="237">
        <f>+'Հավելված N 2'!I87</f>
        <v>0</v>
      </c>
      <c r="M21" s="237">
        <f>+'Հավելված N 2'!J87</f>
        <v>0</v>
      </c>
    </row>
    <row r="22" spans="1:13" s="248" customFormat="1" ht="33.950000000000003" customHeight="1">
      <c r="A22" s="343"/>
      <c r="B22" s="344"/>
      <c r="C22" s="343"/>
      <c r="D22" s="340"/>
      <c r="E22" s="340"/>
      <c r="F22" s="346" t="s">
        <v>299</v>
      </c>
      <c r="G22" s="345"/>
      <c r="H22" s="345"/>
      <c r="I22" s="345"/>
      <c r="J22" s="345"/>
      <c r="K22" s="345"/>
      <c r="L22" s="345"/>
      <c r="M22" s="345"/>
    </row>
    <row r="23" spans="1:13" s="248" customFormat="1" ht="17.850000000000001" customHeight="1">
      <c r="A23" s="343"/>
      <c r="B23" s="344"/>
      <c r="C23" s="343"/>
      <c r="D23" s="341"/>
      <c r="E23" s="341"/>
      <c r="F23" s="340"/>
      <c r="G23" s="346" t="s">
        <v>77</v>
      </c>
      <c r="H23" s="345"/>
      <c r="I23" s="345"/>
      <c r="J23" s="345"/>
      <c r="K23" s="345"/>
      <c r="L23" s="345"/>
      <c r="M23" s="345"/>
    </row>
    <row r="24" spans="1:13" s="248" customFormat="1">
      <c r="A24" s="343"/>
      <c r="B24" s="344"/>
      <c r="C24" s="343"/>
      <c r="D24" s="342"/>
      <c r="E24" s="342"/>
      <c r="F24" s="342"/>
      <c r="G24" s="245"/>
      <c r="H24" s="346" t="s">
        <v>300</v>
      </c>
      <c r="I24" s="345"/>
      <c r="J24" s="345"/>
      <c r="K24" s="345"/>
      <c r="L24" s="345"/>
      <c r="M24" s="345"/>
    </row>
    <row r="26" spans="1:13" s="251" customFormat="1" ht="30" customHeight="1">
      <c r="A26" s="372" t="s">
        <v>304</v>
      </c>
      <c r="B26" s="372"/>
      <c r="C26" s="372"/>
      <c r="D26" s="372"/>
      <c r="E26" s="372"/>
      <c r="F26" s="372"/>
      <c r="G26" s="372"/>
      <c r="H26" s="372"/>
      <c r="I26" s="372"/>
      <c r="J26" s="259">
        <f>+J27+J40+J53</f>
        <v>0</v>
      </c>
      <c r="K26" s="259">
        <f t="shared" ref="K26:M26" si="4">+K27+K40+K53</f>
        <v>0</v>
      </c>
      <c r="L26" s="259">
        <f t="shared" si="4"/>
        <v>1.1641532182693481E-10</v>
      </c>
      <c r="M26" s="259">
        <f t="shared" si="4"/>
        <v>0</v>
      </c>
    </row>
    <row r="27" spans="1:13">
      <c r="A27" s="343"/>
      <c r="B27" s="254" t="s">
        <v>270</v>
      </c>
      <c r="C27" s="366" t="s">
        <v>271</v>
      </c>
      <c r="D27" s="366"/>
      <c r="E27" s="366"/>
      <c r="F27" s="366"/>
      <c r="G27" s="366"/>
      <c r="H27" s="366"/>
      <c r="I27" s="366"/>
      <c r="J27" s="154">
        <f>+J28+J32</f>
        <v>5193.6999999999971</v>
      </c>
      <c r="K27" s="154">
        <f>+K28+K32</f>
        <v>-60948.100000000006</v>
      </c>
      <c r="L27" s="154">
        <f>+L28+L32</f>
        <v>-173942.3</v>
      </c>
      <c r="M27" s="154">
        <f>+M28+M32</f>
        <v>34157.399999999965</v>
      </c>
    </row>
    <row r="28" spans="1:13" s="241" customFormat="1" ht="33" customHeight="1">
      <c r="A28" s="343"/>
      <c r="B28" s="373"/>
      <c r="C28" s="367"/>
      <c r="D28" s="246" t="s">
        <v>280</v>
      </c>
      <c r="E28" s="366" t="s">
        <v>182</v>
      </c>
      <c r="F28" s="366"/>
      <c r="G28" s="366"/>
      <c r="H28" s="366"/>
      <c r="I28" s="366"/>
      <c r="J28" s="243">
        <f>+'Հավելված N 2'!G104</f>
        <v>-63849.100000000006</v>
      </c>
      <c r="K28" s="243">
        <f>+'Հավելված N 2'!H104</f>
        <v>-224033.4</v>
      </c>
      <c r="L28" s="243">
        <f>+'Հավելված N 2'!I104</f>
        <v>-472624.1</v>
      </c>
      <c r="M28" s="243">
        <f>+'Հավելված N 2'!J104</f>
        <v>-264524.40000000002</v>
      </c>
    </row>
    <row r="29" spans="1:13" ht="33.4" customHeight="1">
      <c r="A29" s="343"/>
      <c r="B29" s="374"/>
      <c r="C29" s="369"/>
      <c r="D29" s="367"/>
      <c r="E29" s="367"/>
      <c r="F29" s="363" t="s">
        <v>272</v>
      </c>
      <c r="G29" s="364"/>
      <c r="H29" s="364"/>
      <c r="I29" s="364"/>
      <c r="J29" s="364"/>
      <c r="K29" s="364"/>
      <c r="L29" s="364"/>
      <c r="M29" s="365"/>
    </row>
    <row r="30" spans="1:13" ht="17.850000000000001" customHeight="1">
      <c r="A30" s="343"/>
      <c r="B30" s="374"/>
      <c r="C30" s="369"/>
      <c r="D30" s="369"/>
      <c r="E30" s="369"/>
      <c r="F30" s="367"/>
      <c r="G30" s="363" t="s">
        <v>273</v>
      </c>
      <c r="H30" s="364"/>
      <c r="I30" s="364"/>
      <c r="J30" s="364"/>
      <c r="K30" s="364"/>
      <c r="L30" s="364"/>
      <c r="M30" s="365"/>
    </row>
    <row r="31" spans="1:13" ht="49.7" customHeight="1">
      <c r="A31" s="343"/>
      <c r="B31" s="374"/>
      <c r="C31" s="369"/>
      <c r="D31" s="368"/>
      <c r="E31" s="368"/>
      <c r="F31" s="368"/>
      <c r="G31" s="242"/>
      <c r="H31" s="363" t="s">
        <v>274</v>
      </c>
      <c r="I31" s="364"/>
      <c r="J31" s="364"/>
      <c r="K31" s="364"/>
      <c r="L31" s="364"/>
      <c r="M31" s="365"/>
    </row>
    <row r="32" spans="1:13" s="241" customFormat="1" ht="33" customHeight="1">
      <c r="A32" s="343"/>
      <c r="B32" s="374"/>
      <c r="C32" s="369"/>
      <c r="D32" s="246" t="s">
        <v>281</v>
      </c>
      <c r="E32" s="366" t="s">
        <v>87</v>
      </c>
      <c r="F32" s="366"/>
      <c r="G32" s="366"/>
      <c r="H32" s="366"/>
      <c r="I32" s="366"/>
      <c r="J32" s="243">
        <f>+'Հավելված N 2'!G113</f>
        <v>69042.8</v>
      </c>
      <c r="K32" s="243">
        <f>+'Հավելված N 2'!H113</f>
        <v>163085.29999999999</v>
      </c>
      <c r="L32" s="243">
        <f>+'Հավելված N 2'!I113</f>
        <v>298681.8</v>
      </c>
      <c r="M32" s="243">
        <f>+'Հավելված N 2'!J113</f>
        <v>298681.8</v>
      </c>
    </row>
    <row r="33" spans="1:13" ht="33.4" customHeight="1">
      <c r="A33" s="343"/>
      <c r="B33" s="374"/>
      <c r="C33" s="369"/>
      <c r="D33" s="367"/>
      <c r="E33" s="367"/>
      <c r="F33" s="363" t="s">
        <v>84</v>
      </c>
      <c r="G33" s="364"/>
      <c r="H33" s="364"/>
      <c r="I33" s="364"/>
      <c r="J33" s="364"/>
      <c r="K33" s="364"/>
      <c r="L33" s="364"/>
      <c r="M33" s="365"/>
    </row>
    <row r="34" spans="1:13" ht="33.4" customHeight="1">
      <c r="A34" s="343"/>
      <c r="B34" s="374"/>
      <c r="C34" s="369"/>
      <c r="D34" s="369"/>
      <c r="E34" s="369"/>
      <c r="F34" s="367"/>
      <c r="G34" s="363" t="s">
        <v>77</v>
      </c>
      <c r="H34" s="364"/>
      <c r="I34" s="364"/>
      <c r="J34" s="364"/>
      <c r="K34" s="364"/>
      <c r="L34" s="364"/>
      <c r="M34" s="365"/>
    </row>
    <row r="35" spans="1:13" ht="33.4" customHeight="1">
      <c r="A35" s="343"/>
      <c r="B35" s="374"/>
      <c r="C35" s="369"/>
      <c r="D35" s="369"/>
      <c r="E35" s="369"/>
      <c r="F35" s="369"/>
      <c r="G35" s="367"/>
      <c r="H35" s="363" t="s">
        <v>276</v>
      </c>
      <c r="I35" s="364"/>
      <c r="J35" s="364"/>
      <c r="K35" s="364"/>
      <c r="L35" s="364"/>
      <c r="M35" s="365"/>
    </row>
    <row r="36" spans="1:13" ht="34.5">
      <c r="A36" s="343"/>
      <c r="B36" s="374"/>
      <c r="C36" s="369"/>
      <c r="D36" s="369"/>
      <c r="E36" s="369"/>
      <c r="F36" s="369"/>
      <c r="G36" s="369"/>
      <c r="H36" s="340"/>
      <c r="I36" s="225" t="s">
        <v>277</v>
      </c>
      <c r="J36" s="225" t="s">
        <v>275</v>
      </c>
      <c r="K36" s="244">
        <v>1</v>
      </c>
      <c r="L36" s="244" t="s">
        <v>275</v>
      </c>
      <c r="M36" s="244">
        <v>1</v>
      </c>
    </row>
    <row r="37" spans="1:13" ht="34.5">
      <c r="A37" s="343"/>
      <c r="B37" s="374"/>
      <c r="C37" s="369"/>
      <c r="D37" s="369"/>
      <c r="E37" s="369"/>
      <c r="F37" s="369"/>
      <c r="G37" s="369"/>
      <c r="H37" s="341"/>
      <c r="I37" s="225" t="s">
        <v>278</v>
      </c>
      <c r="J37" s="225" t="s">
        <v>275</v>
      </c>
      <c r="K37" s="225">
        <v>2</v>
      </c>
      <c r="L37" s="225" t="s">
        <v>275</v>
      </c>
      <c r="M37" s="225">
        <v>2</v>
      </c>
    </row>
    <row r="38" spans="1:13" ht="69">
      <c r="A38" s="343"/>
      <c r="B38" s="375"/>
      <c r="C38" s="368"/>
      <c r="D38" s="368"/>
      <c r="E38" s="368"/>
      <c r="F38" s="368"/>
      <c r="G38" s="368"/>
      <c r="H38" s="342"/>
      <c r="I38" s="225" t="s">
        <v>279</v>
      </c>
      <c r="J38" s="225" t="s">
        <v>275</v>
      </c>
      <c r="K38" s="225">
        <v>1</v>
      </c>
      <c r="L38" s="225" t="s">
        <v>275</v>
      </c>
      <c r="M38" s="225">
        <v>2</v>
      </c>
    </row>
    <row r="39" spans="1:13" ht="8.65" customHeight="1">
      <c r="A39" s="343"/>
      <c r="B39" s="252"/>
      <c r="C39" s="252"/>
      <c r="D39" s="252"/>
      <c r="E39" s="252"/>
      <c r="F39" s="252"/>
      <c r="G39" s="252"/>
      <c r="H39" s="252"/>
      <c r="I39" s="252"/>
      <c r="J39" s="252"/>
      <c r="K39" s="252"/>
      <c r="L39" s="252"/>
      <c r="M39" s="253"/>
    </row>
    <row r="40" spans="1:13" s="248" customFormat="1">
      <c r="A40" s="343"/>
      <c r="B40" s="224">
        <v>1183</v>
      </c>
      <c r="C40" s="345" t="s">
        <v>115</v>
      </c>
      <c r="D40" s="345"/>
      <c r="E40" s="345"/>
      <c r="F40" s="345"/>
      <c r="G40" s="345"/>
      <c r="H40" s="345"/>
      <c r="I40" s="345"/>
      <c r="J40" s="154">
        <f>+J41+J45</f>
        <v>116742.20000000001</v>
      </c>
      <c r="K40" s="154">
        <f>+K41+K45</f>
        <v>235315.7</v>
      </c>
      <c r="L40" s="154">
        <f>+L41+L45</f>
        <v>235315.7</v>
      </c>
      <c r="M40" s="154">
        <f>+M41+M45</f>
        <v>235315.7</v>
      </c>
    </row>
    <row r="41" spans="1:13" s="249" customFormat="1" ht="33" customHeight="1">
      <c r="A41" s="343"/>
      <c r="B41" s="360"/>
      <c r="C41" s="349"/>
      <c r="D41" s="137" t="s">
        <v>228</v>
      </c>
      <c r="E41" s="345" t="s">
        <v>229</v>
      </c>
      <c r="F41" s="345"/>
      <c r="G41" s="345"/>
      <c r="H41" s="345"/>
      <c r="I41" s="345"/>
      <c r="J41" s="237">
        <f>+'Հավելված N 2'!G124</f>
        <v>2679.5</v>
      </c>
      <c r="K41" s="237">
        <f>+'Հավելված N 2'!H124</f>
        <v>3159.5</v>
      </c>
      <c r="L41" s="237">
        <f>+'Հավելված N 2'!I124</f>
        <v>3159.5</v>
      </c>
      <c r="M41" s="237">
        <f>+'Հավելված N 2'!J124</f>
        <v>3159.5</v>
      </c>
    </row>
    <row r="42" spans="1:13" s="248" customFormat="1" ht="33.4" customHeight="1">
      <c r="A42" s="343"/>
      <c r="B42" s="361"/>
      <c r="C42" s="350"/>
      <c r="D42" s="349"/>
      <c r="E42" s="349"/>
      <c r="F42" s="355" t="s">
        <v>141</v>
      </c>
      <c r="G42" s="356"/>
      <c r="H42" s="356"/>
      <c r="I42" s="356"/>
      <c r="J42" s="356"/>
      <c r="K42" s="356"/>
      <c r="L42" s="356"/>
      <c r="M42" s="346"/>
    </row>
    <row r="43" spans="1:13" s="248" customFormat="1" ht="17.850000000000001" customHeight="1">
      <c r="A43" s="343"/>
      <c r="B43" s="361"/>
      <c r="C43" s="350"/>
      <c r="D43" s="350"/>
      <c r="E43" s="350"/>
      <c r="F43" s="349"/>
      <c r="G43" s="355" t="s">
        <v>77</v>
      </c>
      <c r="H43" s="356"/>
      <c r="I43" s="356"/>
      <c r="J43" s="356"/>
      <c r="K43" s="356"/>
      <c r="L43" s="356"/>
      <c r="M43" s="346"/>
    </row>
    <row r="44" spans="1:13" s="248" customFormat="1">
      <c r="A44" s="343"/>
      <c r="B44" s="361"/>
      <c r="C44" s="350"/>
      <c r="D44" s="351"/>
      <c r="E44" s="351"/>
      <c r="F44" s="351"/>
      <c r="G44" s="232"/>
      <c r="H44" s="355" t="s">
        <v>282</v>
      </c>
      <c r="I44" s="356"/>
      <c r="J44" s="356"/>
      <c r="K44" s="356"/>
      <c r="L44" s="356"/>
      <c r="M44" s="346"/>
    </row>
    <row r="45" spans="1:13" s="249" customFormat="1" ht="33" customHeight="1">
      <c r="A45" s="343"/>
      <c r="B45" s="361"/>
      <c r="C45" s="350"/>
      <c r="D45" s="137" t="s">
        <v>231</v>
      </c>
      <c r="E45" s="345" t="s">
        <v>232</v>
      </c>
      <c r="F45" s="345"/>
      <c r="G45" s="345"/>
      <c r="H45" s="345"/>
      <c r="I45" s="345"/>
      <c r="J45" s="237">
        <f>+'Հավելված N 2'!G137</f>
        <v>114062.70000000001</v>
      </c>
      <c r="K45" s="237">
        <f>+'Հավելված N 2'!H137</f>
        <v>232156.2</v>
      </c>
      <c r="L45" s="237">
        <f>+'Հավելված N 2'!I137</f>
        <v>232156.2</v>
      </c>
      <c r="M45" s="237">
        <f>+'Հավելված N 2'!J137</f>
        <v>232156.2</v>
      </c>
    </row>
    <row r="46" spans="1:13" s="248" customFormat="1" ht="33.4" customHeight="1">
      <c r="A46" s="343"/>
      <c r="B46" s="361"/>
      <c r="C46" s="350"/>
      <c r="D46" s="349"/>
      <c r="E46" s="349"/>
      <c r="F46" s="355" t="s">
        <v>142</v>
      </c>
      <c r="G46" s="356"/>
      <c r="H46" s="356"/>
      <c r="I46" s="356"/>
      <c r="J46" s="356"/>
      <c r="K46" s="356"/>
      <c r="L46" s="356"/>
      <c r="M46" s="346"/>
    </row>
    <row r="47" spans="1:13" s="248" customFormat="1" ht="17.850000000000001" customHeight="1">
      <c r="A47" s="343"/>
      <c r="B47" s="361"/>
      <c r="C47" s="350"/>
      <c r="D47" s="350"/>
      <c r="E47" s="350"/>
      <c r="F47" s="349"/>
      <c r="G47" s="355" t="s">
        <v>77</v>
      </c>
      <c r="H47" s="356"/>
      <c r="I47" s="356"/>
      <c r="J47" s="356"/>
      <c r="K47" s="356"/>
      <c r="L47" s="356"/>
      <c r="M47" s="346"/>
    </row>
    <row r="48" spans="1:13" s="248" customFormat="1">
      <c r="A48" s="343"/>
      <c r="B48" s="361"/>
      <c r="C48" s="350"/>
      <c r="D48" s="350"/>
      <c r="E48" s="350"/>
      <c r="F48" s="350"/>
      <c r="G48" s="349"/>
      <c r="H48" s="355" t="s">
        <v>282</v>
      </c>
      <c r="I48" s="356"/>
      <c r="J48" s="356"/>
      <c r="K48" s="356"/>
      <c r="L48" s="356"/>
      <c r="M48" s="346"/>
    </row>
    <row r="49" spans="1:13" s="248" customFormat="1" ht="34.5">
      <c r="A49" s="343"/>
      <c r="B49" s="361"/>
      <c r="C49" s="350"/>
      <c r="D49" s="350"/>
      <c r="E49" s="350"/>
      <c r="F49" s="350"/>
      <c r="G49" s="350"/>
      <c r="H49" s="352"/>
      <c r="I49" s="226" t="s">
        <v>285</v>
      </c>
      <c r="J49" s="226">
        <v>2</v>
      </c>
      <c r="K49" s="250">
        <v>2</v>
      </c>
      <c r="L49" s="250">
        <v>2</v>
      </c>
      <c r="M49" s="250">
        <v>2</v>
      </c>
    </row>
    <row r="50" spans="1:13" s="248" customFormat="1" ht="34.5">
      <c r="A50" s="343"/>
      <c r="B50" s="361"/>
      <c r="C50" s="350"/>
      <c r="D50" s="350"/>
      <c r="E50" s="350"/>
      <c r="F50" s="350"/>
      <c r="G50" s="350"/>
      <c r="H50" s="353"/>
      <c r="I50" s="226" t="s">
        <v>283</v>
      </c>
      <c r="J50" s="226" t="s">
        <v>275</v>
      </c>
      <c r="K50" s="226">
        <v>2</v>
      </c>
      <c r="L50" s="226">
        <v>2</v>
      </c>
      <c r="M50" s="226">
        <v>2</v>
      </c>
    </row>
    <row r="51" spans="1:13" s="248" customFormat="1" ht="69">
      <c r="A51" s="343"/>
      <c r="B51" s="362"/>
      <c r="C51" s="351"/>
      <c r="D51" s="351"/>
      <c r="E51" s="351"/>
      <c r="F51" s="351"/>
      <c r="G51" s="351"/>
      <c r="H51" s="354"/>
      <c r="I51" s="226" t="s">
        <v>284</v>
      </c>
      <c r="J51" s="226" t="s">
        <v>275</v>
      </c>
      <c r="K51" s="226">
        <v>2</v>
      </c>
      <c r="L51" s="226">
        <v>2</v>
      </c>
      <c r="M51" s="226">
        <v>2</v>
      </c>
    </row>
    <row r="52" spans="1:13" ht="8.65" customHeight="1">
      <c r="A52" s="343"/>
      <c r="B52" s="252"/>
      <c r="C52" s="252"/>
      <c r="D52" s="252"/>
      <c r="E52" s="252"/>
      <c r="F52" s="252"/>
      <c r="G52" s="252"/>
      <c r="H52" s="252"/>
      <c r="I52" s="252"/>
      <c r="J52" s="252"/>
      <c r="K52" s="252"/>
      <c r="L52" s="252"/>
      <c r="M52" s="253"/>
    </row>
    <row r="53" spans="1:13" s="248" customFormat="1">
      <c r="A53" s="343"/>
      <c r="B53" s="224">
        <v>1236</v>
      </c>
      <c r="C53" s="345" t="s">
        <v>76</v>
      </c>
      <c r="D53" s="345"/>
      <c r="E53" s="345"/>
      <c r="F53" s="345"/>
      <c r="G53" s="345"/>
      <c r="H53" s="345"/>
      <c r="I53" s="345"/>
      <c r="J53" s="154">
        <f>+J54+J60+J68+J73</f>
        <v>-121935.89999999991</v>
      </c>
      <c r="K53" s="154">
        <f t="shared" ref="K53:M53" si="5">+K54+K60+K68+K73</f>
        <v>-174367.59999999986</v>
      </c>
      <c r="L53" s="154">
        <f t="shared" si="5"/>
        <v>-61373.399999999907</v>
      </c>
      <c r="M53" s="154">
        <f t="shared" si="5"/>
        <v>-269473.10000000009</v>
      </c>
    </row>
    <row r="54" spans="1:13" s="249" customFormat="1" ht="17.850000000000001" customHeight="1">
      <c r="A54" s="343"/>
      <c r="B54" s="343"/>
      <c r="C54" s="343"/>
      <c r="D54" s="137" t="s">
        <v>245</v>
      </c>
      <c r="E54" s="345" t="s">
        <v>85</v>
      </c>
      <c r="F54" s="345"/>
      <c r="G54" s="345"/>
      <c r="H54" s="345"/>
      <c r="I54" s="345"/>
      <c r="J54" s="237">
        <f>+'Հավելված N 2'!G28</f>
        <v>226678.9</v>
      </c>
      <c r="K54" s="237">
        <f>+'Հավելված N 2'!H28</f>
        <v>287782.8</v>
      </c>
      <c r="L54" s="237">
        <f>+'Հավելված N 2'!I28</f>
        <v>433427.89999999997</v>
      </c>
      <c r="M54" s="237">
        <f>+'Հավելված N 2'!J28</f>
        <v>433427.89999999997</v>
      </c>
    </row>
    <row r="55" spans="1:13" s="248" customFormat="1" ht="33.950000000000003" customHeight="1">
      <c r="A55" s="343"/>
      <c r="B55" s="343"/>
      <c r="C55" s="343"/>
      <c r="D55" s="347"/>
      <c r="E55" s="347"/>
      <c r="F55" s="345" t="s">
        <v>288</v>
      </c>
      <c r="G55" s="345"/>
      <c r="H55" s="345"/>
      <c r="I55" s="345"/>
      <c r="J55" s="345"/>
      <c r="K55" s="345"/>
      <c r="L55" s="345"/>
      <c r="M55" s="345"/>
    </row>
    <row r="56" spans="1:13" s="248" customFormat="1" ht="17.850000000000001" customHeight="1">
      <c r="A56" s="343"/>
      <c r="B56" s="343"/>
      <c r="C56" s="343"/>
      <c r="D56" s="347"/>
      <c r="E56" s="347"/>
      <c r="F56" s="347"/>
      <c r="G56" s="345" t="s">
        <v>77</v>
      </c>
      <c r="H56" s="345"/>
      <c r="I56" s="345"/>
      <c r="J56" s="345"/>
      <c r="K56" s="345"/>
      <c r="L56" s="345"/>
      <c r="M56" s="345"/>
    </row>
    <row r="57" spans="1:13" s="248" customFormat="1" ht="33.950000000000003" customHeight="1">
      <c r="A57" s="343"/>
      <c r="B57" s="343"/>
      <c r="C57" s="343"/>
      <c r="D57" s="347"/>
      <c r="E57" s="347"/>
      <c r="F57" s="347"/>
      <c r="G57" s="347"/>
      <c r="H57" s="345" t="s">
        <v>289</v>
      </c>
      <c r="I57" s="345"/>
      <c r="J57" s="345"/>
      <c r="K57" s="345"/>
      <c r="L57" s="345"/>
      <c r="M57" s="345"/>
    </row>
    <row r="58" spans="1:13" s="248" customFormat="1" ht="34.5">
      <c r="A58" s="343"/>
      <c r="B58" s="343"/>
      <c r="C58" s="343"/>
      <c r="D58" s="347"/>
      <c r="E58" s="347"/>
      <c r="F58" s="347"/>
      <c r="G58" s="347"/>
      <c r="H58" s="348"/>
      <c r="I58" s="226" t="s">
        <v>290</v>
      </c>
      <c r="J58" s="226">
        <v>1</v>
      </c>
      <c r="K58" s="250">
        <v>1</v>
      </c>
      <c r="L58" s="250">
        <v>1</v>
      </c>
      <c r="M58" s="250">
        <v>1</v>
      </c>
    </row>
    <row r="59" spans="1:13" s="248" customFormat="1" ht="69">
      <c r="A59" s="343"/>
      <c r="B59" s="343"/>
      <c r="C59" s="343"/>
      <c r="D59" s="347"/>
      <c r="E59" s="347"/>
      <c r="F59" s="347"/>
      <c r="G59" s="347"/>
      <c r="H59" s="348"/>
      <c r="I59" s="226" t="s">
        <v>291</v>
      </c>
      <c r="J59" s="226">
        <v>0</v>
      </c>
      <c r="K59" s="226">
        <v>0</v>
      </c>
      <c r="L59" s="226">
        <v>1</v>
      </c>
      <c r="M59" s="226">
        <v>1</v>
      </c>
    </row>
    <row r="60" spans="1:13" s="249" customFormat="1" ht="17.850000000000001" customHeight="1">
      <c r="A60" s="343"/>
      <c r="B60" s="343"/>
      <c r="C60" s="343"/>
      <c r="D60" s="137" t="s">
        <v>247</v>
      </c>
      <c r="E60" s="345" t="s">
        <v>95</v>
      </c>
      <c r="F60" s="345"/>
      <c r="G60" s="345"/>
      <c r="H60" s="345"/>
      <c r="I60" s="345"/>
      <c r="J60" s="237">
        <f>+'Հավելված N 2'!G56</f>
        <v>14972.700000000041</v>
      </c>
      <c r="K60" s="237">
        <f>+'Հավելված N 2'!H56</f>
        <v>174094.3000000001</v>
      </c>
      <c r="L60" s="237">
        <f>+'Հավելված N 2'!I56</f>
        <v>319266.70000000007</v>
      </c>
      <c r="M60" s="237">
        <f>+'Հավելված N 2'!J56</f>
        <v>279975.30000000005</v>
      </c>
    </row>
    <row r="61" spans="1:13" s="248" customFormat="1" ht="33.950000000000003" customHeight="1">
      <c r="A61" s="343"/>
      <c r="B61" s="343"/>
      <c r="C61" s="343"/>
      <c r="D61" s="349"/>
      <c r="E61" s="349"/>
      <c r="F61" s="345" t="s">
        <v>104</v>
      </c>
      <c r="G61" s="345"/>
      <c r="H61" s="345"/>
      <c r="I61" s="345"/>
      <c r="J61" s="345"/>
      <c r="K61" s="345"/>
      <c r="L61" s="345"/>
      <c r="M61" s="345"/>
    </row>
    <row r="62" spans="1:13" s="248" customFormat="1" ht="17.850000000000001" customHeight="1">
      <c r="A62" s="343"/>
      <c r="B62" s="343"/>
      <c r="C62" s="343"/>
      <c r="D62" s="350"/>
      <c r="E62" s="350"/>
      <c r="F62" s="349"/>
      <c r="G62" s="345" t="s">
        <v>77</v>
      </c>
      <c r="H62" s="345"/>
      <c r="I62" s="345"/>
      <c r="J62" s="345"/>
      <c r="K62" s="345"/>
      <c r="L62" s="345"/>
      <c r="M62" s="345"/>
    </row>
    <row r="63" spans="1:13" s="248" customFormat="1">
      <c r="A63" s="343"/>
      <c r="B63" s="343"/>
      <c r="C63" s="343"/>
      <c r="D63" s="350"/>
      <c r="E63" s="350"/>
      <c r="F63" s="350"/>
      <c r="G63" s="349"/>
      <c r="H63" s="345" t="s">
        <v>292</v>
      </c>
      <c r="I63" s="345"/>
      <c r="J63" s="345"/>
      <c r="K63" s="345"/>
      <c r="L63" s="345"/>
      <c r="M63" s="345"/>
    </row>
    <row r="64" spans="1:13" s="248" customFormat="1" ht="34.5">
      <c r="A64" s="343"/>
      <c r="B64" s="343"/>
      <c r="C64" s="343"/>
      <c r="D64" s="350"/>
      <c r="E64" s="350"/>
      <c r="F64" s="350"/>
      <c r="G64" s="350"/>
      <c r="H64" s="352"/>
      <c r="I64" s="226" t="s">
        <v>293</v>
      </c>
      <c r="J64" s="226">
        <v>2</v>
      </c>
      <c r="K64" s="250">
        <v>3</v>
      </c>
      <c r="L64" s="250">
        <v>3</v>
      </c>
      <c r="M64" s="250">
        <v>3</v>
      </c>
    </row>
    <row r="65" spans="1:13" s="248" customFormat="1" ht="69">
      <c r="A65" s="343"/>
      <c r="B65" s="343"/>
      <c r="C65" s="343"/>
      <c r="D65" s="350"/>
      <c r="E65" s="350"/>
      <c r="F65" s="350"/>
      <c r="G65" s="350"/>
      <c r="H65" s="353"/>
      <c r="I65" s="226" t="s">
        <v>294</v>
      </c>
      <c r="J65" s="226">
        <v>0</v>
      </c>
      <c r="K65" s="226">
        <v>0</v>
      </c>
      <c r="L65" s="226">
        <v>3</v>
      </c>
      <c r="M65" s="226">
        <v>3</v>
      </c>
    </row>
    <row r="66" spans="1:13" s="248" customFormat="1" ht="69">
      <c r="A66" s="343"/>
      <c r="B66" s="343"/>
      <c r="C66" s="343"/>
      <c r="D66" s="350"/>
      <c r="E66" s="350"/>
      <c r="F66" s="350"/>
      <c r="G66" s="350"/>
      <c r="H66" s="353"/>
      <c r="I66" s="226" t="s">
        <v>295</v>
      </c>
      <c r="J66" s="226">
        <v>0</v>
      </c>
      <c r="K66" s="226">
        <v>0</v>
      </c>
      <c r="L66" s="226">
        <v>350</v>
      </c>
      <c r="M66" s="226">
        <v>350</v>
      </c>
    </row>
    <row r="67" spans="1:13" ht="34.5">
      <c r="A67" s="343"/>
      <c r="B67" s="343"/>
      <c r="C67" s="343"/>
      <c r="D67" s="351"/>
      <c r="E67" s="351"/>
      <c r="F67" s="351"/>
      <c r="G67" s="351"/>
      <c r="H67" s="354"/>
      <c r="I67" s="225" t="s">
        <v>283</v>
      </c>
      <c r="J67" s="225">
        <v>0</v>
      </c>
      <c r="K67" s="225">
        <v>3</v>
      </c>
      <c r="L67" s="225">
        <v>3</v>
      </c>
      <c r="M67" s="225">
        <v>3</v>
      </c>
    </row>
    <row r="68" spans="1:13" s="249" customFormat="1" ht="17.850000000000001" customHeight="1">
      <c r="A68" s="343"/>
      <c r="B68" s="343"/>
      <c r="C68" s="343"/>
      <c r="D68" s="137" t="s">
        <v>249</v>
      </c>
      <c r="E68" s="345" t="s">
        <v>164</v>
      </c>
      <c r="F68" s="345"/>
      <c r="G68" s="345"/>
      <c r="H68" s="345"/>
      <c r="I68" s="345"/>
      <c r="J68" s="237">
        <f>+'Հավելված N 2'!G65</f>
        <v>0</v>
      </c>
      <c r="K68" s="237">
        <f>+'Հավելված N 2'!H65</f>
        <v>14390</v>
      </c>
      <c r="L68" s="237">
        <f>+'Հավելված N 2'!I65</f>
        <v>14390</v>
      </c>
      <c r="M68" s="237">
        <f>+'Հավելված N 2'!J65</f>
        <v>14390</v>
      </c>
    </row>
    <row r="69" spans="1:13" s="248" customFormat="1" ht="33.950000000000003" customHeight="1">
      <c r="A69" s="343"/>
      <c r="B69" s="343"/>
      <c r="C69" s="343"/>
      <c r="D69" s="347"/>
      <c r="E69" s="347"/>
      <c r="F69" s="345" t="s">
        <v>296</v>
      </c>
      <c r="G69" s="345"/>
      <c r="H69" s="345"/>
      <c r="I69" s="345"/>
      <c r="J69" s="345"/>
      <c r="K69" s="345"/>
      <c r="L69" s="345"/>
      <c r="M69" s="345"/>
    </row>
    <row r="70" spans="1:13" s="248" customFormat="1" ht="17.850000000000001" customHeight="1">
      <c r="A70" s="343"/>
      <c r="B70" s="343"/>
      <c r="C70" s="343"/>
      <c r="D70" s="347"/>
      <c r="E70" s="347"/>
      <c r="F70" s="347"/>
      <c r="G70" s="345" t="s">
        <v>77</v>
      </c>
      <c r="H70" s="345"/>
      <c r="I70" s="345"/>
      <c r="J70" s="345"/>
      <c r="K70" s="345"/>
      <c r="L70" s="345"/>
      <c r="M70" s="345"/>
    </row>
    <row r="71" spans="1:13" s="248" customFormat="1">
      <c r="A71" s="343"/>
      <c r="B71" s="343"/>
      <c r="C71" s="343"/>
      <c r="D71" s="347"/>
      <c r="E71" s="347"/>
      <c r="F71" s="347"/>
      <c r="G71" s="347"/>
      <c r="H71" s="345" t="s">
        <v>292</v>
      </c>
      <c r="I71" s="345"/>
      <c r="J71" s="345"/>
      <c r="K71" s="345"/>
      <c r="L71" s="345"/>
      <c r="M71" s="345"/>
    </row>
    <row r="72" spans="1:13" s="248" customFormat="1" ht="34.5">
      <c r="A72" s="343"/>
      <c r="B72" s="343"/>
      <c r="C72" s="343"/>
      <c r="D72" s="347"/>
      <c r="E72" s="347"/>
      <c r="F72" s="347"/>
      <c r="G72" s="347"/>
      <c r="H72" s="159"/>
      <c r="I72" s="226" t="s">
        <v>283</v>
      </c>
      <c r="J72" s="226">
        <v>0</v>
      </c>
      <c r="K72" s="250">
        <v>1</v>
      </c>
      <c r="L72" s="250">
        <v>1</v>
      </c>
      <c r="M72" s="250">
        <v>1</v>
      </c>
    </row>
    <row r="73" spans="1:13" s="249" customFormat="1" ht="17.850000000000001" customHeight="1">
      <c r="A73" s="343"/>
      <c r="B73" s="343"/>
      <c r="C73" s="343"/>
      <c r="D73" s="137" t="s">
        <v>251</v>
      </c>
      <c r="E73" s="345" t="s">
        <v>98</v>
      </c>
      <c r="F73" s="345"/>
      <c r="G73" s="345"/>
      <c r="H73" s="345"/>
      <c r="I73" s="345"/>
      <c r="J73" s="237">
        <f>+'Հավելված N 2'!G74</f>
        <v>-363587.49999999994</v>
      </c>
      <c r="K73" s="237">
        <f>+'Հավելված N 2'!H74</f>
        <v>-650634.69999999995</v>
      </c>
      <c r="L73" s="237">
        <f>+'Հավելված N 2'!I74</f>
        <v>-828458</v>
      </c>
      <c r="M73" s="237">
        <f>+'Հավելված N 2'!J74</f>
        <v>-997266.3</v>
      </c>
    </row>
    <row r="74" spans="1:13" s="248" customFormat="1" ht="33.950000000000003" customHeight="1">
      <c r="A74" s="343"/>
      <c r="B74" s="343"/>
      <c r="C74" s="343"/>
      <c r="D74" s="347"/>
      <c r="E74" s="347"/>
      <c r="F74" s="346" t="s">
        <v>104</v>
      </c>
      <c r="G74" s="345"/>
      <c r="H74" s="345"/>
      <c r="I74" s="345"/>
      <c r="J74" s="345"/>
      <c r="K74" s="345"/>
      <c r="L74" s="345"/>
      <c r="M74" s="345"/>
    </row>
    <row r="75" spans="1:13" s="248" customFormat="1" ht="17.850000000000001" customHeight="1">
      <c r="A75" s="343"/>
      <c r="B75" s="343"/>
      <c r="C75" s="343"/>
      <c r="D75" s="347"/>
      <c r="E75" s="347"/>
      <c r="F75" s="347"/>
      <c r="G75" s="346" t="s">
        <v>77</v>
      </c>
      <c r="H75" s="345"/>
      <c r="I75" s="345"/>
      <c r="J75" s="345"/>
      <c r="K75" s="345"/>
      <c r="L75" s="345"/>
      <c r="M75" s="345"/>
    </row>
    <row r="76" spans="1:13" s="248" customFormat="1">
      <c r="A76" s="343"/>
      <c r="B76" s="343"/>
      <c r="C76" s="343"/>
      <c r="D76" s="347"/>
      <c r="E76" s="347"/>
      <c r="F76" s="347"/>
      <c r="G76" s="347"/>
      <c r="H76" s="346" t="s">
        <v>297</v>
      </c>
      <c r="I76" s="345"/>
      <c r="J76" s="345"/>
      <c r="K76" s="345"/>
      <c r="L76" s="345"/>
      <c r="M76" s="345"/>
    </row>
    <row r="77" spans="1:13" s="248" customFormat="1" ht="103.5">
      <c r="A77" s="343"/>
      <c r="B77" s="343"/>
      <c r="C77" s="343"/>
      <c r="D77" s="347"/>
      <c r="E77" s="347"/>
      <c r="F77" s="347"/>
      <c r="G77" s="347"/>
      <c r="H77" s="348"/>
      <c r="I77" s="257" t="s">
        <v>298</v>
      </c>
      <c r="J77" s="255">
        <v>-3</v>
      </c>
      <c r="K77" s="256">
        <v>-3</v>
      </c>
      <c r="L77" s="256">
        <v>-3</v>
      </c>
      <c r="M77" s="256">
        <v>-3</v>
      </c>
    </row>
    <row r="78" spans="1:13" s="248" customFormat="1" ht="34.5">
      <c r="A78" s="343"/>
      <c r="B78" s="343"/>
      <c r="C78" s="343"/>
      <c r="D78" s="347"/>
      <c r="E78" s="347"/>
      <c r="F78" s="347"/>
      <c r="G78" s="347"/>
      <c r="H78" s="348"/>
      <c r="I78" s="257" t="s">
        <v>283</v>
      </c>
      <c r="J78" s="255">
        <v>0</v>
      </c>
      <c r="K78" s="256">
        <v>5</v>
      </c>
      <c r="L78" s="256">
        <v>5</v>
      </c>
      <c r="M78" s="256">
        <v>5</v>
      </c>
    </row>
  </sheetData>
  <mergeCells count="114">
    <mergeCell ref="G1:H1"/>
    <mergeCell ref="K1:M1"/>
    <mergeCell ref="K2:M2"/>
    <mergeCell ref="G3:H3"/>
    <mergeCell ref="K3:M3"/>
    <mergeCell ref="A6:M6"/>
    <mergeCell ref="A11:I11"/>
    <mergeCell ref="A12:I12"/>
    <mergeCell ref="A13:I13"/>
    <mergeCell ref="A14:A24"/>
    <mergeCell ref="A9:A10"/>
    <mergeCell ref="B9:C9"/>
    <mergeCell ref="D9:G9"/>
    <mergeCell ref="H9:H10"/>
    <mergeCell ref="I9:I10"/>
    <mergeCell ref="B21:B24"/>
    <mergeCell ref="C21:C24"/>
    <mergeCell ref="E22:E24"/>
    <mergeCell ref="F22:M22"/>
    <mergeCell ref="F23:F24"/>
    <mergeCell ref="G23:M23"/>
    <mergeCell ref="H24:M24"/>
    <mergeCell ref="G17:M17"/>
    <mergeCell ref="H18:M18"/>
    <mergeCell ref="C20:I20"/>
    <mergeCell ref="J9:M9"/>
    <mergeCell ref="H35:M35"/>
    <mergeCell ref="H36:H38"/>
    <mergeCell ref="C14:I14"/>
    <mergeCell ref="B15:B18"/>
    <mergeCell ref="C15:C18"/>
    <mergeCell ref="E15:I15"/>
    <mergeCell ref="D16:D18"/>
    <mergeCell ref="E16:E18"/>
    <mergeCell ref="F16:M16"/>
    <mergeCell ref="F17:F18"/>
    <mergeCell ref="F30:F31"/>
    <mergeCell ref="G30:M30"/>
    <mergeCell ref="H31:M31"/>
    <mergeCell ref="E32:I32"/>
    <mergeCell ref="D33:D38"/>
    <mergeCell ref="E33:E38"/>
    <mergeCell ref="F33:M33"/>
    <mergeCell ref="F34:F38"/>
    <mergeCell ref="G34:M34"/>
    <mergeCell ref="G35:G38"/>
    <mergeCell ref="C27:I27"/>
    <mergeCell ref="B28:B38"/>
    <mergeCell ref="E21:I21"/>
    <mergeCell ref="D22:D24"/>
    <mergeCell ref="A26:I26"/>
    <mergeCell ref="C40:I40"/>
    <mergeCell ref="B41:B51"/>
    <mergeCell ref="C41:C51"/>
    <mergeCell ref="E41:I41"/>
    <mergeCell ref="D42:D44"/>
    <mergeCell ref="E42:E44"/>
    <mergeCell ref="F42:M42"/>
    <mergeCell ref="F43:F44"/>
    <mergeCell ref="G43:M43"/>
    <mergeCell ref="C28:C38"/>
    <mergeCell ref="E28:I28"/>
    <mergeCell ref="D29:D31"/>
    <mergeCell ref="E29:E31"/>
    <mergeCell ref="F29:M29"/>
    <mergeCell ref="H44:M44"/>
    <mergeCell ref="E45:I45"/>
    <mergeCell ref="D46:D51"/>
    <mergeCell ref="E46:E51"/>
    <mergeCell ref="F46:M46"/>
    <mergeCell ref="F47:F51"/>
    <mergeCell ref="G47:M47"/>
    <mergeCell ref="G48:G51"/>
    <mergeCell ref="H48:M48"/>
    <mergeCell ref="H49:H51"/>
    <mergeCell ref="F62:F67"/>
    <mergeCell ref="G62:M62"/>
    <mergeCell ref="G63:G67"/>
    <mergeCell ref="H63:M63"/>
    <mergeCell ref="H64:H67"/>
    <mergeCell ref="C53:I53"/>
    <mergeCell ref="E54:I54"/>
    <mergeCell ref="D55:D59"/>
    <mergeCell ref="E55:E59"/>
    <mergeCell ref="F55:M55"/>
    <mergeCell ref="F56:F59"/>
    <mergeCell ref="G56:M56"/>
    <mergeCell ref="G57:G59"/>
    <mergeCell ref="H57:M57"/>
    <mergeCell ref="H58:H59"/>
    <mergeCell ref="A27:A78"/>
    <mergeCell ref="B54:B78"/>
    <mergeCell ref="C54:C78"/>
    <mergeCell ref="E73:I73"/>
    <mergeCell ref="D74:D78"/>
    <mergeCell ref="E74:E78"/>
    <mergeCell ref="F74:M74"/>
    <mergeCell ref="F75:F78"/>
    <mergeCell ref="G75:M75"/>
    <mergeCell ref="G76:G78"/>
    <mergeCell ref="H76:M76"/>
    <mergeCell ref="H77:H78"/>
    <mergeCell ref="E68:I68"/>
    <mergeCell ref="D69:D72"/>
    <mergeCell ref="E69:E72"/>
    <mergeCell ref="F69:M69"/>
    <mergeCell ref="F70:F72"/>
    <mergeCell ref="G70:M70"/>
    <mergeCell ref="G71:G72"/>
    <mergeCell ref="H71:M71"/>
    <mergeCell ref="E60:I60"/>
    <mergeCell ref="D61:D67"/>
    <mergeCell ref="E61:E67"/>
    <mergeCell ref="F61:M6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3"/>
  <sheetViews>
    <sheetView zoomScale="85" zoomScaleNormal="85" workbookViewId="0">
      <selection activeCell="A123" sqref="A123"/>
    </sheetView>
  </sheetViews>
  <sheetFormatPr defaultColWidth="9.140625" defaultRowHeight="17.25"/>
  <cols>
    <col min="1" max="4" width="18.140625" style="22" customWidth="1"/>
    <col min="5" max="6" width="14.42578125" style="65" customWidth="1"/>
    <col min="7" max="7" width="17.7109375" style="66" customWidth="1"/>
    <col min="8" max="8" width="14.42578125" style="66" customWidth="1"/>
    <col min="9" max="9" width="30.140625" style="65" customWidth="1"/>
    <col min="10" max="10" width="37.140625" style="22" customWidth="1"/>
    <col min="11" max="11" width="20.140625" style="22" customWidth="1"/>
    <col min="12" max="12" width="14" style="22" bestFit="1" customWidth="1"/>
    <col min="13" max="16384" width="9.140625" style="22"/>
  </cols>
  <sheetData>
    <row r="1" spans="1:9" ht="33.4" customHeight="1">
      <c r="A1" s="56"/>
      <c r="B1" s="56"/>
      <c r="C1" s="56"/>
      <c r="D1" s="56"/>
      <c r="E1" s="57"/>
      <c r="F1" s="57"/>
      <c r="G1" s="58"/>
      <c r="H1" s="397" t="s">
        <v>206</v>
      </c>
      <c r="I1" s="397"/>
    </row>
    <row r="2" spans="1:9">
      <c r="A2" s="56"/>
      <c r="B2" s="56"/>
      <c r="C2" s="56"/>
      <c r="D2" s="56"/>
      <c r="E2" s="57"/>
      <c r="F2" s="57"/>
      <c r="G2" s="58"/>
      <c r="H2" s="398" t="s">
        <v>198</v>
      </c>
      <c r="I2" s="398"/>
    </row>
    <row r="3" spans="1:9">
      <c r="A3" s="56"/>
      <c r="B3" s="56"/>
      <c r="C3" s="56"/>
      <c r="D3" s="56"/>
      <c r="E3" s="57"/>
      <c r="F3" s="57"/>
      <c r="G3" s="58"/>
      <c r="H3" s="398" t="s">
        <v>0</v>
      </c>
      <c r="I3" s="398"/>
    </row>
    <row r="4" spans="1:9">
      <c r="A4" s="56"/>
      <c r="B4" s="56"/>
      <c r="C4" s="56"/>
      <c r="D4" s="56"/>
      <c r="E4" s="57"/>
      <c r="F4" s="57"/>
      <c r="G4" s="58"/>
      <c r="H4" s="58"/>
      <c r="I4" s="59"/>
    </row>
    <row r="5" spans="1:9">
      <c r="A5" s="56"/>
      <c r="B5" s="56"/>
      <c r="C5" s="56"/>
      <c r="D5" s="56"/>
      <c r="E5" s="57"/>
      <c r="F5" s="57"/>
      <c r="G5" s="58"/>
      <c r="H5" s="58"/>
      <c r="I5" s="59"/>
    </row>
    <row r="6" spans="1:9" ht="32.25" customHeight="1">
      <c r="A6" s="399" t="s">
        <v>199</v>
      </c>
      <c r="B6" s="399"/>
      <c r="C6" s="399"/>
      <c r="D6" s="399"/>
      <c r="E6" s="399"/>
      <c r="F6" s="399"/>
      <c r="G6" s="399"/>
      <c r="H6" s="399"/>
      <c r="I6" s="399"/>
    </row>
    <row r="7" spans="1:9" ht="21" customHeight="1">
      <c r="A7" s="399"/>
      <c r="B7" s="399"/>
      <c r="C7" s="399"/>
      <c r="D7" s="399"/>
      <c r="E7" s="399"/>
      <c r="F7" s="399"/>
      <c r="G7" s="399"/>
      <c r="H7" s="399"/>
      <c r="I7" s="399"/>
    </row>
    <row r="8" spans="1:9" ht="21" customHeight="1">
      <c r="A8" s="60"/>
      <c r="B8" s="60"/>
      <c r="C8" s="60"/>
      <c r="D8" s="60"/>
      <c r="E8" s="60"/>
      <c r="F8" s="60"/>
      <c r="G8" s="60"/>
      <c r="H8" s="60"/>
      <c r="I8" s="60"/>
    </row>
    <row r="9" spans="1:9" ht="21" customHeight="1">
      <c r="A9" s="60"/>
      <c r="B9" s="60"/>
      <c r="C9" s="60"/>
      <c r="D9" s="60"/>
      <c r="E9" s="60"/>
      <c r="F9" s="60"/>
      <c r="G9" s="60"/>
      <c r="H9" s="60"/>
      <c r="I9" s="60"/>
    </row>
    <row r="10" spans="1:9" ht="73.7" customHeight="1">
      <c r="A10" s="400" t="s">
        <v>25</v>
      </c>
      <c r="B10" s="400" t="s">
        <v>26</v>
      </c>
      <c r="C10" s="400"/>
      <c r="D10" s="400"/>
      <c r="E10" s="400" t="s">
        <v>27</v>
      </c>
      <c r="F10" s="400" t="s">
        <v>28</v>
      </c>
      <c r="G10" s="400" t="s">
        <v>29</v>
      </c>
      <c r="H10" s="401" t="s">
        <v>200</v>
      </c>
      <c r="I10" s="401"/>
    </row>
    <row r="11" spans="1:9" ht="21" customHeight="1">
      <c r="A11" s="400"/>
      <c r="B11" s="400"/>
      <c r="C11" s="400"/>
      <c r="D11" s="400"/>
      <c r="E11" s="400"/>
      <c r="F11" s="400"/>
      <c r="G11" s="400"/>
      <c r="H11" s="61" t="s">
        <v>30</v>
      </c>
      <c r="I11" s="62" t="s">
        <v>31</v>
      </c>
    </row>
    <row r="12" spans="1:9">
      <c r="A12" s="63">
        <v>1</v>
      </c>
      <c r="B12" s="402">
        <v>2</v>
      </c>
      <c r="C12" s="403"/>
      <c r="D12" s="404"/>
      <c r="E12" s="61">
        <v>3</v>
      </c>
      <c r="F12" s="61">
        <v>4</v>
      </c>
      <c r="G12" s="61">
        <v>5</v>
      </c>
      <c r="H12" s="61">
        <v>6</v>
      </c>
      <c r="I12" s="61">
        <v>7</v>
      </c>
    </row>
    <row r="13" spans="1:9" ht="44.85" customHeight="1">
      <c r="A13" s="405" t="s">
        <v>105</v>
      </c>
      <c r="B13" s="405"/>
      <c r="C13" s="405"/>
      <c r="D13" s="405"/>
      <c r="E13" s="405"/>
      <c r="F13" s="405"/>
      <c r="G13" s="405"/>
      <c r="H13" s="405"/>
      <c r="I13" s="223">
        <f>+I14+I26+I69</f>
        <v>0</v>
      </c>
    </row>
    <row r="14" spans="1:9" s="2" customFormat="1">
      <c r="A14" s="85" t="s">
        <v>64</v>
      </c>
      <c r="B14" s="85" t="s">
        <v>90</v>
      </c>
      <c r="C14" s="85" t="s">
        <v>66</v>
      </c>
      <c r="D14" s="393" t="s">
        <v>91</v>
      </c>
      <c r="E14" s="394"/>
      <c r="F14" s="394"/>
      <c r="G14" s="394"/>
      <c r="H14" s="395"/>
      <c r="I14" s="86">
        <f>+I15</f>
        <v>433427.89999999997</v>
      </c>
    </row>
    <row r="15" spans="1:9" s="88" customFormat="1" ht="54.95" customHeight="1">
      <c r="A15" s="15" t="s">
        <v>78</v>
      </c>
      <c r="B15" s="406" t="s">
        <v>79</v>
      </c>
      <c r="C15" s="406"/>
      <c r="D15" s="406"/>
      <c r="E15" s="406"/>
      <c r="F15" s="406"/>
      <c r="G15" s="406"/>
      <c r="H15" s="406"/>
      <c r="I15" s="87">
        <f>+I16+I18</f>
        <v>433427.89999999997</v>
      </c>
    </row>
    <row r="16" spans="1:9" s="17" customFormat="1" ht="21" customHeight="1">
      <c r="A16" s="82"/>
      <c r="B16" s="266" t="s">
        <v>67</v>
      </c>
      <c r="C16" s="267"/>
      <c r="D16" s="268"/>
      <c r="E16" s="83"/>
      <c r="F16" s="83"/>
      <c r="G16" s="83"/>
      <c r="H16" s="84"/>
      <c r="I16" s="48">
        <f>+I17</f>
        <v>413571.6</v>
      </c>
    </row>
    <row r="17" spans="1:9" s="91" customFormat="1">
      <c r="A17" s="134">
        <v>45221142</v>
      </c>
      <c r="B17" s="382" t="s">
        <v>124</v>
      </c>
      <c r="C17" s="382"/>
      <c r="D17" s="382"/>
      <c r="E17" s="89" t="s">
        <v>88</v>
      </c>
      <c r="F17" s="89" t="s">
        <v>63</v>
      </c>
      <c r="G17" s="90">
        <v>413571600</v>
      </c>
      <c r="H17" s="47">
        <v>1</v>
      </c>
      <c r="I17" s="169">
        <f t="shared" ref="I17" si="0">+ROUNDUP(H17*G17/1000,1)</f>
        <v>413571.6</v>
      </c>
    </row>
    <row r="18" spans="1:9" s="91" customFormat="1" ht="21" customHeight="1">
      <c r="A18" s="199"/>
      <c r="B18" s="266" t="s">
        <v>50</v>
      </c>
      <c r="C18" s="267"/>
      <c r="D18" s="268"/>
      <c r="E18" s="83" t="s">
        <v>68</v>
      </c>
      <c r="F18" s="83" t="s">
        <v>68</v>
      </c>
      <c r="G18" s="83" t="s">
        <v>68</v>
      </c>
      <c r="H18" s="92"/>
      <c r="I18" s="48">
        <f>SUM(I19:I25)</f>
        <v>19856.300000000003</v>
      </c>
    </row>
    <row r="19" spans="1:9" s="91" customFormat="1">
      <c r="A19" s="134">
        <v>71351540</v>
      </c>
      <c r="B19" s="382" t="s">
        <v>57</v>
      </c>
      <c r="C19" s="382"/>
      <c r="D19" s="382"/>
      <c r="E19" s="159" t="s">
        <v>51</v>
      </c>
      <c r="F19" s="159" t="s">
        <v>49</v>
      </c>
      <c r="G19" s="167">
        <v>277000</v>
      </c>
      <c r="H19" s="168">
        <v>1</v>
      </c>
      <c r="I19" s="169">
        <f t="shared" ref="I19:I23" si="1">+ROUNDUP(H19*G19/1000,1)</f>
        <v>277</v>
      </c>
    </row>
    <row r="20" spans="1:9" s="91" customFormat="1">
      <c r="A20" s="134">
        <v>71351540</v>
      </c>
      <c r="B20" s="382" t="s">
        <v>57</v>
      </c>
      <c r="C20" s="382"/>
      <c r="D20" s="382"/>
      <c r="E20" s="159" t="s">
        <v>51</v>
      </c>
      <c r="F20" s="159" t="s">
        <v>49</v>
      </c>
      <c r="G20" s="167">
        <v>469100</v>
      </c>
      <c r="H20" s="168">
        <v>1</v>
      </c>
      <c r="I20" s="169">
        <f t="shared" si="1"/>
        <v>469.1</v>
      </c>
    </row>
    <row r="21" spans="1:9" s="91" customFormat="1">
      <c r="A21" s="134">
        <v>71351540</v>
      </c>
      <c r="B21" s="382" t="s">
        <v>57</v>
      </c>
      <c r="C21" s="382"/>
      <c r="D21" s="382"/>
      <c r="E21" s="159" t="s">
        <v>51</v>
      </c>
      <c r="F21" s="159" t="s">
        <v>49</v>
      </c>
      <c r="G21" s="167">
        <v>576600</v>
      </c>
      <c r="H21" s="168">
        <v>1</v>
      </c>
      <c r="I21" s="169">
        <f t="shared" ref="I21" si="2">+ROUNDUP(H21*G21/1000,1)</f>
        <v>576.6</v>
      </c>
    </row>
    <row r="22" spans="1:9" s="91" customFormat="1">
      <c r="A22" s="134">
        <v>71351540</v>
      </c>
      <c r="B22" s="382" t="s">
        <v>57</v>
      </c>
      <c r="C22" s="382"/>
      <c r="D22" s="382"/>
      <c r="E22" s="159" t="s">
        <v>51</v>
      </c>
      <c r="F22" s="159" t="s">
        <v>49</v>
      </c>
      <c r="G22" s="167">
        <v>8734000</v>
      </c>
      <c r="H22" s="168">
        <v>1</v>
      </c>
      <c r="I22" s="169">
        <f t="shared" ref="I22" si="3">+ROUNDUP(H22*G22/1000,1)</f>
        <v>8734</v>
      </c>
    </row>
    <row r="23" spans="1:9" s="91" customFormat="1">
      <c r="A23" s="199">
        <v>98111140</v>
      </c>
      <c r="B23" s="396" t="s">
        <v>58</v>
      </c>
      <c r="C23" s="396"/>
      <c r="D23" s="396"/>
      <c r="E23" s="89" t="s">
        <v>52</v>
      </c>
      <c r="F23" s="89" t="s">
        <v>49</v>
      </c>
      <c r="G23" s="90">
        <v>4680700</v>
      </c>
      <c r="H23" s="47">
        <v>1</v>
      </c>
      <c r="I23" s="169">
        <f t="shared" si="1"/>
        <v>4680.7</v>
      </c>
    </row>
    <row r="24" spans="1:9" s="91" customFormat="1">
      <c r="A24" s="199">
        <v>98111140</v>
      </c>
      <c r="B24" s="396" t="s">
        <v>58</v>
      </c>
      <c r="C24" s="396"/>
      <c r="D24" s="396"/>
      <c r="E24" s="89" t="s">
        <v>52</v>
      </c>
      <c r="F24" s="89" t="s">
        <v>49</v>
      </c>
      <c r="G24" s="90">
        <v>592900</v>
      </c>
      <c r="H24" s="47">
        <v>1</v>
      </c>
      <c r="I24" s="169">
        <f t="shared" ref="I24" si="4">+ROUNDUP(H24*G24/1000,1)</f>
        <v>592.9</v>
      </c>
    </row>
    <row r="25" spans="1:9" s="91" customFormat="1">
      <c r="A25" s="199">
        <v>98111140</v>
      </c>
      <c r="B25" s="396" t="s">
        <v>58</v>
      </c>
      <c r="C25" s="396"/>
      <c r="D25" s="396"/>
      <c r="E25" s="89" t="s">
        <v>52</v>
      </c>
      <c r="F25" s="89" t="s">
        <v>49</v>
      </c>
      <c r="G25" s="90">
        <v>4526000</v>
      </c>
      <c r="H25" s="47">
        <v>1</v>
      </c>
      <c r="I25" s="169">
        <f t="shared" ref="I25" si="5">+ROUNDUP(H25*G25/1000,1)</f>
        <v>4526</v>
      </c>
    </row>
    <row r="26" spans="1:9" s="202" customFormat="1" ht="17.850000000000001" customHeight="1">
      <c r="A26" s="146" t="s">
        <v>64</v>
      </c>
      <c r="B26" s="146" t="s">
        <v>106</v>
      </c>
      <c r="C26" s="146" t="s">
        <v>66</v>
      </c>
      <c r="D26" s="407" t="s">
        <v>101</v>
      </c>
      <c r="E26" s="408"/>
      <c r="F26" s="408"/>
      <c r="G26" s="408"/>
      <c r="H26" s="395"/>
      <c r="I26" s="86">
        <f>+I27+I47+I51</f>
        <v>-702901</v>
      </c>
    </row>
    <row r="27" spans="1:9" s="206" customFormat="1" ht="54.95" customHeight="1">
      <c r="A27" s="147" t="s">
        <v>107</v>
      </c>
      <c r="B27" s="383" t="s">
        <v>102</v>
      </c>
      <c r="C27" s="383"/>
      <c r="D27" s="383"/>
      <c r="E27" s="383"/>
      <c r="F27" s="383"/>
      <c r="G27" s="383"/>
      <c r="H27" s="383"/>
      <c r="I27" s="87">
        <f>+I28+I33</f>
        <v>279975.3</v>
      </c>
    </row>
    <row r="28" spans="1:9" s="207" customFormat="1" ht="21" customHeight="1">
      <c r="A28" s="82"/>
      <c r="B28" s="266" t="s">
        <v>67</v>
      </c>
      <c r="C28" s="267"/>
      <c r="D28" s="268"/>
      <c r="E28" s="83"/>
      <c r="F28" s="83"/>
      <c r="G28" s="83"/>
      <c r="H28" s="84"/>
      <c r="I28" s="48">
        <f>SUM(I29:I32)</f>
        <v>236875.1</v>
      </c>
    </row>
    <row r="29" spans="1:9" s="91" customFormat="1" ht="35.65" customHeight="1">
      <c r="A29" s="134" t="s">
        <v>162</v>
      </c>
      <c r="B29" s="382" t="s">
        <v>151</v>
      </c>
      <c r="C29" s="382"/>
      <c r="D29" s="382"/>
      <c r="E29" s="159" t="s">
        <v>125</v>
      </c>
      <c r="F29" s="89" t="s">
        <v>63</v>
      </c>
      <c r="G29" s="90"/>
      <c r="H29" s="47"/>
      <c r="I29" s="169">
        <v>-285000</v>
      </c>
    </row>
    <row r="30" spans="1:9" s="91" customFormat="1" ht="35.65" customHeight="1">
      <c r="A30" s="134">
        <v>45211231</v>
      </c>
      <c r="B30" s="382" t="s">
        <v>151</v>
      </c>
      <c r="C30" s="382"/>
      <c r="D30" s="382"/>
      <c r="E30" s="159" t="s">
        <v>125</v>
      </c>
      <c r="F30" s="89" t="s">
        <v>63</v>
      </c>
      <c r="G30" s="90">
        <v>190021000</v>
      </c>
      <c r="H30" s="47">
        <v>1</v>
      </c>
      <c r="I30" s="169">
        <f t="shared" ref="I30:I37" si="6">+ROUNDUP(H30*G30/1000,1)</f>
        <v>190021</v>
      </c>
    </row>
    <row r="31" spans="1:9" s="91" customFormat="1" ht="35.65" customHeight="1">
      <c r="A31" s="134">
        <v>45211231</v>
      </c>
      <c r="B31" s="382" t="s">
        <v>151</v>
      </c>
      <c r="C31" s="382"/>
      <c r="D31" s="382"/>
      <c r="E31" s="159" t="s">
        <v>125</v>
      </c>
      <c r="F31" s="89" t="s">
        <v>63</v>
      </c>
      <c r="G31" s="90">
        <v>142232900</v>
      </c>
      <c r="H31" s="47">
        <v>1</v>
      </c>
      <c r="I31" s="169">
        <f t="shared" si="6"/>
        <v>142232.9</v>
      </c>
    </row>
    <row r="32" spans="1:9" s="91" customFormat="1" ht="35.65" customHeight="1">
      <c r="A32" s="134">
        <v>45211231</v>
      </c>
      <c r="B32" s="382" t="s">
        <v>151</v>
      </c>
      <c r="C32" s="382"/>
      <c r="D32" s="382"/>
      <c r="E32" s="159" t="s">
        <v>125</v>
      </c>
      <c r="F32" s="89" t="s">
        <v>63</v>
      </c>
      <c r="G32" s="90">
        <v>189621200</v>
      </c>
      <c r="H32" s="47">
        <v>1</v>
      </c>
      <c r="I32" s="169">
        <f t="shared" ref="I32" si="7">+ROUNDUP(H32*G32/1000,1)</f>
        <v>189621.2</v>
      </c>
    </row>
    <row r="33" spans="1:9" s="208" customFormat="1" ht="21" customHeight="1">
      <c r="A33" s="199"/>
      <c r="B33" s="266" t="s">
        <v>50</v>
      </c>
      <c r="C33" s="267"/>
      <c r="D33" s="268"/>
      <c r="E33" s="83" t="s">
        <v>68</v>
      </c>
      <c r="F33" s="83" t="s">
        <v>68</v>
      </c>
      <c r="G33" s="83" t="s">
        <v>68</v>
      </c>
      <c r="H33" s="92"/>
      <c r="I33" s="48">
        <f>SUM(I34:I46)</f>
        <v>43100.2</v>
      </c>
    </row>
    <row r="34" spans="1:9" s="91" customFormat="1" ht="17.850000000000001" customHeight="1">
      <c r="A34" s="199" t="s">
        <v>152</v>
      </c>
      <c r="B34" s="377" t="s">
        <v>57</v>
      </c>
      <c r="C34" s="380"/>
      <c r="D34" s="381"/>
      <c r="E34" s="89" t="s">
        <v>51</v>
      </c>
      <c r="F34" s="89" t="s">
        <v>49</v>
      </c>
      <c r="G34" s="90"/>
      <c r="H34" s="47"/>
      <c r="I34" s="169">
        <v>6930</v>
      </c>
    </row>
    <row r="35" spans="1:9" s="91" customFormat="1" ht="17.850000000000001" customHeight="1">
      <c r="A35" s="199" t="s">
        <v>159</v>
      </c>
      <c r="B35" s="377" t="s">
        <v>57</v>
      </c>
      <c r="C35" s="380"/>
      <c r="D35" s="381"/>
      <c r="E35" s="89" t="s">
        <v>51</v>
      </c>
      <c r="F35" s="89" t="s">
        <v>49</v>
      </c>
      <c r="G35" s="90"/>
      <c r="H35" s="47"/>
      <c r="I35" s="169">
        <f>291.7+6533.7</f>
        <v>6825.4</v>
      </c>
    </row>
    <row r="36" spans="1:9" s="91" customFormat="1" ht="17.850000000000001" customHeight="1">
      <c r="A36" s="199" t="s">
        <v>163</v>
      </c>
      <c r="B36" s="377" t="s">
        <v>57</v>
      </c>
      <c r="C36" s="380"/>
      <c r="D36" s="381"/>
      <c r="E36" s="89" t="s">
        <v>51</v>
      </c>
      <c r="F36" s="89" t="s">
        <v>49</v>
      </c>
      <c r="G36" s="90"/>
      <c r="H36" s="47"/>
      <c r="I36" s="169">
        <v>-2881.3</v>
      </c>
    </row>
    <row r="37" spans="1:9" s="91" customFormat="1" ht="17.850000000000001" customHeight="1">
      <c r="A37" s="199">
        <v>71351540</v>
      </c>
      <c r="B37" s="377" t="s">
        <v>57</v>
      </c>
      <c r="C37" s="380"/>
      <c r="D37" s="381"/>
      <c r="E37" s="89" t="s">
        <v>51</v>
      </c>
      <c r="F37" s="89" t="s">
        <v>49</v>
      </c>
      <c r="G37" s="90">
        <v>566300</v>
      </c>
      <c r="H37" s="47">
        <f>--1</f>
        <v>1</v>
      </c>
      <c r="I37" s="169">
        <f t="shared" si="6"/>
        <v>566.29999999999995</v>
      </c>
    </row>
    <row r="38" spans="1:9" s="91" customFormat="1" ht="17.850000000000001" customHeight="1">
      <c r="A38" s="199">
        <v>71351540</v>
      </c>
      <c r="B38" s="377" t="s">
        <v>57</v>
      </c>
      <c r="C38" s="380"/>
      <c r="D38" s="381"/>
      <c r="E38" s="89" t="s">
        <v>51</v>
      </c>
      <c r="F38" s="89" t="s">
        <v>49</v>
      </c>
      <c r="G38" s="90">
        <f>5614400+1204600</f>
        <v>6819000</v>
      </c>
      <c r="H38" s="47">
        <f>--1</f>
        <v>1</v>
      </c>
      <c r="I38" s="169">
        <f t="shared" ref="I38" si="8">+ROUNDUP(H38*G38/1000,1)</f>
        <v>6819</v>
      </c>
    </row>
    <row r="39" spans="1:9" s="91" customFormat="1" ht="17.850000000000001" customHeight="1">
      <c r="A39" s="199" t="s">
        <v>153</v>
      </c>
      <c r="B39" s="377" t="s">
        <v>58</v>
      </c>
      <c r="C39" s="380"/>
      <c r="D39" s="381"/>
      <c r="E39" s="89" t="s">
        <v>52</v>
      </c>
      <c r="F39" s="89" t="s">
        <v>49</v>
      </c>
      <c r="G39" s="90"/>
      <c r="H39" s="47"/>
      <c r="I39" s="169">
        <f>1133.2+1224.9+192.8+190+1095.1-1677.2</f>
        <v>2158.8000000000002</v>
      </c>
    </row>
    <row r="40" spans="1:9" s="91" customFormat="1" ht="17.850000000000001" customHeight="1">
      <c r="A40" s="199">
        <v>98111140</v>
      </c>
      <c r="B40" s="377" t="s">
        <v>58</v>
      </c>
      <c r="C40" s="380"/>
      <c r="D40" s="381"/>
      <c r="E40" s="89" t="s">
        <v>52</v>
      </c>
      <c r="F40" s="89" t="s">
        <v>49</v>
      </c>
      <c r="G40" s="90">
        <v>182000</v>
      </c>
      <c r="H40" s="47">
        <v>1</v>
      </c>
      <c r="I40" s="169">
        <f t="shared" ref="I40" si="9">+ROUNDUP(H40*G40/1000,1)</f>
        <v>182</v>
      </c>
    </row>
    <row r="41" spans="1:9" s="91" customFormat="1" ht="17.850000000000001" customHeight="1">
      <c r="A41" s="199">
        <v>71241200</v>
      </c>
      <c r="B41" s="377" t="s">
        <v>131</v>
      </c>
      <c r="C41" s="380"/>
      <c r="D41" s="381"/>
      <c r="E41" s="89" t="s">
        <v>52</v>
      </c>
      <c r="F41" s="89" t="s">
        <v>49</v>
      </c>
      <c r="G41" s="90">
        <v>7000000</v>
      </c>
      <c r="H41" s="47">
        <v>1</v>
      </c>
      <c r="I41" s="169">
        <f t="shared" ref="I41" si="10">+ROUNDUP(H41*G41/1000,1)</f>
        <v>7000</v>
      </c>
    </row>
    <row r="42" spans="1:9" s="91" customFormat="1" ht="17.850000000000001" customHeight="1">
      <c r="A42" s="199">
        <v>71241200</v>
      </c>
      <c r="B42" s="377" t="s">
        <v>131</v>
      </c>
      <c r="C42" s="380"/>
      <c r="D42" s="381"/>
      <c r="E42" s="89" t="s">
        <v>52</v>
      </c>
      <c r="F42" s="89" t="s">
        <v>49</v>
      </c>
      <c r="G42" s="90">
        <v>7000000</v>
      </c>
      <c r="H42" s="47">
        <v>1</v>
      </c>
      <c r="I42" s="169">
        <f t="shared" ref="I42:I43" si="11">+ROUNDUP(H42*G42/1000,1)</f>
        <v>7000</v>
      </c>
    </row>
    <row r="43" spans="1:9" s="91" customFormat="1" ht="17.850000000000001" customHeight="1">
      <c r="A43" s="199">
        <v>71241200</v>
      </c>
      <c r="B43" s="377" t="s">
        <v>131</v>
      </c>
      <c r="C43" s="380"/>
      <c r="D43" s="381"/>
      <c r="E43" s="89" t="s">
        <v>52</v>
      </c>
      <c r="F43" s="89" t="s">
        <v>49</v>
      </c>
      <c r="G43" s="90">
        <v>7000000</v>
      </c>
      <c r="H43" s="47">
        <v>1</v>
      </c>
      <c r="I43" s="169">
        <f t="shared" si="11"/>
        <v>7000</v>
      </c>
    </row>
    <row r="44" spans="1:9" s="91" customFormat="1" ht="18" customHeight="1">
      <c r="A44" s="134">
        <v>50531140</v>
      </c>
      <c r="B44" s="382" t="s">
        <v>59</v>
      </c>
      <c r="C44" s="382"/>
      <c r="D44" s="382"/>
      <c r="E44" s="159" t="s">
        <v>51</v>
      </c>
      <c r="F44" s="159" t="s">
        <v>49</v>
      </c>
      <c r="G44" s="167">
        <v>500000</v>
      </c>
      <c r="H44" s="183">
        <v>1</v>
      </c>
      <c r="I44" s="182">
        <f t="shared" ref="I44:I46" si="12">+ROUND(H44*G44/1000,1)</f>
        <v>500</v>
      </c>
    </row>
    <row r="45" spans="1:9" s="91" customFormat="1" ht="18" customHeight="1">
      <c r="A45" s="134">
        <v>50531140</v>
      </c>
      <c r="B45" s="382" t="s">
        <v>59</v>
      </c>
      <c r="C45" s="382"/>
      <c r="D45" s="382"/>
      <c r="E45" s="159" t="s">
        <v>51</v>
      </c>
      <c r="F45" s="159" t="s">
        <v>49</v>
      </c>
      <c r="G45" s="167">
        <v>500000</v>
      </c>
      <c r="H45" s="183">
        <v>1</v>
      </c>
      <c r="I45" s="182">
        <f t="shared" si="12"/>
        <v>500</v>
      </c>
    </row>
    <row r="46" spans="1:9" s="91" customFormat="1" ht="18" customHeight="1">
      <c r="A46" s="134">
        <v>50531140</v>
      </c>
      <c r="B46" s="382" t="s">
        <v>59</v>
      </c>
      <c r="C46" s="382"/>
      <c r="D46" s="382"/>
      <c r="E46" s="159" t="s">
        <v>51</v>
      </c>
      <c r="F46" s="159" t="s">
        <v>49</v>
      </c>
      <c r="G46" s="167">
        <v>500000</v>
      </c>
      <c r="H46" s="183">
        <v>1</v>
      </c>
      <c r="I46" s="182">
        <f t="shared" si="12"/>
        <v>500</v>
      </c>
    </row>
    <row r="47" spans="1:9" s="88" customFormat="1" ht="54.95" customHeight="1">
      <c r="A47" s="147" t="s">
        <v>166</v>
      </c>
      <c r="B47" s="383" t="s">
        <v>167</v>
      </c>
      <c r="C47" s="383"/>
      <c r="D47" s="383"/>
      <c r="E47" s="383"/>
      <c r="F47" s="383"/>
      <c r="G47" s="383"/>
      <c r="H47" s="383"/>
      <c r="I47" s="87">
        <f>+I48</f>
        <v>14390</v>
      </c>
    </row>
    <row r="48" spans="1:9" s="91" customFormat="1" ht="21" customHeight="1">
      <c r="A48" s="199"/>
      <c r="B48" s="266" t="s">
        <v>50</v>
      </c>
      <c r="C48" s="267"/>
      <c r="D48" s="268"/>
      <c r="E48" s="83" t="s">
        <v>68</v>
      </c>
      <c r="F48" s="83" t="s">
        <v>68</v>
      </c>
      <c r="G48" s="83" t="s">
        <v>68</v>
      </c>
      <c r="H48" s="92"/>
      <c r="I48" s="48">
        <f>SUM(I49:I50)</f>
        <v>14390</v>
      </c>
    </row>
    <row r="49" spans="1:9" s="91" customFormat="1" ht="17.850000000000001" customHeight="1">
      <c r="A49" s="199">
        <v>71241200</v>
      </c>
      <c r="B49" s="377" t="s">
        <v>131</v>
      </c>
      <c r="C49" s="380"/>
      <c r="D49" s="381"/>
      <c r="E49" s="89" t="s">
        <v>51</v>
      </c>
      <c r="F49" s="89" t="s">
        <v>49</v>
      </c>
      <c r="G49" s="90">
        <v>13200000</v>
      </c>
      <c r="H49" s="47">
        <v>1</v>
      </c>
      <c r="I49" s="169">
        <f t="shared" ref="I49" si="13">+ROUNDUP(H49*G49/1000,1)</f>
        <v>13200</v>
      </c>
    </row>
    <row r="50" spans="1:9" s="91" customFormat="1" ht="18" customHeight="1">
      <c r="A50" s="134">
        <v>50531140</v>
      </c>
      <c r="B50" s="382" t="s">
        <v>59</v>
      </c>
      <c r="C50" s="382"/>
      <c r="D50" s="382"/>
      <c r="E50" s="159" t="s">
        <v>51</v>
      </c>
      <c r="F50" s="159" t="s">
        <v>49</v>
      </c>
      <c r="G50" s="167">
        <v>1190000</v>
      </c>
      <c r="H50" s="183">
        <v>1</v>
      </c>
      <c r="I50" s="182">
        <f t="shared" ref="I50" si="14">+ROUND(H50*G50/1000,1)</f>
        <v>1190</v>
      </c>
    </row>
    <row r="51" spans="1:9" s="206" customFormat="1" ht="54.95" customHeight="1">
      <c r="A51" s="147" t="s">
        <v>111</v>
      </c>
      <c r="B51" s="383" t="s">
        <v>103</v>
      </c>
      <c r="C51" s="383"/>
      <c r="D51" s="383"/>
      <c r="E51" s="383"/>
      <c r="F51" s="383"/>
      <c r="G51" s="383"/>
      <c r="H51" s="383"/>
      <c r="I51" s="87">
        <f>+I52+I56</f>
        <v>-997266.29999999993</v>
      </c>
    </row>
    <row r="52" spans="1:9" s="207" customFormat="1" ht="21" customHeight="1">
      <c r="A52" s="82"/>
      <c r="B52" s="266" t="s">
        <v>67</v>
      </c>
      <c r="C52" s="267"/>
      <c r="D52" s="268"/>
      <c r="E52" s="83"/>
      <c r="F52" s="83"/>
      <c r="G52" s="83"/>
      <c r="H52" s="84"/>
      <c r="I52" s="48">
        <f>SUM(I53:I55)</f>
        <v>-992702.1</v>
      </c>
    </row>
    <row r="53" spans="1:9" s="91" customFormat="1">
      <c r="A53" s="133" t="s">
        <v>170</v>
      </c>
      <c r="B53" s="383" t="s">
        <v>124</v>
      </c>
      <c r="C53" s="383"/>
      <c r="D53" s="383"/>
      <c r="E53" s="159" t="s">
        <v>108</v>
      </c>
      <c r="F53" s="89" t="s">
        <v>63</v>
      </c>
      <c r="G53" s="90">
        <v>237666600</v>
      </c>
      <c r="H53" s="183">
        <v>-1</v>
      </c>
      <c r="I53" s="182">
        <f t="shared" ref="I53" si="15">+ROUND(H53*G53/1000,1)</f>
        <v>-237666.6</v>
      </c>
    </row>
    <row r="54" spans="1:9" s="91" customFormat="1">
      <c r="A54" s="133" t="s">
        <v>176</v>
      </c>
      <c r="B54" s="383" t="s">
        <v>124</v>
      </c>
      <c r="C54" s="383"/>
      <c r="D54" s="383"/>
      <c r="E54" s="159" t="s">
        <v>108</v>
      </c>
      <c r="F54" s="89" t="s">
        <v>63</v>
      </c>
      <c r="G54" s="90">
        <v>228595900</v>
      </c>
      <c r="H54" s="183">
        <v>-1</v>
      </c>
      <c r="I54" s="182">
        <f>+ROUND(H54*G54/1000,1)</f>
        <v>-228595.9</v>
      </c>
    </row>
    <row r="55" spans="1:9" s="91" customFormat="1">
      <c r="A55" s="133" t="s">
        <v>175</v>
      </c>
      <c r="B55" s="383" t="s">
        <v>124</v>
      </c>
      <c r="C55" s="383"/>
      <c r="D55" s="383"/>
      <c r="E55" s="159" t="s">
        <v>108</v>
      </c>
      <c r="F55" s="89" t="s">
        <v>63</v>
      </c>
      <c r="G55" s="90">
        <v>526439600</v>
      </c>
      <c r="H55" s="183">
        <v>-1</v>
      </c>
      <c r="I55" s="182">
        <f t="shared" ref="I55" si="16">+ROUND(H55*G55/1000,1)</f>
        <v>-526439.6</v>
      </c>
    </row>
    <row r="56" spans="1:9" s="208" customFormat="1" ht="21" customHeight="1">
      <c r="A56" s="199"/>
      <c r="B56" s="266" t="s">
        <v>50</v>
      </c>
      <c r="C56" s="267"/>
      <c r="D56" s="268"/>
      <c r="E56" s="83" t="s">
        <v>68</v>
      </c>
      <c r="F56" s="83" t="s">
        <v>68</v>
      </c>
      <c r="G56" s="83" t="s">
        <v>68</v>
      </c>
      <c r="H56" s="92"/>
      <c r="I56" s="48">
        <f>SUM(I57:I68)</f>
        <v>-4564.1999999999971</v>
      </c>
    </row>
    <row r="57" spans="1:9" s="91" customFormat="1" ht="17.850000000000001" customHeight="1">
      <c r="A57" s="199" t="s">
        <v>171</v>
      </c>
      <c r="B57" s="377" t="s">
        <v>57</v>
      </c>
      <c r="C57" s="380"/>
      <c r="D57" s="381"/>
      <c r="E57" s="89" t="s">
        <v>51</v>
      </c>
      <c r="F57" s="89" t="s">
        <v>49</v>
      </c>
      <c r="G57" s="90">
        <v>11899200</v>
      </c>
      <c r="H57" s="47">
        <v>-1</v>
      </c>
      <c r="I57" s="169">
        <f>+ROUND(H57*G57/1000,1)</f>
        <v>-11899.2</v>
      </c>
    </row>
    <row r="58" spans="1:9" s="91" customFormat="1" ht="17.850000000000001" customHeight="1">
      <c r="A58" s="199" t="s">
        <v>174</v>
      </c>
      <c r="B58" s="377" t="s">
        <v>57</v>
      </c>
      <c r="C58" s="380"/>
      <c r="D58" s="381"/>
      <c r="E58" s="89" t="s">
        <v>51</v>
      </c>
      <c r="F58" s="89" t="s">
        <v>49</v>
      </c>
      <c r="G58" s="90">
        <v>23110000</v>
      </c>
      <c r="H58" s="47">
        <v>-1</v>
      </c>
      <c r="I58" s="169">
        <f t="shared" ref="I58:I59" si="17">+ROUNDUP(H58*G58/1000,1)</f>
        <v>-23110</v>
      </c>
    </row>
    <row r="59" spans="1:9" s="91" customFormat="1" ht="17.850000000000001" customHeight="1">
      <c r="A59" s="199" t="s">
        <v>163</v>
      </c>
      <c r="B59" s="377" t="s">
        <v>57</v>
      </c>
      <c r="C59" s="380"/>
      <c r="D59" s="381"/>
      <c r="E59" s="89" t="s">
        <v>51</v>
      </c>
      <c r="F59" s="89" t="s">
        <v>49</v>
      </c>
      <c r="G59" s="90">
        <v>11555000</v>
      </c>
      <c r="H59" s="47">
        <v>-1</v>
      </c>
      <c r="I59" s="169">
        <f t="shared" si="17"/>
        <v>-11555</v>
      </c>
    </row>
    <row r="60" spans="1:9" s="91" customFormat="1" ht="17.850000000000001" customHeight="1">
      <c r="A60" s="199">
        <v>71241200</v>
      </c>
      <c r="B60" s="377" t="s">
        <v>131</v>
      </c>
      <c r="C60" s="380"/>
      <c r="D60" s="381"/>
      <c r="E60" s="89" t="s">
        <v>52</v>
      </c>
      <c r="F60" s="89" t="s">
        <v>49</v>
      </c>
      <c r="G60" s="90">
        <v>7000000</v>
      </c>
      <c r="H60" s="47">
        <v>1</v>
      </c>
      <c r="I60" s="169">
        <f t="shared" ref="I60:I61" si="18">+ROUNDUP(H60*G60/1000,1)</f>
        <v>7000</v>
      </c>
    </row>
    <row r="61" spans="1:9" s="91" customFormat="1" ht="17.850000000000001" customHeight="1">
      <c r="A61" s="199">
        <v>71241200</v>
      </c>
      <c r="B61" s="377" t="s">
        <v>131</v>
      </c>
      <c r="C61" s="380"/>
      <c r="D61" s="381"/>
      <c r="E61" s="89" t="s">
        <v>52</v>
      </c>
      <c r="F61" s="89" t="s">
        <v>49</v>
      </c>
      <c r="G61" s="90">
        <v>7000000</v>
      </c>
      <c r="H61" s="47">
        <v>1</v>
      </c>
      <c r="I61" s="169">
        <f t="shared" si="18"/>
        <v>7000</v>
      </c>
    </row>
    <row r="62" spans="1:9" s="91" customFormat="1" ht="17.850000000000001" customHeight="1">
      <c r="A62" s="199">
        <v>71241200</v>
      </c>
      <c r="B62" s="377" t="s">
        <v>131</v>
      </c>
      <c r="C62" s="380"/>
      <c r="D62" s="381"/>
      <c r="E62" s="89" t="s">
        <v>52</v>
      </c>
      <c r="F62" s="89" t="s">
        <v>49</v>
      </c>
      <c r="G62" s="90">
        <v>7000000</v>
      </c>
      <c r="H62" s="47">
        <v>1</v>
      </c>
      <c r="I62" s="169">
        <f t="shared" ref="I62:I63" si="19">+ROUNDUP(H62*G62/1000,1)</f>
        <v>7000</v>
      </c>
    </row>
    <row r="63" spans="1:9" s="91" customFormat="1" ht="17.850000000000001" customHeight="1">
      <c r="A63" s="199">
        <v>71241200</v>
      </c>
      <c r="B63" s="377" t="s">
        <v>131</v>
      </c>
      <c r="C63" s="380"/>
      <c r="D63" s="381"/>
      <c r="E63" s="89" t="s">
        <v>52</v>
      </c>
      <c r="F63" s="89" t="s">
        <v>49</v>
      </c>
      <c r="G63" s="90">
        <v>7000000</v>
      </c>
      <c r="H63" s="47">
        <v>1</v>
      </c>
      <c r="I63" s="169">
        <f t="shared" si="19"/>
        <v>7000</v>
      </c>
    </row>
    <row r="64" spans="1:9" s="91" customFormat="1" ht="17.850000000000001" customHeight="1">
      <c r="A64" s="199">
        <v>71241200</v>
      </c>
      <c r="B64" s="377" t="s">
        <v>131</v>
      </c>
      <c r="C64" s="380"/>
      <c r="D64" s="381"/>
      <c r="E64" s="89" t="s">
        <v>51</v>
      </c>
      <c r="F64" s="89" t="s">
        <v>49</v>
      </c>
      <c r="G64" s="90">
        <v>12000000</v>
      </c>
      <c r="H64" s="47">
        <v>1</v>
      </c>
      <c r="I64" s="169">
        <f t="shared" ref="I64" si="20">+ROUNDUP(H64*G64/1000,1)</f>
        <v>12000</v>
      </c>
    </row>
    <row r="65" spans="1:9" s="91" customFormat="1" ht="18" customHeight="1">
      <c r="A65" s="134">
        <v>50531140</v>
      </c>
      <c r="B65" s="382" t="s">
        <v>59</v>
      </c>
      <c r="C65" s="382"/>
      <c r="D65" s="382"/>
      <c r="E65" s="159" t="s">
        <v>51</v>
      </c>
      <c r="F65" s="159" t="s">
        <v>49</v>
      </c>
      <c r="G65" s="167">
        <v>500000</v>
      </c>
      <c r="H65" s="183">
        <v>1</v>
      </c>
      <c r="I65" s="182">
        <f t="shared" ref="I65:I66" si="21">+ROUND(H65*G65/1000,1)</f>
        <v>500</v>
      </c>
    </row>
    <row r="66" spans="1:9" s="91" customFormat="1" ht="18" customHeight="1">
      <c r="A66" s="134">
        <v>50531140</v>
      </c>
      <c r="B66" s="382" t="s">
        <v>59</v>
      </c>
      <c r="C66" s="382"/>
      <c r="D66" s="382"/>
      <c r="E66" s="159" t="s">
        <v>51</v>
      </c>
      <c r="F66" s="159" t="s">
        <v>49</v>
      </c>
      <c r="G66" s="167">
        <v>500000</v>
      </c>
      <c r="H66" s="183">
        <v>1</v>
      </c>
      <c r="I66" s="182">
        <f t="shared" si="21"/>
        <v>500</v>
      </c>
    </row>
    <row r="67" spans="1:9" s="91" customFormat="1" ht="18" customHeight="1">
      <c r="A67" s="134">
        <v>50531140</v>
      </c>
      <c r="B67" s="382" t="s">
        <v>59</v>
      </c>
      <c r="C67" s="382"/>
      <c r="D67" s="382"/>
      <c r="E67" s="159" t="s">
        <v>51</v>
      </c>
      <c r="F67" s="159" t="s">
        <v>49</v>
      </c>
      <c r="G67" s="167">
        <v>500000</v>
      </c>
      <c r="H67" s="183">
        <v>1</v>
      </c>
      <c r="I67" s="182">
        <f t="shared" ref="I67:I68" si="22">+ROUND(H67*G67/1000,1)</f>
        <v>500</v>
      </c>
    </row>
    <row r="68" spans="1:9" s="91" customFormat="1" ht="18" customHeight="1">
      <c r="A68" s="134">
        <v>50531140</v>
      </c>
      <c r="B68" s="382" t="s">
        <v>59</v>
      </c>
      <c r="C68" s="382"/>
      <c r="D68" s="382"/>
      <c r="E68" s="159" t="s">
        <v>51</v>
      </c>
      <c r="F68" s="159" t="s">
        <v>49</v>
      </c>
      <c r="G68" s="167">
        <v>500000</v>
      </c>
      <c r="H68" s="183">
        <v>1</v>
      </c>
      <c r="I68" s="182">
        <f t="shared" si="22"/>
        <v>500</v>
      </c>
    </row>
    <row r="69" spans="1:9" s="65" customFormat="1">
      <c r="A69" s="146" t="s">
        <v>64</v>
      </c>
      <c r="B69" s="146" t="s">
        <v>65</v>
      </c>
      <c r="C69" s="146" t="s">
        <v>66</v>
      </c>
      <c r="D69" s="407" t="s">
        <v>72</v>
      </c>
      <c r="E69" s="408"/>
      <c r="F69" s="408"/>
      <c r="G69" s="408"/>
      <c r="H69" s="395"/>
      <c r="I69" s="160">
        <f>+I70+I76+I85+I92</f>
        <v>269473.09999999998</v>
      </c>
    </row>
    <row r="70" spans="1:9" s="201" customFormat="1" ht="54.75" customHeight="1">
      <c r="A70" s="218" t="s">
        <v>184</v>
      </c>
      <c r="B70" s="384" t="s">
        <v>185</v>
      </c>
      <c r="C70" s="385"/>
      <c r="D70" s="385"/>
      <c r="E70" s="385"/>
      <c r="F70" s="385"/>
      <c r="G70" s="385"/>
      <c r="H70" s="386"/>
      <c r="I70" s="219">
        <f>+I71+I73</f>
        <v>-264524.40000000002</v>
      </c>
    </row>
    <row r="71" spans="1:9" s="201" customFormat="1" ht="16.5" customHeight="1">
      <c r="A71" s="161"/>
      <c r="B71" s="387" t="s">
        <v>118</v>
      </c>
      <c r="C71" s="388"/>
      <c r="D71" s="389"/>
      <c r="E71" s="162"/>
      <c r="F71" s="162"/>
      <c r="G71" s="163"/>
      <c r="H71" s="163"/>
      <c r="I71" s="164">
        <f>+I72</f>
        <v>-245286.1</v>
      </c>
    </row>
    <row r="72" spans="1:9" s="170" customFormat="1" ht="37.700000000000003" customHeight="1">
      <c r="A72" s="133" t="s">
        <v>186</v>
      </c>
      <c r="B72" s="383" t="s">
        <v>187</v>
      </c>
      <c r="C72" s="383"/>
      <c r="D72" s="383"/>
      <c r="E72" s="166" t="s">
        <v>108</v>
      </c>
      <c r="F72" s="166" t="s">
        <v>49</v>
      </c>
      <c r="G72" s="167"/>
      <c r="H72" s="168"/>
      <c r="I72" s="169">
        <v>-245286.1</v>
      </c>
    </row>
    <row r="73" spans="1:9" s="201" customFormat="1" ht="16.5" customHeight="1">
      <c r="A73" s="161"/>
      <c r="B73" s="387" t="s">
        <v>50</v>
      </c>
      <c r="C73" s="388"/>
      <c r="D73" s="389"/>
      <c r="E73" s="162"/>
      <c r="F73" s="162"/>
      <c r="G73" s="163"/>
      <c r="H73" s="163"/>
      <c r="I73" s="164">
        <f>SUM(I74:I75)</f>
        <v>-19238.3</v>
      </c>
    </row>
    <row r="74" spans="1:9" s="170" customFormat="1" ht="18" customHeight="1">
      <c r="A74" s="200" t="s">
        <v>188</v>
      </c>
      <c r="B74" s="390" t="s">
        <v>57</v>
      </c>
      <c r="C74" s="390"/>
      <c r="D74" s="390"/>
      <c r="E74" s="166" t="s">
        <v>51</v>
      </c>
      <c r="F74" s="166" t="s">
        <v>49</v>
      </c>
      <c r="G74" s="167"/>
      <c r="H74" s="168"/>
      <c r="I74" s="169">
        <v>-15151.3</v>
      </c>
    </row>
    <row r="75" spans="1:9" s="170" customFormat="1" ht="18" customHeight="1">
      <c r="A75" s="200" t="s">
        <v>189</v>
      </c>
      <c r="B75" s="390" t="s">
        <v>58</v>
      </c>
      <c r="C75" s="390"/>
      <c r="D75" s="390"/>
      <c r="E75" s="166" t="s">
        <v>52</v>
      </c>
      <c r="F75" s="166" t="s">
        <v>49</v>
      </c>
      <c r="G75" s="167"/>
      <c r="H75" s="168"/>
      <c r="I75" s="169">
        <v>-4087</v>
      </c>
    </row>
    <row r="76" spans="1:9" s="201" customFormat="1" ht="54.75" customHeight="1">
      <c r="A76" s="218" t="s">
        <v>81</v>
      </c>
      <c r="B76" s="384" t="s">
        <v>87</v>
      </c>
      <c r="C76" s="385"/>
      <c r="D76" s="385"/>
      <c r="E76" s="385"/>
      <c r="F76" s="385"/>
      <c r="G76" s="385"/>
      <c r="H76" s="386"/>
      <c r="I76" s="219">
        <f>+I77+I80</f>
        <v>298681.8</v>
      </c>
    </row>
    <row r="77" spans="1:9" s="201" customFormat="1" ht="16.5" customHeight="1">
      <c r="A77" s="161"/>
      <c r="B77" s="387" t="s">
        <v>118</v>
      </c>
      <c r="C77" s="388"/>
      <c r="D77" s="389"/>
      <c r="E77" s="162"/>
      <c r="F77" s="162"/>
      <c r="G77" s="163"/>
      <c r="H77" s="163"/>
      <c r="I77" s="164">
        <f>SUM(I78:I79)</f>
        <v>262305</v>
      </c>
    </row>
    <row r="78" spans="1:9" s="170" customFormat="1">
      <c r="A78" s="133">
        <v>45221142</v>
      </c>
      <c r="B78" s="383" t="s">
        <v>89</v>
      </c>
      <c r="C78" s="383"/>
      <c r="D78" s="383"/>
      <c r="E78" s="166" t="s">
        <v>88</v>
      </c>
      <c r="F78" s="166" t="s">
        <v>49</v>
      </c>
      <c r="G78" s="167">
        <v>261060500</v>
      </c>
      <c r="H78" s="168">
        <v>1</v>
      </c>
      <c r="I78" s="169">
        <f>+ROUNDUP(H78*G78/1000,1)</f>
        <v>261060.5</v>
      </c>
    </row>
    <row r="79" spans="1:9" s="170" customFormat="1">
      <c r="A79" s="133">
        <v>45221142</v>
      </c>
      <c r="B79" s="383" t="s">
        <v>89</v>
      </c>
      <c r="C79" s="383"/>
      <c r="D79" s="383"/>
      <c r="E79" s="166" t="s">
        <v>51</v>
      </c>
      <c r="F79" s="166" t="s">
        <v>49</v>
      </c>
      <c r="G79" s="167">
        <v>1244500</v>
      </c>
      <c r="H79" s="168">
        <v>1</v>
      </c>
      <c r="I79" s="169">
        <f>+ROUNDUP(H79*G79/1000,1)</f>
        <v>1244.5</v>
      </c>
    </row>
    <row r="80" spans="1:9" s="201" customFormat="1" ht="16.5" customHeight="1">
      <c r="A80" s="161"/>
      <c r="B80" s="387" t="s">
        <v>50</v>
      </c>
      <c r="C80" s="388"/>
      <c r="D80" s="389"/>
      <c r="E80" s="162"/>
      <c r="F80" s="162"/>
      <c r="G80" s="163"/>
      <c r="H80" s="163"/>
      <c r="I80" s="164">
        <f>SUM(I81:I84)</f>
        <v>36376.800000000003</v>
      </c>
    </row>
    <row r="81" spans="1:9" s="170" customFormat="1" ht="18" customHeight="1">
      <c r="A81" s="200">
        <v>71351540</v>
      </c>
      <c r="B81" s="390" t="s">
        <v>57</v>
      </c>
      <c r="C81" s="390"/>
      <c r="D81" s="390"/>
      <c r="E81" s="166" t="s">
        <v>51</v>
      </c>
      <c r="F81" s="166" t="s">
        <v>49</v>
      </c>
      <c r="G81" s="167">
        <v>7906100</v>
      </c>
      <c r="H81" s="168">
        <v>1</v>
      </c>
      <c r="I81" s="169">
        <f t="shared" ref="I81:I83" si="23">+ROUNDUP(H81*G81/1000,1)</f>
        <v>7906.1</v>
      </c>
    </row>
    <row r="82" spans="1:9" s="170" customFormat="1" ht="18" customHeight="1">
      <c r="A82" s="200">
        <v>98111140</v>
      </c>
      <c r="B82" s="390" t="s">
        <v>58</v>
      </c>
      <c r="C82" s="390"/>
      <c r="D82" s="390"/>
      <c r="E82" s="166" t="s">
        <v>52</v>
      </c>
      <c r="F82" s="166" t="s">
        <v>49</v>
      </c>
      <c r="G82" s="167">
        <v>2226700</v>
      </c>
      <c r="H82" s="168">
        <v>1</v>
      </c>
      <c r="I82" s="169">
        <f t="shared" si="23"/>
        <v>2226.6999999999998</v>
      </c>
    </row>
    <row r="83" spans="1:9" s="91" customFormat="1" ht="32.25" customHeight="1">
      <c r="A83" s="199">
        <v>71241200</v>
      </c>
      <c r="B83" s="377" t="s">
        <v>180</v>
      </c>
      <c r="C83" s="380"/>
      <c r="D83" s="381"/>
      <c r="E83" s="89" t="s">
        <v>181</v>
      </c>
      <c r="F83" s="89" t="s">
        <v>49</v>
      </c>
      <c r="G83" s="90">
        <v>24624000</v>
      </c>
      <c r="H83" s="47">
        <v>1</v>
      </c>
      <c r="I83" s="169">
        <f t="shared" si="23"/>
        <v>24624</v>
      </c>
    </row>
    <row r="84" spans="1:9" s="91" customFormat="1" ht="18" customHeight="1">
      <c r="A84" s="134">
        <v>50531140</v>
      </c>
      <c r="B84" s="382" t="s">
        <v>59</v>
      </c>
      <c r="C84" s="382"/>
      <c r="D84" s="382"/>
      <c r="E84" s="159" t="s">
        <v>51</v>
      </c>
      <c r="F84" s="159" t="s">
        <v>49</v>
      </c>
      <c r="G84" s="167">
        <v>1620000</v>
      </c>
      <c r="H84" s="183">
        <v>1</v>
      </c>
      <c r="I84" s="182">
        <f t="shared" ref="I84" si="24">+ROUND(H84*G84/1000,1)</f>
        <v>1620</v>
      </c>
    </row>
    <row r="85" spans="1:9" s="206" customFormat="1" ht="54.95" customHeight="1">
      <c r="A85" s="147" t="s">
        <v>123</v>
      </c>
      <c r="B85" s="383" t="s">
        <v>116</v>
      </c>
      <c r="C85" s="383"/>
      <c r="D85" s="383"/>
      <c r="E85" s="383"/>
      <c r="F85" s="383"/>
      <c r="G85" s="383"/>
      <c r="H85" s="383"/>
      <c r="I85" s="87">
        <f>+I86</f>
        <v>3159.5</v>
      </c>
    </row>
    <row r="86" spans="1:9" s="208" customFormat="1" ht="21" customHeight="1">
      <c r="A86" s="134"/>
      <c r="B86" s="391" t="s">
        <v>50</v>
      </c>
      <c r="C86" s="392"/>
      <c r="D86" s="268"/>
      <c r="E86" s="178" t="s">
        <v>68</v>
      </c>
      <c r="F86" s="178" t="s">
        <v>68</v>
      </c>
      <c r="G86" s="178" t="s">
        <v>68</v>
      </c>
      <c r="H86" s="92"/>
      <c r="I86" s="171">
        <f>SUM(I87:I91)</f>
        <v>3159.5</v>
      </c>
    </row>
    <row r="87" spans="1:9" s="91" customFormat="1">
      <c r="A87" s="134">
        <v>71351540</v>
      </c>
      <c r="B87" s="382" t="s">
        <v>57</v>
      </c>
      <c r="C87" s="382"/>
      <c r="D87" s="382"/>
      <c r="E87" s="159" t="s">
        <v>51</v>
      </c>
      <c r="F87" s="159" t="s">
        <v>49</v>
      </c>
      <c r="G87" s="167">
        <v>1222900</v>
      </c>
      <c r="H87" s="168">
        <v>1</v>
      </c>
      <c r="I87" s="169">
        <f t="shared" ref="I87:I90" si="25">+ROUNDUP(H87*G87/1000,1)</f>
        <v>1222.9000000000001</v>
      </c>
    </row>
    <row r="88" spans="1:9" s="91" customFormat="1">
      <c r="A88" s="134">
        <v>98111140</v>
      </c>
      <c r="B88" s="382" t="s">
        <v>58</v>
      </c>
      <c r="C88" s="382"/>
      <c r="D88" s="382"/>
      <c r="E88" s="159" t="s">
        <v>52</v>
      </c>
      <c r="F88" s="159" t="s">
        <v>49</v>
      </c>
      <c r="G88" s="167">
        <v>630200</v>
      </c>
      <c r="H88" s="168">
        <v>1</v>
      </c>
      <c r="I88" s="169">
        <f t="shared" si="25"/>
        <v>630.20000000000005</v>
      </c>
    </row>
    <row r="89" spans="1:9" s="91" customFormat="1">
      <c r="A89" s="134">
        <v>98111140</v>
      </c>
      <c r="B89" s="382" t="s">
        <v>58</v>
      </c>
      <c r="C89" s="382"/>
      <c r="D89" s="382"/>
      <c r="E89" s="159" t="s">
        <v>52</v>
      </c>
      <c r="F89" s="159" t="s">
        <v>49</v>
      </c>
      <c r="G89" s="167">
        <v>467700</v>
      </c>
      <c r="H89" s="168">
        <v>1</v>
      </c>
      <c r="I89" s="169">
        <f t="shared" si="25"/>
        <v>467.7</v>
      </c>
    </row>
    <row r="90" spans="1:9" s="91" customFormat="1">
      <c r="A90" s="134">
        <v>98111140</v>
      </c>
      <c r="B90" s="382" t="s">
        <v>58</v>
      </c>
      <c r="C90" s="382"/>
      <c r="D90" s="382"/>
      <c r="E90" s="159" t="s">
        <v>52</v>
      </c>
      <c r="F90" s="159" t="s">
        <v>49</v>
      </c>
      <c r="G90" s="167">
        <v>358700</v>
      </c>
      <c r="H90" s="168">
        <v>1</v>
      </c>
      <c r="I90" s="169">
        <f t="shared" si="25"/>
        <v>358.7</v>
      </c>
    </row>
    <row r="91" spans="1:9" s="91" customFormat="1" ht="18" customHeight="1">
      <c r="A91" s="134">
        <v>50531140</v>
      </c>
      <c r="B91" s="382" t="s">
        <v>59</v>
      </c>
      <c r="C91" s="382"/>
      <c r="D91" s="382"/>
      <c r="E91" s="159" t="s">
        <v>51</v>
      </c>
      <c r="F91" s="159" t="s">
        <v>49</v>
      </c>
      <c r="G91" s="167">
        <v>480000</v>
      </c>
      <c r="H91" s="183">
        <v>1</v>
      </c>
      <c r="I91" s="182">
        <f t="shared" ref="I91" si="26">+ROUND(H91*G91/1000,1)</f>
        <v>480</v>
      </c>
    </row>
    <row r="92" spans="1:9" s="206" customFormat="1" ht="54.95" customHeight="1">
      <c r="A92" s="147" t="s">
        <v>126</v>
      </c>
      <c r="B92" s="383" t="s">
        <v>117</v>
      </c>
      <c r="C92" s="383"/>
      <c r="D92" s="383"/>
      <c r="E92" s="383"/>
      <c r="F92" s="383"/>
      <c r="G92" s="383"/>
      <c r="H92" s="383"/>
      <c r="I92" s="87">
        <f>+I93+I97</f>
        <v>232156.19999999998</v>
      </c>
    </row>
    <row r="93" spans="1:9" s="207" customFormat="1" ht="21" customHeight="1">
      <c r="A93" s="177"/>
      <c r="B93" s="391" t="s">
        <v>67</v>
      </c>
      <c r="C93" s="392"/>
      <c r="D93" s="268"/>
      <c r="E93" s="178"/>
      <c r="F93" s="178"/>
      <c r="G93" s="178"/>
      <c r="H93" s="84"/>
      <c r="I93" s="171">
        <f>SUM(I94:I96)</f>
        <v>209158.39999999999</v>
      </c>
    </row>
    <row r="94" spans="1:9" s="91" customFormat="1" ht="17.649999999999999" customHeight="1">
      <c r="A94" s="134">
        <v>45451700</v>
      </c>
      <c r="B94" s="382" t="s">
        <v>127</v>
      </c>
      <c r="C94" s="382"/>
      <c r="D94" s="382"/>
      <c r="E94" s="159" t="s">
        <v>125</v>
      </c>
      <c r="F94" s="159" t="s">
        <v>63</v>
      </c>
      <c r="G94" s="167">
        <v>1308830</v>
      </c>
      <c r="H94" s="168">
        <v>1</v>
      </c>
      <c r="I94" s="169">
        <f t="shared" ref="I94:I104" si="27">+ROUNDUP(H94*G94/1000,1)</f>
        <v>1308.8999999999999</v>
      </c>
    </row>
    <row r="95" spans="1:9" s="91" customFormat="1" ht="17.649999999999999" customHeight="1">
      <c r="A95" s="134">
        <v>45451700</v>
      </c>
      <c r="B95" s="382" t="s">
        <v>127</v>
      </c>
      <c r="C95" s="382"/>
      <c r="D95" s="382"/>
      <c r="E95" s="159" t="s">
        <v>125</v>
      </c>
      <c r="F95" s="159" t="s">
        <v>63</v>
      </c>
      <c r="G95" s="167">
        <v>127432800</v>
      </c>
      <c r="H95" s="168">
        <v>1</v>
      </c>
      <c r="I95" s="169">
        <f>+ROUNDUP(H95*G95/1000,1)</f>
        <v>127432.8</v>
      </c>
    </row>
    <row r="96" spans="1:9" s="91" customFormat="1" ht="17.649999999999999" customHeight="1">
      <c r="A96" s="134">
        <v>45451700</v>
      </c>
      <c r="B96" s="382" t="s">
        <v>127</v>
      </c>
      <c r="C96" s="382"/>
      <c r="D96" s="382"/>
      <c r="E96" s="159" t="s">
        <v>125</v>
      </c>
      <c r="F96" s="159" t="s">
        <v>63</v>
      </c>
      <c r="G96" s="167">
        <v>80416700</v>
      </c>
      <c r="H96" s="168">
        <v>1</v>
      </c>
      <c r="I96" s="169">
        <f t="shared" ref="I96" si="28">+ROUNDUP(H96*G96/1000,1)</f>
        <v>80416.7</v>
      </c>
    </row>
    <row r="97" spans="1:9" s="208" customFormat="1" ht="21" customHeight="1">
      <c r="A97" s="134"/>
      <c r="B97" s="391" t="s">
        <v>50</v>
      </c>
      <c r="C97" s="392"/>
      <c r="D97" s="268"/>
      <c r="E97" s="178" t="s">
        <v>68</v>
      </c>
      <c r="F97" s="178" t="s">
        <v>68</v>
      </c>
      <c r="G97" s="178" t="s">
        <v>68</v>
      </c>
      <c r="H97" s="92"/>
      <c r="I97" s="171">
        <f>SUM(I98:I113)</f>
        <v>22997.8</v>
      </c>
    </row>
    <row r="98" spans="1:9" s="91" customFormat="1">
      <c r="A98" s="134">
        <v>71351540</v>
      </c>
      <c r="B98" s="382" t="s">
        <v>57</v>
      </c>
      <c r="C98" s="382"/>
      <c r="D98" s="382"/>
      <c r="E98" s="159" t="s">
        <v>51</v>
      </c>
      <c r="F98" s="159" t="s">
        <v>49</v>
      </c>
      <c r="G98" s="167">
        <v>635700</v>
      </c>
      <c r="H98" s="168">
        <v>1</v>
      </c>
      <c r="I98" s="169">
        <f>+ROUNDUP(H98*G98/1000,1)</f>
        <v>635.70000000000005</v>
      </c>
    </row>
    <row r="99" spans="1:9" s="91" customFormat="1" ht="17.850000000000001" customHeight="1">
      <c r="A99" s="134">
        <v>71351540</v>
      </c>
      <c r="B99" s="377" t="s">
        <v>57</v>
      </c>
      <c r="C99" s="378"/>
      <c r="D99" s="379"/>
      <c r="E99" s="159" t="s">
        <v>51</v>
      </c>
      <c r="F99" s="159" t="s">
        <v>49</v>
      </c>
      <c r="G99" s="167">
        <v>4763500</v>
      </c>
      <c r="H99" s="168">
        <v>1</v>
      </c>
      <c r="I99" s="169">
        <f>+ROUNDUP(H99*G99/1000,1)</f>
        <v>4763.5</v>
      </c>
    </row>
    <row r="100" spans="1:9" s="91" customFormat="1">
      <c r="A100" s="134">
        <v>71351540</v>
      </c>
      <c r="B100" s="382" t="s">
        <v>57</v>
      </c>
      <c r="C100" s="382"/>
      <c r="D100" s="382"/>
      <c r="E100" s="159" t="s">
        <v>51</v>
      </c>
      <c r="F100" s="159" t="s">
        <v>49</v>
      </c>
      <c r="G100" s="167">
        <v>114300</v>
      </c>
      <c r="H100" s="168">
        <v>1</v>
      </c>
      <c r="I100" s="169">
        <f t="shared" ref="I100" si="29">+ROUNDUP(H100*G100/1000,1)</f>
        <v>114.3</v>
      </c>
    </row>
    <row r="101" spans="1:9" s="91" customFormat="1">
      <c r="A101" s="134">
        <v>71351540</v>
      </c>
      <c r="B101" s="382" t="s">
        <v>57</v>
      </c>
      <c r="C101" s="382"/>
      <c r="D101" s="382"/>
      <c r="E101" s="159" t="s">
        <v>51</v>
      </c>
      <c r="F101" s="159" t="s">
        <v>49</v>
      </c>
      <c r="G101" s="167">
        <v>528600</v>
      </c>
      <c r="H101" s="168">
        <v>1</v>
      </c>
      <c r="I101" s="169">
        <f>+ROUNDUP(H101*G101/1000,1)</f>
        <v>528.6</v>
      </c>
    </row>
    <row r="102" spans="1:9" s="91" customFormat="1">
      <c r="A102" s="134">
        <v>71351540</v>
      </c>
      <c r="B102" s="382" t="s">
        <v>57</v>
      </c>
      <c r="C102" s="382"/>
      <c r="D102" s="382"/>
      <c r="E102" s="159" t="s">
        <v>51</v>
      </c>
      <c r="F102" s="159" t="s">
        <v>49</v>
      </c>
      <c r="G102" s="167">
        <v>357700</v>
      </c>
      <c r="H102" s="168">
        <v>1</v>
      </c>
      <c r="I102" s="169">
        <f>+ROUNDUP(H102*G102/1000,1)</f>
        <v>357.7</v>
      </c>
    </row>
    <row r="103" spans="1:9" s="91" customFormat="1">
      <c r="A103" s="134">
        <v>71351540</v>
      </c>
      <c r="B103" s="382" t="s">
        <v>57</v>
      </c>
      <c r="C103" s="382"/>
      <c r="D103" s="382"/>
      <c r="E103" s="159" t="s">
        <v>51</v>
      </c>
      <c r="F103" s="159" t="s">
        <v>49</v>
      </c>
      <c r="G103" s="167">
        <v>3550600</v>
      </c>
      <c r="H103" s="168">
        <v>1</v>
      </c>
      <c r="I103" s="169">
        <f t="shared" ref="I103" si="30">+ROUNDUP(H103*G103/1000,1)</f>
        <v>3550.6</v>
      </c>
    </row>
    <row r="104" spans="1:9" s="91" customFormat="1" ht="16.7" customHeight="1">
      <c r="A104" s="134">
        <v>98111140</v>
      </c>
      <c r="B104" s="382" t="s">
        <v>58</v>
      </c>
      <c r="C104" s="382"/>
      <c r="D104" s="382"/>
      <c r="E104" s="159" t="s">
        <v>52</v>
      </c>
      <c r="F104" s="159" t="s">
        <v>49</v>
      </c>
      <c r="G104" s="167">
        <v>77500</v>
      </c>
      <c r="H104" s="168">
        <v>1</v>
      </c>
      <c r="I104" s="169">
        <f t="shared" si="27"/>
        <v>77.5</v>
      </c>
    </row>
    <row r="105" spans="1:9" s="91" customFormat="1" ht="17.25" customHeight="1">
      <c r="A105" s="134">
        <v>98111140</v>
      </c>
      <c r="B105" s="377" t="s">
        <v>58</v>
      </c>
      <c r="C105" s="378"/>
      <c r="D105" s="379"/>
      <c r="E105" s="159" t="s">
        <v>52</v>
      </c>
      <c r="F105" s="159" t="s">
        <v>49</v>
      </c>
      <c r="G105" s="167">
        <v>1137500</v>
      </c>
      <c r="H105" s="168">
        <v>1</v>
      </c>
      <c r="I105" s="169">
        <f t="shared" ref="I105" si="31">+ROUNDUP(H105*G105/1000,1)</f>
        <v>1137.5</v>
      </c>
    </row>
    <row r="106" spans="1:9" s="91" customFormat="1" ht="17.25" customHeight="1">
      <c r="A106" s="134">
        <v>98111140</v>
      </c>
      <c r="B106" s="382" t="s">
        <v>58</v>
      </c>
      <c r="C106" s="382"/>
      <c r="D106" s="382"/>
      <c r="E106" s="159" t="s">
        <v>52</v>
      </c>
      <c r="F106" s="159" t="s">
        <v>49</v>
      </c>
      <c r="G106" s="167">
        <v>885800</v>
      </c>
      <c r="H106" s="168">
        <v>1</v>
      </c>
      <c r="I106" s="169">
        <f t="shared" ref="I106" si="32">+ROUNDUP(H106*G106/1000,1)</f>
        <v>885.8</v>
      </c>
    </row>
    <row r="107" spans="1:9" s="91" customFormat="1" ht="16.7" customHeight="1">
      <c r="A107" s="134">
        <v>98111140</v>
      </c>
      <c r="B107" s="382" t="s">
        <v>58</v>
      </c>
      <c r="C107" s="382"/>
      <c r="D107" s="382"/>
      <c r="E107" s="159" t="s">
        <v>52</v>
      </c>
      <c r="F107" s="159" t="s">
        <v>49</v>
      </c>
      <c r="G107" s="167">
        <v>249100</v>
      </c>
      <c r="H107" s="168">
        <v>1</v>
      </c>
      <c r="I107" s="169">
        <f t="shared" ref="I107" si="33">+ROUNDUP(H107*G107/1000,1)</f>
        <v>249.1</v>
      </c>
    </row>
    <row r="108" spans="1:9" s="91" customFormat="1" ht="16.7" customHeight="1">
      <c r="A108" s="134">
        <v>98111140</v>
      </c>
      <c r="B108" s="382" t="s">
        <v>58</v>
      </c>
      <c r="C108" s="382"/>
      <c r="D108" s="382"/>
      <c r="E108" s="159" t="s">
        <v>52</v>
      </c>
      <c r="F108" s="159" t="s">
        <v>49</v>
      </c>
      <c r="G108" s="167">
        <v>801200</v>
      </c>
      <c r="H108" s="168">
        <v>1</v>
      </c>
      <c r="I108" s="169">
        <f t="shared" ref="I108" si="34">+ROUNDUP(H108*G108/1000,1)</f>
        <v>801.2</v>
      </c>
    </row>
    <row r="109" spans="1:9" s="91" customFormat="1" ht="16.7" customHeight="1">
      <c r="A109" s="134">
        <v>98111140</v>
      </c>
      <c r="B109" s="382" t="s">
        <v>58</v>
      </c>
      <c r="C109" s="382"/>
      <c r="D109" s="382"/>
      <c r="E109" s="159" t="s">
        <v>52</v>
      </c>
      <c r="F109" s="159" t="s">
        <v>49</v>
      </c>
      <c r="G109" s="167">
        <v>906300</v>
      </c>
      <c r="H109" s="168">
        <v>1</v>
      </c>
      <c r="I109" s="169">
        <f t="shared" ref="I109:I110" si="35">+ROUNDUP(H109*G109/1000,1)</f>
        <v>906.3</v>
      </c>
    </row>
    <row r="110" spans="1:9" s="91" customFormat="1" ht="32.25" customHeight="1">
      <c r="A110" s="199">
        <v>71241200</v>
      </c>
      <c r="B110" s="377" t="s">
        <v>180</v>
      </c>
      <c r="C110" s="380"/>
      <c r="D110" s="381"/>
      <c r="E110" s="89" t="s">
        <v>51</v>
      </c>
      <c r="F110" s="89" t="s">
        <v>49</v>
      </c>
      <c r="G110" s="90">
        <v>3480000</v>
      </c>
      <c r="H110" s="47">
        <v>1</v>
      </c>
      <c r="I110" s="169">
        <f t="shared" si="35"/>
        <v>3480</v>
      </c>
    </row>
    <row r="111" spans="1:9" s="91" customFormat="1" ht="32.25" customHeight="1">
      <c r="A111" s="199">
        <v>71241200</v>
      </c>
      <c r="B111" s="377" t="s">
        <v>180</v>
      </c>
      <c r="C111" s="380"/>
      <c r="D111" s="381"/>
      <c r="E111" s="89" t="s">
        <v>51</v>
      </c>
      <c r="F111" s="89" t="s">
        <v>49</v>
      </c>
      <c r="G111" s="90">
        <v>4550000</v>
      </c>
      <c r="H111" s="47">
        <v>1</v>
      </c>
      <c r="I111" s="169">
        <f t="shared" ref="I111" si="36">+ROUNDUP(H111*G111/1000,1)</f>
        <v>4550</v>
      </c>
    </row>
    <row r="112" spans="1:9" s="91" customFormat="1" ht="18" customHeight="1">
      <c r="A112" s="134">
        <v>50531140</v>
      </c>
      <c r="B112" s="382" t="s">
        <v>59</v>
      </c>
      <c r="C112" s="382"/>
      <c r="D112" s="382"/>
      <c r="E112" s="159" t="s">
        <v>51</v>
      </c>
      <c r="F112" s="159" t="s">
        <v>49</v>
      </c>
      <c r="G112" s="167">
        <v>480000</v>
      </c>
      <c r="H112" s="183">
        <v>1</v>
      </c>
      <c r="I112" s="182">
        <f t="shared" ref="I112" si="37">+ROUND(H112*G112/1000,1)</f>
        <v>480</v>
      </c>
    </row>
    <row r="113" spans="1:9" s="91" customFormat="1" ht="18" customHeight="1">
      <c r="A113" s="134">
        <v>50531140</v>
      </c>
      <c r="B113" s="382" t="s">
        <v>59</v>
      </c>
      <c r="C113" s="382"/>
      <c r="D113" s="382"/>
      <c r="E113" s="159" t="s">
        <v>51</v>
      </c>
      <c r="F113" s="159" t="s">
        <v>49</v>
      </c>
      <c r="G113" s="167">
        <v>480000</v>
      </c>
      <c r="H113" s="183">
        <v>1</v>
      </c>
      <c r="I113" s="182">
        <f t="shared" ref="I113" si="38">+ROUND(H113*G113/1000,1)</f>
        <v>480</v>
      </c>
    </row>
  </sheetData>
  <mergeCells count="112">
    <mergeCell ref="B104:D104"/>
    <mergeCell ref="B92:H92"/>
    <mergeCell ref="B93:D93"/>
    <mergeCell ref="B94:D94"/>
    <mergeCell ref="B95:D95"/>
    <mergeCell ref="B96:D96"/>
    <mergeCell ref="B89:D89"/>
    <mergeCell ref="B90:D90"/>
    <mergeCell ref="B97:D97"/>
    <mergeCell ref="B98:D98"/>
    <mergeCell ref="B99:D99"/>
    <mergeCell ref="B100:D100"/>
    <mergeCell ref="B103:D103"/>
    <mergeCell ref="B65:D65"/>
    <mergeCell ref="B66:D66"/>
    <mergeCell ref="B67:D67"/>
    <mergeCell ref="B68:D68"/>
    <mergeCell ref="B102:D102"/>
    <mergeCell ref="D69:H69"/>
    <mergeCell ref="B76:H76"/>
    <mergeCell ref="B77:D77"/>
    <mergeCell ref="B78:D78"/>
    <mergeCell ref="B80:D80"/>
    <mergeCell ref="B81:D81"/>
    <mergeCell ref="B82:D82"/>
    <mergeCell ref="B30:D30"/>
    <mergeCell ref="D26:H26"/>
    <mergeCell ref="B27:H27"/>
    <mergeCell ref="B28:D28"/>
    <mergeCell ref="B29:D29"/>
    <mergeCell ref="B33:D33"/>
    <mergeCell ref="B34:D34"/>
    <mergeCell ref="B39:D39"/>
    <mergeCell ref="B42:D42"/>
    <mergeCell ref="B37:D37"/>
    <mergeCell ref="B38:D38"/>
    <mergeCell ref="B35:D35"/>
    <mergeCell ref="B32:D32"/>
    <mergeCell ref="B36:D36"/>
    <mergeCell ref="B41:D41"/>
    <mergeCell ref="B43:D43"/>
    <mergeCell ref="B44:D44"/>
    <mergeCell ref="B45:D45"/>
    <mergeCell ref="B46:D46"/>
    <mergeCell ref="B51:H51"/>
    <mergeCell ref="B56:D56"/>
    <mergeCell ref="B62:D62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12:D12"/>
    <mergeCell ref="A13:H13"/>
    <mergeCell ref="B31:D31"/>
    <mergeCell ref="B15:H15"/>
    <mergeCell ref="B16:D16"/>
    <mergeCell ref="B17:D17"/>
    <mergeCell ref="B40:D40"/>
    <mergeCell ref="B18:D18"/>
    <mergeCell ref="B21:D21"/>
    <mergeCell ref="D14:H14"/>
    <mergeCell ref="B19:D19"/>
    <mergeCell ref="B20:D20"/>
    <mergeCell ref="B23:D23"/>
    <mergeCell ref="B24:D24"/>
    <mergeCell ref="B22:D22"/>
    <mergeCell ref="B25:D25"/>
    <mergeCell ref="B47:H47"/>
    <mergeCell ref="B48:D48"/>
    <mergeCell ref="B49:D49"/>
    <mergeCell ref="B50:D50"/>
    <mergeCell ref="B64:D64"/>
    <mergeCell ref="B52:D52"/>
    <mergeCell ref="B53:D53"/>
    <mergeCell ref="B57:D57"/>
    <mergeCell ref="B58:D58"/>
    <mergeCell ref="B59:D59"/>
    <mergeCell ref="B55:D55"/>
    <mergeCell ref="B54:D54"/>
    <mergeCell ref="B63:D63"/>
    <mergeCell ref="B60:D60"/>
    <mergeCell ref="B61:D61"/>
    <mergeCell ref="B105:D105"/>
    <mergeCell ref="B110:D110"/>
    <mergeCell ref="B112:D112"/>
    <mergeCell ref="B111:D111"/>
    <mergeCell ref="B113:D113"/>
    <mergeCell ref="B83:D83"/>
    <mergeCell ref="B84:D84"/>
    <mergeCell ref="B79:D79"/>
    <mergeCell ref="B70:H70"/>
    <mergeCell ref="B71:D71"/>
    <mergeCell ref="B72:D72"/>
    <mergeCell ref="B73:D73"/>
    <mergeCell ref="B74:D74"/>
    <mergeCell ref="B75:D75"/>
    <mergeCell ref="B85:H85"/>
    <mergeCell ref="B91:D91"/>
    <mergeCell ref="B88:D88"/>
    <mergeCell ref="B86:D86"/>
    <mergeCell ref="B87:D87"/>
    <mergeCell ref="B106:D106"/>
    <mergeCell ref="B109:D109"/>
    <mergeCell ref="B101:D101"/>
    <mergeCell ref="B107:D107"/>
    <mergeCell ref="B108:D10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https://mul2.gov.am/tasks/1113054/oneclick?token=cafdcad3c2cbbc8b3d67751bd5641ce4</cp:keywords>
  <cp:lastModifiedBy>Merri Saribekyan</cp:lastModifiedBy>
  <cp:lastPrinted>2024-02-19T11:31:34Z</cp:lastPrinted>
  <dcterms:created xsi:type="dcterms:W3CDTF">2022-01-04T07:12:58Z</dcterms:created>
  <dcterms:modified xsi:type="dcterms:W3CDTF">2025-02-19T14:21:51Z</dcterms:modified>
</cp:coreProperties>
</file>