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erriS\Desktop\Գործեր\12december\ԿԳՄՍՆ ԿԱՊԻՏԱԼ\"/>
    </mc:Choice>
  </mc:AlternateContent>
  <bookViews>
    <workbookView xWindow="0" yWindow="0" windowWidth="28800" windowHeight="9780" tabRatio="845" firstSheet="2"/>
  </bookViews>
  <sheets>
    <sheet name="Հավելված N 1" sheetId="65" r:id="rId1"/>
    <sheet name="Հավելված N 2" sheetId="32" r:id="rId2"/>
    <sheet name="Հավելված N 3" sheetId="69" r:id="rId3"/>
    <sheet name="Հավելված N 4" sheetId="56" r:id="rId4"/>
    <sheet name="Հավելված N 5" sheetId="74" r:id="rId5"/>
    <sheet name="Հավելված N 6" sheetId="63" r:id="rId6"/>
    <sheet name="Հավելված N 7" sheetId="73" r:id="rId7"/>
    <sheet name="Հավելված N 8" sheetId="29" r:id="rId8"/>
    <sheet name="Հավելված N 9" sheetId="72" r:id="rId9"/>
    <sheet name="Հավելված N 10" sheetId="54" r:id="rId10"/>
    <sheet name="Հավելված N 11" sheetId="70" r:id="rId11"/>
  </sheets>
  <definedNames>
    <definedName name="a" localSheetId="0">#REF!</definedName>
    <definedName name="a" localSheetId="10">#REF!</definedName>
    <definedName name="a" localSheetId="2">#REF!</definedName>
    <definedName name="a" localSheetId="4">#REF!</definedName>
    <definedName name="a" localSheetId="6">#REF!</definedName>
    <definedName name="a">#REF!</definedName>
    <definedName name="AgencyCode" localSheetId="9">#REF!</definedName>
    <definedName name="AgencyCode" localSheetId="10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5">#REF!</definedName>
    <definedName name="AgencyCode" localSheetId="6">#REF!</definedName>
    <definedName name="AgencyCode">#REF!</definedName>
    <definedName name="AgencyName" localSheetId="10">#REF!</definedName>
    <definedName name="AgencyName" localSheetId="1">#REF!</definedName>
    <definedName name="AgencyName" localSheetId="2">#REF!</definedName>
    <definedName name="AgencyName" localSheetId="6">#REF!</definedName>
    <definedName name="AgencyName">#REF!</definedName>
    <definedName name="åû" localSheetId="6">#REF!</definedName>
    <definedName name="åû">#REF!</definedName>
    <definedName name="davit" localSheetId="10">#REF!</definedName>
    <definedName name="davit" localSheetId="2">#REF!</definedName>
    <definedName name="davit" localSheetId="6">#REF!</definedName>
    <definedName name="davit">#REF!</definedName>
    <definedName name="Functional1" localSheetId="10">#REF!</definedName>
    <definedName name="Functional1" localSheetId="1">#REF!</definedName>
    <definedName name="Functional1" localSheetId="2">#REF!</definedName>
    <definedName name="Functional1" localSheetId="6">#REF!</definedName>
    <definedName name="Functional1">#REF!</definedName>
    <definedName name="ggg" localSheetId="10">#REF!</definedName>
    <definedName name="ggg" localSheetId="2">#REF!</definedName>
    <definedName name="ggg" localSheetId="6">#REF!</definedName>
    <definedName name="ggg">#REF!</definedName>
    <definedName name="mas">#REF!</definedName>
    <definedName name="mass">#REF!</definedName>
    <definedName name="PANature" localSheetId="10">#REF!</definedName>
    <definedName name="PANature" localSheetId="1">#REF!</definedName>
    <definedName name="PANature" localSheetId="2">#REF!</definedName>
    <definedName name="PANature" localSheetId="6">#REF!</definedName>
    <definedName name="PANature">#REF!</definedName>
    <definedName name="PAType" localSheetId="10">#REF!</definedName>
    <definedName name="PAType" localSheetId="1">#REF!</definedName>
    <definedName name="PAType" localSheetId="2">#REF!</definedName>
    <definedName name="PAType" localSheetId="6">#REF!</definedName>
    <definedName name="PAType">#REF!</definedName>
    <definedName name="Performance2" localSheetId="10">#REF!</definedName>
    <definedName name="Performance2" localSheetId="1">#REF!</definedName>
    <definedName name="Performance2" localSheetId="2">#REF!</definedName>
    <definedName name="Performance2" localSheetId="6">#REF!</definedName>
    <definedName name="Performance2">#REF!</definedName>
    <definedName name="PerformanceType" localSheetId="10">#REF!</definedName>
    <definedName name="PerformanceType" localSheetId="1">#REF!</definedName>
    <definedName name="PerformanceType" localSheetId="2">#REF!</definedName>
    <definedName name="PerformanceType" localSheetId="6">#REF!</definedName>
    <definedName name="PerformanceType">#REF!</definedName>
    <definedName name="x" localSheetId="6">#REF!</definedName>
    <definedName name="x">#REF!</definedName>
    <definedName name="Հավելված" localSheetId="10">#REF!</definedName>
    <definedName name="Հավելված" localSheetId="2">#REF!</definedName>
    <definedName name="Հավելված" localSheetId="5">#REF!</definedName>
    <definedName name="Հավելված" localSheetId="6">#REF!</definedName>
    <definedName name="Հավելված">#REF!</definedName>
    <definedName name="Հավելված10">#REF!</definedName>
    <definedName name="Հավելված11">#REF!</definedName>
    <definedName name="Հավելված20">#REF!</definedName>
    <definedName name="Հավելված9">#REF!</definedName>
    <definedName name="Մաս" localSheetId="10">#REF!</definedName>
    <definedName name="Մաս" localSheetId="2">#REF!</definedName>
    <definedName name="Մաս" localSheetId="6">#REF!</definedName>
    <definedName name="Մաս">#REF!</definedName>
    <definedName name="շախմատիստ" localSheetId="10">#REF!</definedName>
    <definedName name="շախմատիստ" localSheetId="2">#REF!</definedName>
    <definedName name="շախմատիստ" localSheetId="6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G10" i="63" l="1"/>
  <c r="G33" i="70"/>
  <c r="G109" i="32"/>
  <c r="G117" i="32"/>
  <c r="G111" i="32"/>
  <c r="G124" i="32"/>
  <c r="G123" i="32" s="1"/>
  <c r="G122" i="32" s="1"/>
  <c r="G121" i="32" s="1"/>
  <c r="G120" i="32" s="1"/>
  <c r="G118" i="32" s="1"/>
  <c r="D14" i="73"/>
  <c r="E87" i="56"/>
  <c r="E94" i="56"/>
  <c r="F73" i="69"/>
  <c r="G73" i="69"/>
  <c r="H73" i="69"/>
  <c r="E73" i="69"/>
  <c r="F75" i="69"/>
  <c r="I79" i="54" l="1"/>
  <c r="G27" i="63" l="1"/>
  <c r="G26" i="63" l="1"/>
  <c r="G212" i="32"/>
  <c r="G211" i="32" s="1"/>
  <c r="G210" i="32" s="1"/>
  <c r="G209" i="32" s="1"/>
  <c r="G208" i="32" s="1"/>
  <c r="G206" i="32" s="1"/>
  <c r="D12" i="73"/>
  <c r="D11" i="73" s="1"/>
  <c r="G204" i="32" l="1"/>
  <c r="D93" i="65" s="1"/>
  <c r="D113" i="29" s="1"/>
  <c r="D24" i="72"/>
  <c r="D86" i="56"/>
  <c r="F71" i="69"/>
  <c r="G71" i="69"/>
  <c r="H71" i="69"/>
  <c r="E72" i="69"/>
  <c r="E71" i="69" l="1"/>
  <c r="D72" i="69"/>
  <c r="E86" i="56" s="1"/>
  <c r="E85" i="56" s="1"/>
  <c r="I118" i="54"/>
  <c r="I78" i="54" l="1"/>
  <c r="G232" i="32" l="1"/>
  <c r="G231" i="32" s="1"/>
  <c r="G230" i="32" s="1"/>
  <c r="G229" i="32" s="1"/>
  <c r="D28" i="74"/>
  <c r="F27" i="74"/>
  <c r="F26" i="74" s="1"/>
  <c r="F25" i="74" s="1"/>
  <c r="F24" i="74" s="1"/>
  <c r="F22" i="74" s="1"/>
  <c r="F20" i="74" s="1"/>
  <c r="F18" i="74" s="1"/>
  <c r="F16" i="74" s="1"/>
  <c r="F15" i="74" s="1"/>
  <c r="F13" i="74" s="1"/>
  <c r="E27" i="74"/>
  <c r="D27" i="74"/>
  <c r="E26" i="74"/>
  <c r="E25" i="74"/>
  <c r="E24" i="74"/>
  <c r="G228" i="32" l="1"/>
  <c r="G226" i="32" s="1"/>
  <c r="D162" i="72" s="1"/>
  <c r="D25" i="74"/>
  <c r="D24" i="74"/>
  <c r="D26" i="74"/>
  <c r="E22" i="74"/>
  <c r="G224" i="32" l="1"/>
  <c r="E20" i="74"/>
  <c r="D22" i="74"/>
  <c r="G222" i="32" l="1"/>
  <c r="D112" i="65"/>
  <c r="E18" i="74"/>
  <c r="D20" i="74"/>
  <c r="D105" i="65" l="1"/>
  <c r="D136" i="29"/>
  <c r="D18" i="74"/>
  <c r="E16" i="74"/>
  <c r="D16" i="74" l="1"/>
  <c r="E15" i="74"/>
  <c r="D15" i="74" l="1"/>
  <c r="E13" i="74"/>
  <c r="D13" i="74" s="1"/>
  <c r="G35" i="32" l="1"/>
  <c r="D93" i="56"/>
  <c r="D92" i="56"/>
  <c r="F76" i="69"/>
  <c r="G76" i="69"/>
  <c r="H76" i="69"/>
  <c r="E76" i="69"/>
  <c r="D78" i="69"/>
  <c r="E93" i="56" s="1"/>
  <c r="E75" i="69" l="1"/>
  <c r="D75" i="69" s="1"/>
  <c r="H75" i="69"/>
  <c r="G75" i="69"/>
  <c r="G13" i="63"/>
  <c r="G195" i="32" s="1"/>
  <c r="G194" i="32" s="1"/>
  <c r="G193" i="32" s="1"/>
  <c r="G192" i="32" s="1"/>
  <c r="D77" i="69"/>
  <c r="E92" i="56" s="1"/>
  <c r="E91" i="56" s="1"/>
  <c r="E89" i="56" s="1"/>
  <c r="H69" i="69"/>
  <c r="G69" i="69"/>
  <c r="F69" i="69"/>
  <c r="D152" i="56"/>
  <c r="D150" i="56"/>
  <c r="D148" i="56"/>
  <c r="D147" i="56"/>
  <c r="D145" i="56"/>
  <c r="D144" i="56"/>
  <c r="D143" i="56"/>
  <c r="D142" i="56"/>
  <c r="D141" i="56"/>
  <c r="D140" i="56"/>
  <c r="D139" i="56"/>
  <c r="D138" i="56"/>
  <c r="D137" i="56"/>
  <c r="D135" i="56"/>
  <c r="D134" i="56"/>
  <c r="D133" i="56"/>
  <c r="D132" i="56"/>
  <c r="D130" i="56"/>
  <c r="D129" i="56"/>
  <c r="D128" i="56"/>
  <c r="D127" i="56"/>
  <c r="D126" i="56"/>
  <c r="D125" i="56"/>
  <c r="D124" i="56"/>
  <c r="D123" i="56"/>
  <c r="D122" i="56"/>
  <c r="D121" i="56"/>
  <c r="D120" i="56"/>
  <c r="D118" i="56"/>
  <c r="D117" i="56"/>
  <c r="D115" i="56"/>
  <c r="D114" i="56"/>
  <c r="D113" i="56"/>
  <c r="D112" i="56"/>
  <c r="D111" i="56"/>
  <c r="D110" i="56"/>
  <c r="D109" i="56"/>
  <c r="D108" i="56"/>
  <c r="D107" i="56"/>
  <c r="D106" i="56"/>
  <c r="D105" i="56"/>
  <c r="D100" i="56"/>
  <c r="E83" i="56" l="1"/>
  <c r="E81" i="56" s="1"/>
  <c r="G12" i="63"/>
  <c r="D80" i="56"/>
  <c r="D74" i="56"/>
  <c r="D68" i="56"/>
  <c r="D62" i="56"/>
  <c r="D50" i="56"/>
  <c r="E47" i="69"/>
  <c r="F47" i="69"/>
  <c r="F45" i="69" s="1"/>
  <c r="H47" i="69"/>
  <c r="H45" i="69" s="1"/>
  <c r="D46" i="56"/>
  <c r="D45" i="56"/>
  <c r="D44" i="56"/>
  <c r="D43" i="56"/>
  <c r="D41" i="56"/>
  <c r="D39" i="56"/>
  <c r="D37" i="56"/>
  <c r="D36" i="56"/>
  <c r="D35" i="56"/>
  <c r="D33" i="56"/>
  <c r="D25" i="56"/>
  <c r="D24" i="56"/>
  <c r="D22" i="56"/>
  <c r="D20" i="56"/>
  <c r="D19" i="56"/>
  <c r="D18" i="56"/>
  <c r="G11" i="63" l="1"/>
  <c r="G108" i="32"/>
  <c r="G107" i="32" s="1"/>
  <c r="G106" i="32" s="1"/>
  <c r="G105" i="32" s="1"/>
  <c r="D71" i="69"/>
  <c r="E69" i="69"/>
  <c r="D69" i="69" s="1"/>
  <c r="E45" i="69"/>
  <c r="D76" i="69"/>
  <c r="H85" i="69"/>
  <c r="H132" i="69"/>
  <c r="E132" i="69"/>
  <c r="F63" i="69"/>
  <c r="F61" i="69" s="1"/>
  <c r="G63" i="69"/>
  <c r="G61" i="69" s="1"/>
  <c r="E63" i="69"/>
  <c r="E61" i="69" s="1"/>
  <c r="I37" i="54"/>
  <c r="I36" i="54"/>
  <c r="I35" i="54"/>
  <c r="I34" i="54"/>
  <c r="I33" i="54"/>
  <c r="I32" i="54"/>
  <c r="I31" i="54"/>
  <c r="I30" i="54"/>
  <c r="G59" i="69"/>
  <c r="G57" i="69" s="1"/>
  <c r="H59" i="69"/>
  <c r="H57" i="69" s="1"/>
  <c r="E59" i="69"/>
  <c r="E57" i="69" s="1"/>
  <c r="I27" i="54"/>
  <c r="I26" i="54"/>
  <c r="I24" i="54"/>
  <c r="I23" i="54" s="1"/>
  <c r="D73" i="69" l="1"/>
  <c r="I25" i="54"/>
  <c r="I22" i="54" s="1"/>
  <c r="I29" i="54"/>
  <c r="H64" i="69" s="1"/>
  <c r="D64" i="69" s="1"/>
  <c r="E74" i="56" s="1"/>
  <c r="E73" i="56" s="1"/>
  <c r="E71" i="56" s="1"/>
  <c r="F60" i="69"/>
  <c r="D13" i="73" l="1"/>
  <c r="G116" i="32"/>
  <c r="G115" i="32" s="1"/>
  <c r="G114" i="32" s="1"/>
  <c r="G113" i="32" s="1"/>
  <c r="D36" i="72" s="1"/>
  <c r="E69" i="56"/>
  <c r="G68" i="32"/>
  <c r="G67" i="32" s="1"/>
  <c r="G66" i="32" s="1"/>
  <c r="G65" i="32" s="1"/>
  <c r="G64" i="32" s="1"/>
  <c r="G62" i="32" s="1"/>
  <c r="H63" i="69"/>
  <c r="H61" i="69" s="1"/>
  <c r="D60" i="69"/>
  <c r="E68" i="56" s="1"/>
  <c r="F59" i="69"/>
  <c r="D131" i="65" l="1"/>
  <c r="D159" i="29" s="1"/>
  <c r="G60" i="32"/>
  <c r="D74" i="65" s="1"/>
  <c r="D89" i="29" s="1"/>
  <c r="D125" i="72"/>
  <c r="D59" i="69"/>
  <c r="F57" i="69"/>
  <c r="D57" i="69" s="1"/>
  <c r="H17" i="69" l="1"/>
  <c r="E17" i="69"/>
  <c r="G132" i="69"/>
  <c r="D133" i="69"/>
  <c r="E152" i="56" s="1"/>
  <c r="E151" i="56" s="1"/>
  <c r="F132" i="69"/>
  <c r="F117" i="69"/>
  <c r="G117" i="69"/>
  <c r="E117" i="69"/>
  <c r="D126" i="69"/>
  <c r="E145" i="56" s="1"/>
  <c r="D125" i="69"/>
  <c r="E144" i="56" s="1"/>
  <c r="D124" i="69"/>
  <c r="E143" i="56" s="1"/>
  <c r="D123" i="69"/>
  <c r="E142" i="56" s="1"/>
  <c r="D122" i="69"/>
  <c r="E141" i="56" s="1"/>
  <c r="D121" i="69"/>
  <c r="E140" i="56" s="1"/>
  <c r="D120" i="69"/>
  <c r="E139" i="56" s="1"/>
  <c r="F112" i="69"/>
  <c r="G112" i="69"/>
  <c r="E112" i="69"/>
  <c r="D116" i="69"/>
  <c r="E135" i="56" s="1"/>
  <c r="D115" i="69"/>
  <c r="E134" i="56" s="1"/>
  <c r="D114" i="69"/>
  <c r="E133" i="56" s="1"/>
  <c r="F100" i="69"/>
  <c r="G100" i="69"/>
  <c r="E100" i="69"/>
  <c r="D107" i="69"/>
  <c r="E126" i="56" s="1"/>
  <c r="D106" i="69"/>
  <c r="E125" i="56" s="1"/>
  <c r="D105" i="69"/>
  <c r="E124" i="56" s="1"/>
  <c r="D111" i="69"/>
  <c r="E130" i="56" s="1"/>
  <c r="D110" i="69"/>
  <c r="E129" i="56" s="1"/>
  <c r="D109" i="69"/>
  <c r="E128" i="56" s="1"/>
  <c r="D108" i="69"/>
  <c r="E127" i="56" s="1"/>
  <c r="D104" i="69"/>
  <c r="E123" i="56" s="1"/>
  <c r="D103" i="69"/>
  <c r="E122" i="56" s="1"/>
  <c r="F97" i="69"/>
  <c r="G97" i="69"/>
  <c r="E97" i="69"/>
  <c r="D99" i="69"/>
  <c r="E118" i="56" s="1"/>
  <c r="F85" i="69"/>
  <c r="G85" i="69"/>
  <c r="E85" i="69"/>
  <c r="D92" i="69"/>
  <c r="E111" i="56" s="1"/>
  <c r="D91" i="69"/>
  <c r="E110" i="56" s="1"/>
  <c r="D90" i="69"/>
  <c r="E109" i="56" s="1"/>
  <c r="D96" i="69"/>
  <c r="E115" i="56" s="1"/>
  <c r="D95" i="69"/>
  <c r="E114" i="56" s="1"/>
  <c r="D94" i="69"/>
  <c r="E113" i="56" s="1"/>
  <c r="D93" i="69"/>
  <c r="E112" i="56" s="1"/>
  <c r="D89" i="69"/>
  <c r="E108" i="56" s="1"/>
  <c r="I123" i="54"/>
  <c r="I120" i="54" s="1"/>
  <c r="I117" i="54" s="1"/>
  <c r="F81" i="69"/>
  <c r="F79" i="69" s="1"/>
  <c r="G81" i="69"/>
  <c r="G79" i="69" s="1"/>
  <c r="H81" i="69"/>
  <c r="H79" i="69" s="1"/>
  <c r="E82" i="69"/>
  <c r="D82" i="69" s="1"/>
  <c r="E100" i="56" s="1"/>
  <c r="E99" i="56" s="1"/>
  <c r="E97" i="56" s="1"/>
  <c r="I126" i="54"/>
  <c r="I125" i="54" s="1"/>
  <c r="I124" i="54" s="1"/>
  <c r="G104" i="32" l="1"/>
  <c r="G103" i="32" s="1"/>
  <c r="G102" i="32" s="1"/>
  <c r="G101" i="32" s="1"/>
  <c r="G100" i="32" s="1"/>
  <c r="I116" i="54"/>
  <c r="I115" i="54" s="1"/>
  <c r="E95" i="56"/>
  <c r="G152" i="32"/>
  <c r="D132" i="69"/>
  <c r="E81" i="69"/>
  <c r="D81" i="69" l="1"/>
  <c r="E79" i="69"/>
  <c r="D88" i="69" l="1"/>
  <c r="E107" i="56" s="1"/>
  <c r="D102" i="69" l="1"/>
  <c r="E121" i="56" s="1"/>
  <c r="D87" i="69" l="1"/>
  <c r="E106" i="56" s="1"/>
  <c r="D86" i="69"/>
  <c r="E105" i="56" s="1"/>
  <c r="D85" i="69"/>
  <c r="G17" i="63"/>
  <c r="E104" i="56" l="1"/>
  <c r="G16" i="63" l="1"/>
  <c r="G15" i="63" s="1"/>
  <c r="G34" i="32" l="1"/>
  <c r="G33" i="32" s="1"/>
  <c r="G32" i="32" s="1"/>
  <c r="G31" i="32" s="1"/>
  <c r="G24" i="63"/>
  <c r="G141" i="32" s="1"/>
  <c r="G140" i="32" s="1"/>
  <c r="G23" i="63" l="1"/>
  <c r="G22" i="63" s="1"/>
  <c r="H55" i="69" l="1"/>
  <c r="H53" i="69" s="1"/>
  <c r="F55" i="69"/>
  <c r="F53" i="69" s="1"/>
  <c r="E55" i="69"/>
  <c r="E53" i="69" s="1"/>
  <c r="I89" i="54" l="1"/>
  <c r="I112" i="54"/>
  <c r="I88" i="54" l="1"/>
  <c r="I87" i="54" s="1"/>
  <c r="I86" i="54" s="1"/>
  <c r="G56" i="69"/>
  <c r="I19" i="54"/>
  <c r="I20" i="54"/>
  <c r="I17" i="54"/>
  <c r="I16" i="54" s="1"/>
  <c r="I18" i="54" l="1"/>
  <c r="I15" i="54" s="1"/>
  <c r="I14" i="54" s="1"/>
  <c r="D56" i="69"/>
  <c r="E62" i="56" s="1"/>
  <c r="E61" i="56" s="1"/>
  <c r="E59" i="56" s="1"/>
  <c r="G55" i="69"/>
  <c r="F52" i="69"/>
  <c r="E57" i="56" l="1"/>
  <c r="G178" i="32"/>
  <c r="G52" i="70" s="1"/>
  <c r="G51" i="70" s="1"/>
  <c r="G50" i="70" s="1"/>
  <c r="G49" i="70" s="1"/>
  <c r="G48" i="70" s="1"/>
  <c r="G46" i="70" s="1"/>
  <c r="G44" i="70" s="1"/>
  <c r="G42" i="70" s="1"/>
  <c r="G40" i="70" s="1"/>
  <c r="G38" i="70" s="1"/>
  <c r="G36" i="70" s="1"/>
  <c r="G34" i="70" s="1"/>
  <c r="G53" i="69"/>
  <c r="D53" i="69" s="1"/>
  <c r="D55" i="69"/>
  <c r="F31" i="69"/>
  <c r="I50" i="54"/>
  <c r="G177" i="32" l="1"/>
  <c r="G176" i="32" s="1"/>
  <c r="G175" i="32" s="1"/>
  <c r="G174" i="32" s="1"/>
  <c r="G172" i="32" s="1"/>
  <c r="G170" i="32" s="1"/>
  <c r="G252" i="32" s="1"/>
  <c r="I94" i="54"/>
  <c r="G260" i="32" l="1"/>
  <c r="D100" i="72"/>
  <c r="G168" i="32"/>
  <c r="G166" i="32" s="1"/>
  <c r="D55" i="65"/>
  <c r="D48" i="65" l="1"/>
  <c r="D64" i="29"/>
  <c r="E32" i="69"/>
  <c r="E36" i="69"/>
  <c r="E38" i="69"/>
  <c r="H40" i="69"/>
  <c r="E40" i="69"/>
  <c r="I72" i="54" l="1"/>
  <c r="I63" i="54"/>
  <c r="F44" i="69" l="1"/>
  <c r="D44" i="69" l="1"/>
  <c r="E46" i="56" s="1"/>
  <c r="I60" i="54"/>
  <c r="I44" i="54"/>
  <c r="I51" i="54"/>
  <c r="I48" i="54"/>
  <c r="I42" i="54" l="1"/>
  <c r="I73" i="54"/>
  <c r="I66" i="54"/>
  <c r="I56" i="54" l="1"/>
  <c r="I47" i="54"/>
  <c r="F33" i="69"/>
  <c r="I67" i="54"/>
  <c r="I57" i="54"/>
  <c r="I43" i="54"/>
  <c r="I55" i="54"/>
  <c r="F37" i="69" l="1"/>
  <c r="F39" i="69"/>
  <c r="F34" i="69"/>
  <c r="F35" i="69"/>
  <c r="I69" i="54" l="1"/>
  <c r="I58" i="54"/>
  <c r="I45" i="54"/>
  <c r="I52" i="54"/>
  <c r="F41" i="69"/>
  <c r="I40" i="54" l="1"/>
  <c r="F42" i="69"/>
  <c r="E30" i="69"/>
  <c r="E28" i="69" s="1"/>
  <c r="E26" i="69" s="1"/>
  <c r="F30" i="69"/>
  <c r="G30" i="69"/>
  <c r="H30" i="69"/>
  <c r="H32" i="69"/>
  <c r="G32" i="69"/>
  <c r="H36" i="69"/>
  <c r="G36" i="69"/>
  <c r="G38" i="69"/>
  <c r="H38" i="69"/>
  <c r="F43" i="69"/>
  <c r="F38" i="69"/>
  <c r="F36" i="69"/>
  <c r="H28" i="69" l="1"/>
  <c r="H26" i="69" s="1"/>
  <c r="F40" i="69"/>
  <c r="F32" i="69"/>
  <c r="D42" i="69"/>
  <c r="E44" i="56" s="1"/>
  <c r="D41" i="69"/>
  <c r="E43" i="56" s="1"/>
  <c r="D39" i="69"/>
  <c r="E41" i="56" s="1"/>
  <c r="E40" i="56" s="1"/>
  <c r="D37" i="69"/>
  <c r="E39" i="56" s="1"/>
  <c r="E38" i="56" s="1"/>
  <c r="D35" i="69"/>
  <c r="E37" i="56" s="1"/>
  <c r="D34" i="69"/>
  <c r="E36" i="56" s="1"/>
  <c r="F28" i="69" l="1"/>
  <c r="F26" i="69" s="1"/>
  <c r="D38" i="69"/>
  <c r="D36" i="69"/>
  <c r="G130" i="69" l="1"/>
  <c r="F130" i="69"/>
  <c r="E130" i="69"/>
  <c r="G127" i="69"/>
  <c r="G83" i="69" s="1"/>
  <c r="F127" i="69"/>
  <c r="E127" i="69"/>
  <c r="E83" i="69" s="1"/>
  <c r="F83" i="69" l="1"/>
  <c r="G20" i="63"/>
  <c r="G19" i="63" l="1"/>
  <c r="G55" i="32"/>
  <c r="G54" i="32" s="1"/>
  <c r="G18" i="63" l="1"/>
  <c r="E21" i="69" l="1"/>
  <c r="H23" i="69"/>
  <c r="E23" i="69"/>
  <c r="I103" i="54"/>
  <c r="I95" i="54"/>
  <c r="I92" i="54" s="1"/>
  <c r="I99" i="54"/>
  <c r="E15" i="69" l="1"/>
  <c r="F24" i="69"/>
  <c r="F23" i="69" s="1"/>
  <c r="I106" i="54"/>
  <c r="I109" i="54"/>
  <c r="G20" i="69"/>
  <c r="D24" i="69" l="1"/>
  <c r="E24" i="56" s="1"/>
  <c r="G25" i="69"/>
  <c r="G23" i="69" s="1"/>
  <c r="D23" i="69" s="1"/>
  <c r="D25" i="69" l="1"/>
  <c r="E25" i="56" s="1"/>
  <c r="E23" i="56" s="1"/>
  <c r="F18" i="69"/>
  <c r="F17" i="69" s="1"/>
  <c r="D18" i="69" l="1"/>
  <c r="E18" i="56" s="1"/>
  <c r="I107" i="54" l="1"/>
  <c r="I104" i="54"/>
  <c r="D20" i="69"/>
  <c r="E20" i="56" s="1"/>
  <c r="G19" i="69" l="1"/>
  <c r="D19" i="69" l="1"/>
  <c r="E19" i="56" s="1"/>
  <c r="G17" i="69"/>
  <c r="D17" i="69" s="1"/>
  <c r="I98" i="54"/>
  <c r="I96" i="54" s="1"/>
  <c r="I91" i="54" s="1"/>
  <c r="E17" i="56" l="1"/>
  <c r="G201" i="32"/>
  <c r="G200" i="32" s="1"/>
  <c r="F22" i="69"/>
  <c r="D129" i="69"/>
  <c r="E148" i="56" s="1"/>
  <c r="D119" i="69"/>
  <c r="E138" i="56" s="1"/>
  <c r="H112" i="69"/>
  <c r="H100" i="69"/>
  <c r="H97" i="69"/>
  <c r="H117" i="69" l="1"/>
  <c r="H127" i="69"/>
  <c r="D128" i="69"/>
  <c r="E147" i="56" s="1"/>
  <c r="E146" i="56" s="1"/>
  <c r="D98" i="69"/>
  <c r="E117" i="56" s="1"/>
  <c r="E116" i="56" s="1"/>
  <c r="D101" i="69"/>
  <c r="E120" i="56" s="1"/>
  <c r="E119" i="56" s="1"/>
  <c r="D113" i="69"/>
  <c r="E132" i="56" s="1"/>
  <c r="E131" i="56" s="1"/>
  <c r="D118" i="69"/>
  <c r="E137" i="56" s="1"/>
  <c r="E136" i="56" s="1"/>
  <c r="D131" i="69"/>
  <c r="E150" i="56" s="1"/>
  <c r="E149" i="56" s="1"/>
  <c r="H130" i="69"/>
  <c r="D130" i="69" s="1"/>
  <c r="E103" i="56" l="1"/>
  <c r="H83" i="69"/>
  <c r="D127" i="69"/>
  <c r="D100" i="69"/>
  <c r="D112" i="69"/>
  <c r="E101" i="56" l="1"/>
  <c r="G161" i="32"/>
  <c r="D79" i="69"/>
  <c r="D117" i="69"/>
  <c r="G98" i="32" l="1"/>
  <c r="D97" i="69"/>
  <c r="G96" i="32" l="1"/>
  <c r="D200" i="72"/>
  <c r="G51" i="69"/>
  <c r="H51" i="69"/>
  <c r="E51" i="69"/>
  <c r="G94" i="32" l="1"/>
  <c r="G92" i="32" s="1"/>
  <c r="G90" i="32" s="1"/>
  <c r="G88" i="32" s="1"/>
  <c r="D125" i="65"/>
  <c r="D150" i="29" l="1"/>
  <c r="D56" i="56"/>
  <c r="G67" i="69" l="1"/>
  <c r="H67" i="69"/>
  <c r="E67" i="69"/>
  <c r="E65" i="69" s="1"/>
  <c r="E49" i="69"/>
  <c r="E13" i="69" l="1"/>
  <c r="D83" i="69"/>
  <c r="G160" i="32" l="1"/>
  <c r="G159" i="32" s="1"/>
  <c r="G158" i="32" s="1"/>
  <c r="G157" i="32" s="1"/>
  <c r="F51" i="69" l="1"/>
  <c r="F49" i="69" l="1"/>
  <c r="G49" i="69"/>
  <c r="H49" i="69"/>
  <c r="F68" i="69"/>
  <c r="F67" i="69" s="1"/>
  <c r="I111" i="54" l="1"/>
  <c r="I110" i="54" s="1"/>
  <c r="I90" i="54" s="1"/>
  <c r="G53" i="32" l="1"/>
  <c r="G52" i="32" s="1"/>
  <c r="D52" i="69"/>
  <c r="E56" i="56" s="1"/>
  <c r="E55" i="56" s="1"/>
  <c r="E53" i="56" s="1"/>
  <c r="D68" i="69"/>
  <c r="E80" i="56" s="1"/>
  <c r="H65" i="69"/>
  <c r="G65" i="69"/>
  <c r="F65" i="69"/>
  <c r="E51" i="56" l="1"/>
  <c r="G40" i="32"/>
  <c r="G39" i="32" s="1"/>
  <c r="G38" i="32" s="1"/>
  <c r="G37" i="32" s="1"/>
  <c r="G30" i="32" s="1"/>
  <c r="G28" i="32" s="1"/>
  <c r="G26" i="32" s="1"/>
  <c r="G24" i="32" s="1"/>
  <c r="G22" i="32" s="1"/>
  <c r="D61" i="69"/>
  <c r="D63" i="69"/>
  <c r="I77" i="54"/>
  <c r="E79" i="56"/>
  <c r="E77" i="56" s="1"/>
  <c r="G221" i="32" s="1"/>
  <c r="D49" i="69"/>
  <c r="D51" i="69"/>
  <c r="D65" i="69"/>
  <c r="D67" i="69"/>
  <c r="E75" i="56" l="1"/>
  <c r="G220" i="32"/>
  <c r="G219" i="32" s="1"/>
  <c r="G218" i="32" s="1"/>
  <c r="D22" i="69"/>
  <c r="E22" i="56" s="1"/>
  <c r="H21" i="69"/>
  <c r="H15" i="69" s="1"/>
  <c r="H13" i="69" s="1"/>
  <c r="G21" i="69"/>
  <c r="G15" i="69" s="1"/>
  <c r="F21" i="69"/>
  <c r="F15" i="69" s="1"/>
  <c r="F13" i="69" s="1"/>
  <c r="D87" i="72" l="1"/>
  <c r="E21" i="56"/>
  <c r="E15" i="56" s="1"/>
  <c r="G199" i="32"/>
  <c r="G217" i="32"/>
  <c r="G215" i="32" s="1"/>
  <c r="D149" i="72" s="1"/>
  <c r="D15" i="69"/>
  <c r="D21" i="69"/>
  <c r="G198" i="32" l="1"/>
  <c r="G197" i="32" s="1"/>
  <c r="G196" i="32" s="1"/>
  <c r="G191" i="32" s="1"/>
  <c r="D42" i="65"/>
  <c r="D51" i="29" s="1"/>
  <c r="G213" i="32"/>
  <c r="E13" i="56"/>
  <c r="D99" i="65" l="1"/>
  <c r="D123" i="29" s="1"/>
  <c r="G202" i="32"/>
  <c r="G189" i="32"/>
  <c r="D61" i="72" s="1"/>
  <c r="E67" i="56"/>
  <c r="E65" i="56" s="1"/>
  <c r="G187" i="32" l="1"/>
  <c r="E63" i="56"/>
  <c r="G59" i="32"/>
  <c r="G58" i="32" s="1"/>
  <c r="G57" i="32" s="1"/>
  <c r="G56" i="32" s="1"/>
  <c r="G51" i="32" s="1"/>
  <c r="G49" i="32" s="1"/>
  <c r="D115" i="72" s="1"/>
  <c r="I76" i="54"/>
  <c r="I75" i="54"/>
  <c r="G48" i="69" l="1"/>
  <c r="G185" i="32"/>
  <c r="D23" i="65"/>
  <c r="D25" i="29" s="1"/>
  <c r="G47" i="32"/>
  <c r="G45" i="32" s="1"/>
  <c r="D43" i="69"/>
  <c r="E45" i="56" s="1"/>
  <c r="E42" i="56" s="1"/>
  <c r="I53" i="54"/>
  <c r="I39" i="54" s="1"/>
  <c r="G47" i="69" l="1"/>
  <c r="D48" i="69"/>
  <c r="E50" i="56" s="1"/>
  <c r="D16" i="65"/>
  <c r="G43" i="32"/>
  <c r="G41" i="32" s="1"/>
  <c r="D68" i="65"/>
  <c r="D61" i="65" s="1"/>
  <c r="G45" i="69"/>
  <c r="D45" i="69" s="1"/>
  <c r="D47" i="69"/>
  <c r="G40" i="69"/>
  <c r="G28" i="69" s="1"/>
  <c r="D33" i="69"/>
  <c r="E35" i="56" s="1"/>
  <c r="E34" i="56" s="1"/>
  <c r="D79" i="29" l="1"/>
  <c r="G26" i="69"/>
  <c r="G13" i="69" s="1"/>
  <c r="D40" i="69"/>
  <c r="D32" i="69"/>
  <c r="G20" i="32" l="1"/>
  <c r="D231" i="72"/>
  <c r="D241" i="72" l="1"/>
  <c r="G259" i="32"/>
  <c r="G258" i="32" s="1"/>
  <c r="G257" i="32" s="1"/>
  <c r="G255" i="32" s="1"/>
  <c r="G253" i="32" s="1"/>
  <c r="D164" i="65" s="1"/>
  <c r="D210" i="29" s="1"/>
  <c r="G31" i="70"/>
  <c r="G30" i="70" s="1"/>
  <c r="G29" i="70" s="1"/>
  <c r="G28" i="70" s="1"/>
  <c r="G26" i="70" s="1"/>
  <c r="G24" i="70" s="1"/>
  <c r="G22" i="70" s="1"/>
  <c r="G20" i="70" s="1"/>
  <c r="G18" i="70" s="1"/>
  <c r="G16" i="70" s="1"/>
  <c r="G14" i="70" s="1"/>
  <c r="G13" i="70" s="1"/>
  <c r="G11" i="70" s="1"/>
  <c r="E11" i="69" l="1"/>
  <c r="H11" i="69" l="1"/>
  <c r="G183" i="32" l="1"/>
  <c r="G181" i="32" l="1"/>
  <c r="G179" i="32" s="1"/>
  <c r="G164" i="32" s="1"/>
  <c r="G162" i="32" s="1"/>
  <c r="G155" i="32"/>
  <c r="D175" i="72" s="1"/>
  <c r="G153" i="32" l="1"/>
  <c r="D143" i="65" l="1"/>
  <c r="D178" i="29" s="1"/>
  <c r="G151" i="32"/>
  <c r="G150" i="32" s="1"/>
  <c r="G149" i="32" s="1"/>
  <c r="G148" i="32" s="1"/>
  <c r="G146" i="32" s="1"/>
  <c r="D209" i="72" s="1"/>
  <c r="G144" i="32" l="1"/>
  <c r="E49" i="56"/>
  <c r="G11" i="69"/>
  <c r="I38" i="54"/>
  <c r="G142" i="32" l="1"/>
  <c r="D137" i="65"/>
  <c r="G139" i="32"/>
  <c r="G138" i="32" s="1"/>
  <c r="E47" i="56"/>
  <c r="G85" i="32" s="1"/>
  <c r="G84" i="32" s="1"/>
  <c r="I28" i="54"/>
  <c r="D31" i="69"/>
  <c r="E33" i="56" s="1"/>
  <c r="I21" i="54" l="1"/>
  <c r="I13" i="54" s="1"/>
  <c r="D168" i="29"/>
  <c r="D118" i="65"/>
  <c r="G137" i="32"/>
  <c r="G135" i="32" s="1"/>
  <c r="E32" i="56"/>
  <c r="E30" i="56" s="1"/>
  <c r="G83" i="32" s="1"/>
  <c r="D30" i="69"/>
  <c r="G133" i="32" l="1"/>
  <c r="D139" i="72"/>
  <c r="E28" i="56"/>
  <c r="E26" i="56" s="1"/>
  <c r="E11" i="56" s="1"/>
  <c r="G82" i="32"/>
  <c r="G81" i="32" s="1"/>
  <c r="G80" i="32" s="1"/>
  <c r="G79" i="32" s="1"/>
  <c r="D28" i="69"/>
  <c r="G131" i="32" l="1"/>
  <c r="G129" i="32" s="1"/>
  <c r="D87" i="65"/>
  <c r="D80" i="65" s="1"/>
  <c r="G251" i="32"/>
  <c r="F11" i="69"/>
  <c r="D11" i="69" s="1"/>
  <c r="D13" i="69"/>
  <c r="D26" i="69"/>
  <c r="G250" i="32" l="1"/>
  <c r="G249" i="32" s="1"/>
  <c r="G247" i="32" s="1"/>
  <c r="G245" i="32" s="1"/>
  <c r="G243" i="32" s="1"/>
  <c r="G241" i="32" s="1"/>
  <c r="G239" i="32" s="1"/>
  <c r="D103" i="29"/>
  <c r="G77" i="32"/>
  <c r="D75" i="72" s="1"/>
  <c r="G237" i="32" l="1"/>
  <c r="G235" i="32" s="1"/>
  <c r="G234" i="32" s="1"/>
  <c r="G75" i="32"/>
  <c r="D36" i="65" s="1"/>
  <c r="D158" i="65"/>
  <c r="D151" i="65" s="1"/>
  <c r="D149" i="65" s="1"/>
  <c r="D39" i="29" l="1"/>
  <c r="D29" i="65"/>
  <c r="G73" i="32"/>
  <c r="G71" i="32" s="1"/>
  <c r="G69" i="32" s="1"/>
  <c r="G18" i="32" s="1"/>
  <c r="D200" i="29"/>
  <c r="G127" i="32"/>
  <c r="G125" i="32" s="1"/>
  <c r="G86" i="32" s="1"/>
  <c r="G16" i="32" l="1"/>
  <c r="G15" i="32" l="1"/>
  <c r="G13" i="32" s="1"/>
</calcChain>
</file>

<file path=xl/sharedStrings.xml><?xml version="1.0" encoding="utf-8"?>
<sst xmlns="http://schemas.openxmlformats.org/spreadsheetml/2006/main" count="1807" uniqueCount="515">
  <si>
    <t>Արդյունքի չափորոշիչներ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</si>
  <si>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</si>
  <si>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</si>
  <si>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</si>
  <si>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</si>
  <si>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վրա կատարվող ծախսը (հազար դրամ)</t>
  </si>
  <si>
    <t>______________ ի    ___Ն որոշման</t>
  </si>
  <si>
    <t>ՄԱՍ 2. ՊԵՏԱԿԱՆ ՄԱՐՄՆԻ ԳԾՈՎ ԱՐԴՅՈՒՆՔԱՅԻՆ (ԿԱՏԱՐՈՂԱԿԱՆ) ՑՈՒՑԱՆԻՇՆԵՐԸ</t>
  </si>
  <si>
    <t xml:space="preserve"> Ծրագրային դասիչը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</si>
  <si>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</si>
  <si>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</si>
  <si>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</si>
  <si>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</si>
  <si>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</si>
  <si>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</si>
  <si>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</si>
  <si>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</si>
  <si>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</si>
  <si>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</si>
  <si>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</si>
  <si>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</si>
  <si>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</si>
  <si>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</si>
  <si>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</si>
  <si>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</si>
  <si>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</si>
  <si>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</si>
  <si>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 xml:space="preserve">Ցուցանիշների փոփոխությունը (ավելացումները նշված են դրական նշանով)  </t>
  </si>
  <si>
    <t xml:space="preserve">ՀՀ կրթության, գիտության, մշակույթի և սպորտի նախարարություն 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</si>
  <si>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</si>
  <si>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</si>
  <si>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</si>
  <si>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 xml:space="preserve">Ցուցանիշների փոփոխությունը (նվազեցումները նշված են փակագծերում)  </t>
  </si>
  <si>
    <t>ՄԱՍ 1. ՊԵՏԱԿԱՆ ՄԱՐՄՆԻ ԳԾՈՎ ԱՐԴՅՈՒՆՔԱՅԻՆ (ԿԱՏԱՐՈՂԱԿԱՆ) ՑՈՒՑԱՆԻՇՆԵՐԸ</t>
  </si>
  <si>
    <t>Աղյուսակ 9․13</t>
  </si>
  <si>
    <t>Ծրագրի դասիչը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</si>
  <si>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</si>
  <si>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</si>
  <si>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</si>
  <si>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</si>
  <si>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</si>
  <si>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</si>
  <si>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</si>
  <si>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</si>
  <si>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</si>
  <si>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այդ  թվում՝</t>
  </si>
  <si>
    <t xml:space="preserve"> - Շենքերի և շինությունների շինարարություն</t>
  </si>
  <si>
    <t>դրամ</t>
  </si>
  <si>
    <t xml:space="preserve"> ՄԱՍ III. ԾԱՌԱՅՈՒԹՅՈՒՆՆԵՐ</t>
  </si>
  <si>
    <t>ԳՀ</t>
  </si>
  <si>
    <t>ՄԱ</t>
  </si>
  <si>
    <t xml:space="preserve">Ցուցանիշների փոփոխությունը (ավելացումները նշված են դրական նշանով, իսկ նվազեցումները՝ փակագծերում)  </t>
  </si>
  <si>
    <t>ՈՉ ՖԻՆԱՆՍԱԿԱՆ ԱԿՏԻՎՆԵՐԻ ԳԾՈՎ ԾԱԽՍԵՐ</t>
  </si>
  <si>
    <t>ՀԻՄՆԱԿԱՆ ՄԻՋՈՑՆԵՐ</t>
  </si>
  <si>
    <t>ՇԵՆՔԵՐ ԵՎ ՇԻՆՈՒԹՅՈՒՆՆԵՐ</t>
  </si>
  <si>
    <t>Աղյուսակ 9․1.13</t>
  </si>
  <si>
    <t>Խումբ N 02</t>
  </si>
  <si>
    <t xml:space="preserve"> տեխնիկական հսկողության ծառայություններ</t>
  </si>
  <si>
    <t xml:space="preserve"> հեղինակային հսկողության ծառայություններ</t>
  </si>
  <si>
    <t>ՀՀ Լոռու մարզ</t>
  </si>
  <si>
    <t>հազար դրամ</t>
  </si>
  <si>
    <t>Միջոցառումները կատարող պետական մարմինների և դրամաշնորհ ստացող տնտեսվարող սուբյեկտների անվանումները</t>
  </si>
  <si>
    <t>02</t>
  </si>
  <si>
    <t xml:space="preserve"> ԸՆԹԱՑԻԿ ԾԱԽՍԵՐ</t>
  </si>
  <si>
    <t xml:space="preserve"> ԴՐԱՄԱՇՆՈՐՀՆԵՐ</t>
  </si>
  <si>
    <t xml:space="preserve"> այդ թվում՝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</si>
  <si>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</si>
  <si>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</si>
  <si>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</si>
  <si>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>Ցուցանիշների փոփոխությունը (ավելացումները նշված են դրական նշանով, իսկ նվազեցումները՝ փակագծերում)</t>
  </si>
  <si>
    <t>ՀՀ Արագածոտնի մարզ</t>
  </si>
  <si>
    <t xml:space="preserve">ՀՀ կառավարության  2024 թվականի </t>
  </si>
  <si>
    <t xml:space="preserve">ՀԱՅԱՍՏԱՆԻ ՀԱՆՐԱՊԵՏՈՒԹՅԱՆ ԿԱՌԱՎԱՐՈՒԹՅԱՆ 2023 ԹՎԱԿԱՆԻ ԴԵԿՏԵՄԲԵՐԻ 28-Ի N 2323-Ն N 10 ՀԱՎԵԼՎԱԾՈՒՄ ԿԱՏԱՐՎՈՂ ՓՈՓՈԽՈՒԹՅՈՒՆՆԵՐԸ ԵՎ ԼՐԱՑՈՒՄՆԵՐԸ
</t>
  </si>
  <si>
    <t xml:space="preserve"> դրամ</t>
  </si>
  <si>
    <t>Բաժին N 09</t>
  </si>
  <si>
    <t>Դաս N 01</t>
  </si>
  <si>
    <t xml:space="preserve"> ՄԱՍ II.  ԱՇԽԱՏԱՆՔՆԵՐ</t>
  </si>
  <si>
    <t xml:space="preserve"> </t>
  </si>
  <si>
    <t>ՀՀ կառավարության  2024 թվականի</t>
  </si>
  <si>
    <t>ՀԱՅԱՍՏԱՆԻ ՀԱՆՐԱՊԵՏՈՒԹՅԱՆ ԿԱՌԱՎԱՐՈՒԹՅԱՆ 2023 ԹՎԱԿԱՆԻ ԴԵԿՏԵՄԲԵՐԻ 28-Ի N 2323-Ն ՈՐՈՇՄԱՆ N 5 ՀԱՎԵԼՎԱԾԻ N 2 ԱՂՅՈՒՍԱԿՈՒՄ ԿԱՏԱՐՎՈՂ ՓՈՓՈԽՈՒԹՅՈՒՆՆԵՐԸ ԵՎ ԼՐԱՑՈՒՄՆԵՐԸ</t>
  </si>
  <si>
    <t>09</t>
  </si>
  <si>
    <t>01</t>
  </si>
  <si>
    <t xml:space="preserve"> ԿՐԹՈՒԹՅՈՒՆ</t>
  </si>
  <si>
    <t xml:space="preserve"> Հանրակրթական և նախադպրոցական հաստատությունների հիմնում, կառուցում, բարելավում</t>
  </si>
  <si>
    <t>ՀԱՅԱՍՏԱՆԻ ՀԱՆՐԱՊԵՏՈՒԹՅԱՆ ԿԱՌԱՎԱՐՈՒԹՅԱՆ 2023 ԹՎԱԿԱՆԻ ԴԵԿՏԵՄԲԵՐԻ 28-Ի N 2323-Ն ՈՐՈՇՄԱՆ N 3 ԵՎ N 4 ՀԱՎԵԼՎԱԾՆԵՐՈՒՄ ԿԱՏԱՐՎՈՂ  ՓՈՓՈԽՈՒԹՅՈՒՆՆԵՐԸ ԵՎ ԼՐԱՑՈՒՄՆԵՐԸ</t>
  </si>
  <si>
    <t xml:space="preserve"> Հանրակրթական և նախադպրոցական հաստատությունների հիմնում, կառուցում, բարելավում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</si>
  <si>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</si>
  <si>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 Ակտիվն օգտագործող կազմակերպությունների անվանումները </t>
  </si>
  <si>
    <t>Հավելված N 4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</si>
  <si>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</si>
  <si>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</si>
  <si>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
1192</t>
  </si>
  <si>
    <t>այդ թվում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</si>
  <si>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</si>
  <si>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</si>
  <si>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</si>
  <si>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</si>
  <si>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</si>
  <si>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</si>
  <si>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Այլ պետական կազմակերպությունների կողմից օգտագործվող ոչ ֆինանսական ակտիվների հետ գործառնություններ</t>
  </si>
  <si>
    <t>Ծրագրի միջոցառումներ</t>
  </si>
  <si>
    <t xml:space="preserve"> Առնվազն 300 դպրոցի և 500 մանկապարտեզի կառուցման, վերակառուցման, հիմնանորոգման ծրագրերի իրականացում ՀՀ պետական բյուջեի միջոցների շրջանակներում</t>
  </si>
  <si>
    <t xml:space="preserve">  Կրթական միջավայրի բարելավում</t>
  </si>
  <si>
    <t xml:space="preserve"> Հիմնական ընդհանուր կրթություն</t>
  </si>
  <si>
    <t xml:space="preserve"> Միջնակարգ ընդհանուր կրթություն</t>
  </si>
  <si>
    <t>Հանրակրթական դպրոցների, մանկապարտեզների և կրթահամալիրների գույքով և տեխնիկայով ապահովում</t>
  </si>
  <si>
    <t xml:space="preserve"> Հանրակրթական դպրոցների, մանկապարտեզների և կրթահամալիրների գույքով և տեխնիկայով ապահովում</t>
  </si>
  <si>
    <t xml:space="preserve"> Կրթական ժամանակակից նորմերին և կրթական չափորոշիչներին համապատասխան ուսուցման ծրագրերն իրականացնելու նպատակով հանրակրթական և նախադպրոցական հաստատությունների համար գույքի և տեխնիկայի ձեռքբերում</t>
  </si>
  <si>
    <t>Ընդամենը</t>
  </si>
  <si>
    <t>Հավելված N 9</t>
  </si>
  <si>
    <t xml:space="preserve"> Հանրակրթական դպրոցների, մանկապարտեզների և կրթահամալիրների գույքով և տեխնիկայով ապահովում </t>
  </si>
  <si>
    <t xml:space="preserve"> Կրթական ժամանակակից նորմերին և կրթական չափորոշիչներին համապատասխան ուսուցման ծրագրերն իրականացնելու նպատակով հանրակրթական և նախադպրոցական հաստատությունների համար գույքի և տեխնիկայի ձեռքբերում </t>
  </si>
  <si>
    <t xml:space="preserve"> Հանրակրթական դպրոցներ, մանկապարտեզներ և կրթահամալիրներ </t>
  </si>
  <si>
    <t>Հավելված N 8</t>
  </si>
  <si>
    <t>Հավելված N 3</t>
  </si>
  <si>
    <t xml:space="preserve"> Ապահով դպրոց</t>
  </si>
  <si>
    <t>06</t>
  </si>
  <si>
    <t xml:space="preserve"> Կրթությանը տրամադրվող օժանդակ ծառայություններ</t>
  </si>
  <si>
    <t xml:space="preserve"> 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</t>
  </si>
  <si>
    <t xml:space="preserve"> Դպրոցական միջավայրի բարելավում</t>
  </si>
  <si>
    <t>Ապահով դպրոց</t>
  </si>
  <si>
    <t xml:space="preserve"> Ակտիվն օգտագործող կազմակերպությունների անվանումները </t>
  </si>
  <si>
    <t xml:space="preserve"> այդ թվում`ըստ ուղղությունների</t>
  </si>
  <si>
    <t>Երևան քաղաք</t>
  </si>
  <si>
    <t>ՀՀ Արարատի մարզ</t>
  </si>
  <si>
    <t>ՀՀ Կոտայքի մարզ</t>
  </si>
  <si>
    <t>ՀՀ Վայոց Ձորի մարզ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</si>
  <si>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</si>
  <si>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</si>
  <si>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</si>
  <si>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</si>
  <si>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</si>
  <si>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</si>
  <si>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</si>
  <si>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«ՀԱՅԱUՏԱՆԻ ՀԱՆՐԱՊԵՏՈՒԹՅԱՆ 2024 ԹՎԱԿԱՆԻ ՊԵՏԱԿԱՆ ԲՅՈՒՋԵԻ ՄԱUԻՆ» ՀԱՅԱUՏԱՆԻ ՀԱՆՐԱՊԵՏՈՒԹՅԱՆ OՐԵՆՔԻ N 1 ՀԱՎԵԼՎԱԾԻ N 3 ԱՂՅՈՒՍԱԿՈՒՄ ԿԱՏԱՐՎՈՂ ՓՈՓՈԽՈՒԹՅՈՒՆՆԵՐԸ ԵՎ ԼՐԱՑՈՒՄՆԵՐԸ</t>
  </si>
  <si>
    <t>Հավելված N 6</t>
  </si>
  <si>
    <t>Մշակութային ժառանգության ծրագիր</t>
  </si>
  <si>
    <t xml:space="preserve"> Հուշարձանների ամրակայում, նորոգում և վերականգնում</t>
  </si>
  <si>
    <t>2. Վավերագրման և ուսումնասիրման աշխատանքներ, (այդ թվում՝ հետախուզումև պեղում), գիտանախագծային փաստաթղթերի կազմում և փորձաքննում</t>
  </si>
  <si>
    <t>որից`</t>
  </si>
  <si>
    <t>Բաժին N 08</t>
  </si>
  <si>
    <t>Դաս N 07</t>
  </si>
  <si>
    <t xml:space="preserve"> Հուշարձանների և մշակութային արժեքների վերականգնում և պահպանում</t>
  </si>
  <si>
    <t>1075-21001</t>
  </si>
  <si>
    <t xml:space="preserve">  նախագծերի պատրաստում, ծախսերի գնահատում</t>
  </si>
  <si>
    <t xml:space="preserve"> փորձաքննության ծառայություններ</t>
  </si>
  <si>
    <t>1. Վերականգնողական աշխատանքներ</t>
  </si>
  <si>
    <t>ԲՄ</t>
  </si>
  <si>
    <t xml:space="preserve"> ՄԱ</t>
  </si>
  <si>
    <t>Նախնական մասնագիտական (արհեստագործական) և միջին մասնագիտական ուսումնական հաստատությունների շենքային պայմանների բարելավում</t>
  </si>
  <si>
    <t>Խումբ N 06</t>
  </si>
  <si>
    <t>1045-32001</t>
  </si>
  <si>
    <t xml:space="preserve"> կրթական օբյեկտների հիմնանորոգում</t>
  </si>
  <si>
    <t xml:space="preserve"> ջեռուցման հետ կապված աշխատանքներ</t>
  </si>
  <si>
    <t>Դաս N 05</t>
  </si>
  <si>
    <t xml:space="preserve"> Արվեստ</t>
  </si>
  <si>
    <t>Ներդրումներ թանգարանների և պատկերասրահների հիմնանորոգման համար</t>
  </si>
  <si>
    <t>Դաս N 02</t>
  </si>
  <si>
    <t xml:space="preserve"> Թանգարաններ և ցուցասրահներ</t>
  </si>
  <si>
    <t>1075-32001</t>
  </si>
  <si>
    <t xml:space="preserve"> Ներդրումներ թանգարանների և պատկերասրահների հիմնանորոգման համար</t>
  </si>
  <si>
    <t xml:space="preserve"> ՄԱՍ II. ԱՇԽԱՏԱՆՔՆԵՐ</t>
  </si>
  <si>
    <t xml:space="preserve"> մշակութային օբյեկտների հիմնանորոգում</t>
  </si>
  <si>
    <t>լրակազմ</t>
  </si>
  <si>
    <t>հատ</t>
  </si>
  <si>
    <t>1236-32006</t>
  </si>
  <si>
    <t>08</t>
  </si>
  <si>
    <t xml:space="preserve"> ՀԱՆԳԻՍՏ, ՄՇԱԿՈՒՅԹ ԵՎ ԿՐՈՆ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</si>
  <si>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</si>
  <si>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</si>
  <si>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</si>
  <si>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Այլ մեքենաներ և սարքավորումներ</t>
  </si>
  <si>
    <t xml:space="preserve"> ԱՅԼ ՀԻՄՆԱԿԱՆ ՄԻՋՈՑՆԵՐ</t>
  </si>
  <si>
    <t xml:space="preserve"> - Նախագծահետազոտական ծախսեր</t>
  </si>
  <si>
    <t xml:space="preserve"> Մշակութային ծառայություններ</t>
  </si>
  <si>
    <t xml:space="preserve"> - Շենքերի և շինությունների կապիտալ վերանորոգում</t>
  </si>
  <si>
    <t xml:space="preserve"> Մշակութային ժառանգության ծրագիր</t>
  </si>
  <si>
    <t>05</t>
  </si>
  <si>
    <t xml:space="preserve"> Արվեստների ծրագիր</t>
  </si>
  <si>
    <t xml:space="preserve"> Ներդրումներ թատրոնների և համերգային կազմակերպությունների շենքերի կապիտալ վերանորոգման համար</t>
  </si>
  <si>
    <t xml:space="preserve"> ՇԵՆՔԵՐ ԵՎ ՇԻՆՈՒԹՅՈՒՆՆԵՐ</t>
  </si>
  <si>
    <t>07</t>
  </si>
  <si>
    <t xml:space="preserve"> ԿԱՊԻՏԱԼԴՐԱՄԱՇՆՈՐՀՆԵՐ ՊԵՏԱԿԱՆ ՀԱՏՎԱԾԻ ԱՅԼ ՄԱԿԱՐԴԱԿՆԵՐԻՆ</t>
  </si>
  <si>
    <t xml:space="preserve"> - Կապիտալ դրամաշնորհներ պետական և համայնքային  ոչ առևտրային կազմակերպություններին</t>
  </si>
  <si>
    <t xml:space="preserve"> ԱՅԼ  ԾԱԽՍԵՐ</t>
  </si>
  <si>
    <t xml:space="preserve"> Նախնական (արհեստագործական) և միջին մասնագիտական կրթություն</t>
  </si>
  <si>
    <t xml:space="preserve"> Աշխատաշուկայի արդի պահանջներին համապատասխան նախնական մասնագիտական (արհեստագործական) և միջին մասնագիտական կրթության որակավորում ունեցող մասնագետների պատրաստում, կրթության մատչելիության ապահովում:</t>
  </si>
  <si>
    <t xml:space="preserve"> Նախնական (արհեստագործական) և միջին մասնագիտական կրթության գրավչության բարձրացում, մատչելի և մրցունակ նախնական (արհեստագործական)  և միջին մասնագիտական կրթության ապահովում</t>
  </si>
  <si>
    <t xml:space="preserve"> Նախնական մասնագիտական (արհեստագործական) և միջին մասնագիտական ուսումնական հաստատությունների շենքային պայմանների բարելավում</t>
  </si>
  <si>
    <t xml:space="preserve"> ՆՄՄԿՈՒ հաստատությունների շենքերի հիմնանորոգման և նախագծման (շինարարական աշխատանքներ, ջեռուցման համակարգի ստեղծում, ներքին հարդարում, տարածքի բարեկարգում) աշխատանքների իրականացում</t>
  </si>
  <si>
    <t xml:space="preserve"> Մշակութային ժառանգության պահպանում, օգտագործում, համալրում և հանրահռչակում</t>
  </si>
  <si>
    <t xml:space="preserve"> Մշակութային ժառանգության շարունակական պահպանում, մշակութային զբոսաշրջության զարգացում և խթանում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</si>
  <si>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</t>
  </si>
  <si>
    <t xml:space="preserve"> Հանրության կողմից անմիջականորեն օգտագործվող ակտիվների հետ կապված միջոցառումներ</t>
  </si>
  <si>
    <t xml:space="preserve"> Թանգարանների և պատկերասրահների շենքերի, մասնաշենքերի հիմնանորոգում, համաշինարարական աշխատանքներ, ջեռուցման համակարգի իրականացում, ներքին հարդարում, տարածքի բարեկարգում և նախագծում</t>
  </si>
  <si>
    <t xml:space="preserve"> ՀՀ ԿԱՌԱՎԱՐՈՒԹՅՈՒՆ</t>
  </si>
  <si>
    <t>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</si>
  <si>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</si>
  <si>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</si>
  <si>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</si>
  <si>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>ՀՀ կառավարություն</t>
  </si>
  <si>
    <t xml:space="preserve">Այլ պետական կազմակերպությունների կողմից օգտագործվող ոչ ֆինանսական ակտիվների հետ գործառնություններ </t>
  </si>
  <si>
    <t xml:space="preserve"> Նպաստել ազգային հենքի վրա ժամանակակից թատերարվեստի, երաժշտարվեստի, կերպարվեստի և պարարվեստի զարգացմանը և հանրահռչակմանը</t>
  </si>
  <si>
    <t xml:space="preserve"> 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</si>
  <si>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 xml:space="preserve"> Թատրոնների և համերգային կազմակերպությունների շենքերի մասնաշենքերի հիմնանորոգում, համաշինարարական աշխատանքներ, ջեռուցման համակարգի իրականացում, ներքին հարդարում, տարածքի բարեկարգում և նախագծում</t>
  </si>
  <si>
    <t xml:space="preserve"> Ծառայությունների մատուցում</t>
  </si>
  <si>
    <t>ՀՀ ԿԱՌԱՎԱՐՈՒԹՅՈՒՆ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</si>
  <si>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</si>
  <si>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</si>
  <si>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</si>
  <si>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«ՀԱՅԱUՏԱՆԻ ՀԱՆՐԱՊԵՏՈՒԹՅԱՆ 2024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</si>
  <si>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 xml:space="preserve"> Բաժին</t>
  </si>
  <si>
    <t xml:space="preserve"> Խումբ</t>
  </si>
  <si>
    <t xml:space="preserve"> 11</t>
  </si>
  <si>
    <t xml:space="preserve"> 01</t>
  </si>
  <si>
    <t xml:space="preserve"> ՀՀ կառավարություն</t>
  </si>
  <si>
    <t xml:space="preserve"> 1139</t>
  </si>
  <si>
    <t>ՀՀ կառավարության պահուստային ֆոնդ</t>
  </si>
  <si>
    <t xml:space="preserve"> 11001</t>
  </si>
  <si>
    <t>ՀԱՅԱՍՏԱՆԻ ՀԱՆՐԱՊԵՏՈՒԹՅԱՆ 2024 ԹՎԱԿԱՆԻ ՊԵՏԱԿԱՆ ԲՅՈՒՋԵՈՎ ՆԱԽԱՏԵՍՎԱԾ՝ ՀԱՅԱՍՏԱՆԻ ՀԱՆՐԱՊԵՏՈՒԹՅԱՆ ԿԱՌԱՎԱՐՈՒԹՅԱՆ ՊԱՀՈՒՍՏԱՅԻՆ ՖՈՆԴԻՑ ՀԱՏԿԱՑՈՒՄՆԵՐ ԿԱՏԱՐԵԼՈՒ ՎԵՐԱԲԵՐՅԱԼ</t>
  </si>
  <si>
    <t>Նախնական (արհեստագործական) և միջին մասնագիտական կրթություն</t>
  </si>
  <si>
    <t xml:space="preserve"> Նախնական մասնագիտական (արհեստագործական) և միջին մասնագիտական ուսումնական հաստատությունների շենքային պայմանների բարելավում </t>
  </si>
  <si>
    <t xml:space="preserve"> ՆՄՄԿՈՒ հաստատությունների շենքերի հիմնանորոգման և նախագծման (շինարարական աշխատանքներ, ջեռուցման համակարգի ստեղծում, ներքին հարդարում, տարածքի բարեկարգում) աշխատանքների իրականացում </t>
  </si>
  <si>
    <t xml:space="preserve"> Միջին մասնագիտական ուսումնական հաստատություններ </t>
  </si>
  <si>
    <t xml:space="preserve"> Մասնակի նորոգվող նախնական (արհեստագործական) և միջին մասնագիտական ուսումնական հաստատությունների քանակ, հատ </t>
  </si>
  <si>
    <t xml:space="preserve"> Հուշարձանների ամրակայում, նորոգում և վերականգնում 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</si>
  <si>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 </t>
  </si>
  <si>
    <t xml:space="preserve"> Հանրության կողմից անմիջականորեն օգտագործվող ակտիվների հետ կապված միջոցառումներ </t>
  </si>
  <si>
    <t xml:space="preserve"> Մասնագիտացված կազմակերպություն </t>
  </si>
  <si>
    <t xml:space="preserve"> Հուշարձանների նախագծման, փորձաքննության աշխատանքներ, քանակ </t>
  </si>
  <si>
    <t xml:space="preserve"> Ներդրումներ թանգարանների և պատկերասրահների հիմնանորոգման համար </t>
  </si>
  <si>
    <t xml:space="preserve"> Թանգարանների և պատկերասրահների շենքերի, մասնաշենքերի հիմնանորոգում, համաշինարարական աշխատանքներ, ջեռուցման համակարգի իրականացում, ներքին հարդարում, տարածքի բարեկարգում և նախագծում </t>
  </si>
  <si>
    <t xml:space="preserve"> Թանգարաններ և պատկերասրահներ </t>
  </si>
  <si>
    <t xml:space="preserve"> Ներդրումներ թատրոնների և համերգային կազմակերպությունների շենքերի կապիտալ վերանորոգման համար </t>
  </si>
  <si>
    <t xml:space="preserve"> Թատրոնների և համերգային կազմակերպությունների շենքերի մասնաշենքերի հիմնանորոգում, համաշինարարական աշխատանքներ, ջեռուցման համակարգի իրականացում, ներքին հարդարում, տարածքի բարեկարգում և նախագծում </t>
  </si>
  <si>
    <t xml:space="preserve"> Թատրոններ և համերգային կազմակերպություններ</t>
  </si>
  <si>
    <t xml:space="preserve"> Ծառայությունների մատուցում </t>
  </si>
  <si>
    <t xml:space="preserve"> Հանրակրթական դպրոցներ </t>
  </si>
  <si>
    <t xml:space="preserve">ՀԱՅԱՍՏԱՆԻ ՀԱՆՐԱՊԵՏՈՒԹՅԱՆ ԿԱՌԱՎԱՐՈՒԹՅԱՆ 2023 ԹՎԱԿԱՆԻ ԴԵԿՏԵՄԲԵՐԻ 28-Ի N 2323-Ն ՈՐՈՇՄԱՆ N 9 ՀԱՎԵԼՎԱԾԻ NN 9.13 ԵՎ 9.48 ԱՂՅՈՒՍԱԿՆԵՐՈՒՄ ԿԱՏԱՐՎՈՂ ՓՈՓՈԽՈՒԹՅՈՒՆՆԵՐԸ ԵՎ ԼՐԱՑՈՒՄՆԵՐԸ </t>
  </si>
  <si>
    <t>Աղյուսակ 9․48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</si>
  <si>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</si>
  <si>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</si>
  <si>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Միջոցառումն իրականացնողի անվանումը </t>
  </si>
  <si>
    <t xml:space="preserve"> ՀՀ կառավարություն </t>
  </si>
  <si>
    <t>Աղյուսակ 9․1.58</t>
  </si>
  <si>
    <t>ՀԱՅԱՍՏԱՆԻ ՀԱՆՐԱՊԵՏՈՒԹՅԱՆ ԿԱՌԱՎԱՐՈՒԹՅԱՆ 2023 ԹՎԱԿԱՆԻ ԴԵԿՏԵՄԲԵՐԻ 28-Ի N 2323-Ն ՈՐՈՇՄԱՆ N 5 ՀԱՎԵԼՎԱԾԻ N 7 ԱՂՅՈՒՍԱԿՈՒՄ ԿԱՏԱՐՎՈՂ ԼՐԱՑՈՒՄՆԵՐԸ</t>
  </si>
  <si>
    <t xml:space="preserve"> Պահուստային միջոցներ</t>
  </si>
  <si>
    <t xml:space="preserve"> վերականգնողական աշխատանքներ</t>
  </si>
  <si>
    <t>Հավելված N 7</t>
  </si>
  <si>
    <t xml:space="preserve"> ՄԱՍ I.  ԱՊՐԱՆՔՆԵՐ</t>
  </si>
  <si>
    <t>ՀՀ Արմավիրի մարզ</t>
  </si>
  <si>
    <t>ՀՀ Գեղարքունիքի մարզ</t>
  </si>
  <si>
    <t>39161110-8</t>
  </si>
  <si>
    <t>39161110-9</t>
  </si>
  <si>
    <t>39161110-10</t>
  </si>
  <si>
    <t>դպրոցական կահույք</t>
  </si>
  <si>
    <t>խոհանոցային կահույք</t>
  </si>
  <si>
    <t>«Փոքր Վեդու Մարգար Հովհաննիսյանի անվան միջնակարգ դպրոց» ՊՈԱԿ</t>
  </si>
  <si>
    <t>«Փարաքարի միջնակարգ դպրոց» ՊՈԱԿ</t>
  </si>
  <si>
    <t>«Ջիլի միջնակարգ դպրոց» ՊՈԱԿ</t>
  </si>
  <si>
    <t>«Վանաձորի Րաֆֆու անվան թիվ 19 դպրոց» ՊՈԱԿ</t>
  </si>
  <si>
    <t>«Ստեփանավանի թիվ 3 հիմնական դպրոց» ՊՈԱԿ</t>
  </si>
  <si>
    <t>«Հրազդանի թիվ 2 հիմնական դպրոց» ՊՈԱԿ</t>
  </si>
  <si>
    <t>«ք. Աբովյանի թիվ 2 հիմնական դպրոց»</t>
  </si>
  <si>
    <t>ՀՀ Շիրակի մարզ</t>
  </si>
  <si>
    <t>«Ազատանի միջնակարգ դպրոց» ՊՈԱԿ</t>
  </si>
  <si>
    <t>Ավագ մակարդակի կրթություն իրականացնող ուսումնական հաստատությունների շենքային պայմանների բարելավում</t>
  </si>
  <si>
    <t>«Գյումրու «Ֆոտոն» վարժարան» ՊՈԱԿ</t>
  </si>
  <si>
    <t xml:space="preserve">«Վանաձորի Կ. Ղարաքեշիշյանի անվան N 1 արհեստագործական պետական ուսումնարան» ՊՈԱԿ </t>
  </si>
  <si>
    <t>45611100-523</t>
  </si>
  <si>
    <t>71351540-2</t>
  </si>
  <si>
    <t>71351540-528</t>
  </si>
  <si>
    <t>98111140-2</t>
  </si>
  <si>
    <t>«Երևանի զարդարվեստի պետական արհեստագործական ուսումնարան» ՊՈԱԿ</t>
  </si>
  <si>
    <t>71241200-1</t>
  </si>
  <si>
    <t xml:space="preserve"> նախագծերի պատրաստում, ծախսերի գնահատում</t>
  </si>
  <si>
    <t>50531140-1</t>
  </si>
  <si>
    <t>«Երևանի հ․8 արհեստագործական պետական ուսումնարան» ՊՈԱԿ</t>
  </si>
  <si>
    <t>45611100-1</t>
  </si>
  <si>
    <t>71351540-1</t>
  </si>
  <si>
    <t>98111140-1</t>
  </si>
  <si>
    <t>71241200-2</t>
  </si>
  <si>
    <t>50531140-2</t>
  </si>
  <si>
    <t>«Գյումրու պետական բժշկական քոլեջ» ՊՈԱԿ</t>
  </si>
  <si>
    <t>50531140-3</t>
  </si>
  <si>
    <t>71241200-3</t>
  </si>
  <si>
    <t xml:space="preserve">«Արթիկի պետական քոլեջ» ՊՈԱԿ </t>
  </si>
  <si>
    <t>45231129-3</t>
  </si>
  <si>
    <t>71351540-3</t>
  </si>
  <si>
    <t>98111140-3</t>
  </si>
  <si>
    <t>Արվեստների ծրագիր</t>
  </si>
  <si>
    <t>Ներդրումներ թատրոնների և համերգային կազմակերպությունների շենքերի կապիտալ վերանորոգման համար</t>
  </si>
  <si>
    <t>«Հայաստանի ազգային ֆիլհարմոնիկ նվագախումբ» ՊՈԱԿ</t>
  </si>
  <si>
    <t>Հայոց ցեղասպանության հուշահամալիրի և թանգարանի հիմնանորոգում և բարեկարգում</t>
  </si>
  <si>
    <t>Փարպի համայնքի 5-րդ դարի Ծիրանավոր եկեղեցու ամրակայում, վերականգնում և տարածքի բարեկարգում</t>
  </si>
  <si>
    <t>Ամբերդ ամրոցի հրատապ ամրակայման ենթակա հատվածների նորոգում և վերականգնում</t>
  </si>
  <si>
    <t>Ագարակ համայնքի, «Ագարակ» պատմամշակութային արգելոցի վաղ բրոնզե դարի կացարանների, միջնադարյան համալիրի և պարսպապատի վերականգնում և ամրակայում</t>
  </si>
  <si>
    <t xml:space="preserve">ՀՀ Արմավիրի մարզի Այգեշատ համայնքի Թարգմանչաց եկեղեցու վերականգնում </t>
  </si>
  <si>
    <t>Ամրակիցի Սբ․ Նիկոլայ Հրաշագործ ռուսական եկեղեցու վերականգնման աժխատանքներ</t>
  </si>
  <si>
    <t>ՀՀ Տավուշի մարզ</t>
  </si>
  <si>
    <t>Տավուշի մարզի «Սրվեղ» վանական համալիրի ամրակայում, վերականգնում և տարածքի բարեկարգում</t>
  </si>
  <si>
    <t>Տավուշի մարզի «Տավուշ» ամրոցի պարիսպների, կից կառույցների, եկեղեցուամրակայում, վերականգնում և տարածքի բարեկարգում</t>
  </si>
  <si>
    <t>Դիլիջան համայնքի Հ.Շարամբեյանի անվան ժողովրդական արվեստների թանգարանի նորոգում, ամրակայում</t>
  </si>
  <si>
    <t>45451600-1</t>
  </si>
  <si>
    <t>45451600-2</t>
  </si>
  <si>
    <t>45451600-17</t>
  </si>
  <si>
    <t>ՀԲՄ</t>
  </si>
  <si>
    <t>45451600-16</t>
  </si>
  <si>
    <t>45451600-7</t>
  </si>
  <si>
    <t>45451600-22</t>
  </si>
  <si>
    <t>45451600-12</t>
  </si>
  <si>
    <t>45451600-23</t>
  </si>
  <si>
    <t>45451600-18</t>
  </si>
  <si>
    <t>45451600-13</t>
  </si>
  <si>
    <t>71351540-13</t>
  </si>
  <si>
    <t>45451600-11</t>
  </si>
  <si>
    <t>98111140-14</t>
  </si>
  <si>
    <t>71351540-12</t>
  </si>
  <si>
    <t>98111140-15</t>
  </si>
  <si>
    <t>71351540-15</t>
  </si>
  <si>
    <t>98111140-4</t>
  </si>
  <si>
    <t>71351540-531</t>
  </si>
  <si>
    <t>71351540-7</t>
  </si>
  <si>
    <t>98111140-9</t>
  </si>
  <si>
    <t>98111140-17</t>
  </si>
  <si>
    <t>98111140-20</t>
  </si>
  <si>
    <t>98111140-19</t>
  </si>
  <si>
    <t>Կիրանց գյուղի Սուրբ Երրորդություն եկեղեցու վերականգնում</t>
  </si>
  <si>
    <t>45451600-20</t>
  </si>
  <si>
    <t>71351540-17</t>
  </si>
  <si>
    <t>98111140-18</t>
  </si>
  <si>
    <t>71241200-528</t>
  </si>
  <si>
    <t>71351540-14</t>
  </si>
  <si>
    <t>98111140-16</t>
  </si>
  <si>
    <t>«Հ. Թումանյանի թանգարան» ՊՈԱԿ</t>
  </si>
  <si>
    <t>45611200-1</t>
  </si>
  <si>
    <t>45231129-2</t>
  </si>
  <si>
    <t>Խումբ N 05</t>
  </si>
  <si>
    <t xml:space="preserve"> Արտադպրոցական դաստիարակություն</t>
  </si>
  <si>
    <t>1148-32005</t>
  </si>
  <si>
    <t>«Տիգրան Պետրոսյանի անվան շախմատի-տուն մարզադպրոց» ՊՈԱԿ</t>
  </si>
  <si>
    <t>Արտադպրոցական դաստիարակություն իրականացնող կազմակերպությունների շենքային պայմանների բարելավում</t>
  </si>
  <si>
    <t xml:space="preserve"> Արտադպրոցական դաստիարակություն իրականացնող կազմակերպությունների շենքային պայմանների բարելավում</t>
  </si>
  <si>
    <t>71241200-536</t>
  </si>
  <si>
    <t xml:space="preserve">Աջակցություն դպրոցներին «Արագ արձագանքման ֆոնդի» շրջանակում հրատապ խնդիրների լուծման համար  </t>
  </si>
  <si>
    <t>Հանրակրթական դպրոցներ</t>
  </si>
  <si>
    <t>«Ռուսական արվեստի թանգարան (պրոֆեսոր Ա. Աբրահամյանի հավաքածու)» ՊՈԱԿ</t>
  </si>
  <si>
    <t xml:space="preserve"> ՄԱՍ I. ԱՊՐԱՆՔՆԵՐ</t>
  </si>
  <si>
    <t>«Երևանի թիվ 191 հիմնական դպրոց» ՊՈԱԿ</t>
  </si>
  <si>
    <t>«Երևանի Տ․Շեվչենկոյի անվան թիվ 42 ավագ դպրոց» ՊՈԱԿ</t>
  </si>
  <si>
    <t>«Վաղարշապատի Մ․Գորկու անվան թիվ 5 ավագ դպրոց» ՊՈԱԿ</t>
  </si>
  <si>
    <t>«Երևանի Մ․ Խորենացու անվան թիվ 143 հիմնական դպրոց» ՊՈԱԿ</t>
  </si>
  <si>
    <t>Հանրակրթական դպրոցների նոր շենքերի կառուցում</t>
  </si>
  <si>
    <t>ՀՀ քաղաքաշինության կոմիտե</t>
  </si>
  <si>
    <t>1236-32003</t>
  </si>
  <si>
    <t xml:space="preserve"> Հանրակրթական դպրոցների նոր շենքերի կառուցում</t>
  </si>
  <si>
    <t>45211231-1</t>
  </si>
  <si>
    <t xml:space="preserve"> միջնակարգ դպրոցների կառուցման աշխատանքներ</t>
  </si>
  <si>
    <t xml:space="preserve"> ԲՄ</t>
  </si>
  <si>
    <t>Խումբ N 01</t>
  </si>
  <si>
    <t xml:space="preserve"> Նախադպրոցական կրթություն</t>
  </si>
  <si>
    <t>1236-32001</t>
  </si>
  <si>
    <t xml:space="preserve"> Մանկապարտեզների նոր շենքերի կառուցում</t>
  </si>
  <si>
    <t xml:space="preserve"> շենքերի չափագրման ծառայություններ</t>
  </si>
  <si>
    <t>«Երևանի Մ. Սարյանի անվան հ. 86 հիմնական դպրոց» ՊՈԱԿ</t>
  </si>
  <si>
    <t>«Երևանի Միքայել Նալբանդյանի անվան հ.33 հիմնական դպրոց» ՊՈԱԿ</t>
  </si>
  <si>
    <t>«Երևանի Ս. Խանզադյանի անվան հ. 184 ավագ դպրոց» ՊՈԱԿ</t>
  </si>
  <si>
    <t>«Երևանի Ա. Երզնկյանի անվան հ. 118 ավագ դպրոց» ՊՈԱԿ</t>
  </si>
  <si>
    <t>«Երևանի Սիլվա Կապուտիկյանի անվան հ. 145 հիմնական դպրոց» ՊՈԱԿ</t>
  </si>
  <si>
    <t>«Երևանի Վ. Թեքեյանի անվան թիվ 92 հիմնական դպրոց» ՊՈԱԿ-ի մարզադահլիճի վերակառուցում</t>
  </si>
  <si>
    <t>«Երևանի հ. 37 հիմնական դպրոց» ՊՈԱԿ-ի մարզադահլիճի վերակառուցում</t>
  </si>
  <si>
    <t>«Երևանի հ. 136 հիմնական դպրոց» ՊՈԱԿ-ի մարզադահլիճի վերակառուցում</t>
  </si>
  <si>
    <t>«Թալինի ավագ դպրոց» ՊՈԱԿ</t>
  </si>
  <si>
    <t>«Արտիմետի միջնակարգ դպրոց» ՊՈԱԿ</t>
  </si>
  <si>
    <t>«Արագածի Մ. Մեխակյանի անվան միջնակարգ դպրոց» ՊՈԱԿ</t>
  </si>
  <si>
    <t>«Վաղարշապատի Երվանդ Օտյանի անվան N 7 հիմնական դպրոց » ՊՈԱԿ</t>
  </si>
  <si>
    <t>«Ջանֆիդայի Է. Դաշտոյանի անվան միջնակարգ դպրոց» ՊՈԱԿ</t>
  </si>
  <si>
    <t>«Արմավիրի N 6 հիմնական դպրոց» ՊՈԱԿ</t>
  </si>
  <si>
    <t>Շահումյանի միջնակարգ դպրոց ՊՈԱԿ</t>
  </si>
  <si>
    <t>«Փշատավանի միջնակարգ դպրոց » ՊՈԱԿ-ի մարզադահլիճի վերակառուցում</t>
  </si>
  <si>
    <t>«Սարդարապատի միջնակարգ դպրոց» ՊՈԱԿ-ի մարզադահլիճի վերակառուցում</t>
  </si>
  <si>
    <t>«Արմավիրի հ. 8 հիմնական դպրոց» ՊՈԱԿ-ի մարզադահլիճի վերակառուցում</t>
  </si>
  <si>
    <t>Գագարինի միջնակարգ դպրոց ՊՈԱԿ</t>
  </si>
  <si>
    <t>«Վ․ Գետաշենի թիվ 2 միջնակարգ դպրոց» ՊՈԱԿ-ի մարզադահլիճի վերակառուցում</t>
  </si>
  <si>
    <t>«Ակունք գյուղի միջնակարգ դպրոց» ՊՈԱԿ</t>
  </si>
  <si>
    <t>«Վանաձորի Ղևոնդ Ալիշանի անվան N 27 հիմնական դպրոց» ՊՈԱԿ</t>
  </si>
  <si>
    <t>«Վանաձորի Խ. Աբովյանի անվան թիվ 9 հիմնական դպրոց» ՊՈԱԿ</t>
  </si>
  <si>
    <t>«Վանաձորի Ծովակալ Իսակովի անվան թիվ 23 հիմնական դպրոց ՊՈԱԿ</t>
  </si>
  <si>
    <t>Ստեփանավանի N1 վարժարան ՊՈԱԿ</t>
  </si>
  <si>
    <t>«Ագարակի միջնակարգ դպրոց» ՊՈԱԿ</t>
  </si>
  <si>
    <t>«Վարդաբլուրի միջնակարգ դպրոց» ՊՈԱԿ</t>
  </si>
  <si>
    <t>«Ալավերդու թիվ 12 հիմնական դպրոց» ՊՈԱԿ-ի մարզադահլիճի վերակառուցում</t>
  </si>
  <si>
    <t>«Շատինի միջնակարգ դպրոց» ՊՈԱԿ</t>
  </si>
  <si>
    <t>1168-32001</t>
  </si>
  <si>
    <t>«Հայաստանի պետական սիմֆոնիկ նվագախումբ» ՊՈԱԿ</t>
  </si>
  <si>
    <t>1168-32008</t>
  </si>
  <si>
    <t xml:space="preserve"> Երաժշտական գործիքների ձեռքբերում</t>
  </si>
  <si>
    <t>սաքսոֆոններ</t>
  </si>
  <si>
    <t>այլ երաժշտական գործիքներ</t>
  </si>
  <si>
    <t>ստեղնաշարային այլ գործիքներ</t>
  </si>
  <si>
    <t>տրոմբոններ</t>
  </si>
  <si>
    <t>շեփորներ</t>
  </si>
  <si>
    <t>երաժշտական գործիքների պարագաներ</t>
  </si>
  <si>
    <t>37311180-2</t>
  </si>
  <si>
    <t>37311180-1</t>
  </si>
  <si>
    <t>37311580-11</t>
  </si>
  <si>
    <t>37311140-2</t>
  </si>
  <si>
    <t>37311160-3</t>
  </si>
  <si>
    <t>37311200-2</t>
  </si>
  <si>
    <t>37321100-3</t>
  </si>
  <si>
    <t>37311180-7</t>
  </si>
  <si>
    <t>Երաժշտական գործիքների ձեռքբերում</t>
  </si>
  <si>
    <t>այդ թվում` ըստ կատարողների</t>
  </si>
  <si>
    <t>«Հայաստանի էստրադային ջազ-նվագախումբ» ՊՈԱԿ</t>
  </si>
  <si>
    <t>«Երևանի Շառլ Ազնավուրի անվան մշակույթի և արվեստի պետական քոլեջ» ՊՈԱԿ</t>
  </si>
  <si>
    <t>«Երևանի հ․ 1 արհեստագործական պետական ուսումնարան» ՊՈԱԿ</t>
  </si>
  <si>
    <t xml:space="preserve"> Մանկապարտեզների շենքերի վերակառուցում, հիմնանորոգում</t>
  </si>
  <si>
    <t>Մալաթիա-Սեբաստիա վարչական շրջանի հ.77 մանկապարտեզի բակի բարեկարգում</t>
  </si>
  <si>
    <t xml:space="preserve"> Նախադպրոցական և տարրական ընդհանուր կրթություն</t>
  </si>
  <si>
    <t>ԸՆԹԱՑԻԿ ԾԱԽՍԵՐ</t>
  </si>
  <si>
    <t>ԾԱՌԱՅՈՒԹՅՈՒՆՆԵՐԻ ԵՎ ԱՊՐԱՆՔՆԵՐԻ ՁԵՌՔ ԲԵՐՈՒՄ</t>
  </si>
  <si>
    <t>ԱՅԼ ՄԱՍՆԱԳԻՏԱԿԱՆ ԾԱՌԱՅՈՒԹՅՈՒՆՆԵՐԻ ՁԵՌՔ ԲԵՐՈՒՄ</t>
  </si>
  <si>
    <t xml:space="preserve"> - Մասնագիտական ծառայություններ</t>
  </si>
  <si>
    <t>Նոր Նորք վարչական շրջանի հ. 109 մանկապարտեզի բակի բարեկարգում</t>
  </si>
  <si>
    <t>ՀՀ տարածքային կառավարման և ենթակառուցվածքների նախարարություն</t>
  </si>
  <si>
    <t xml:space="preserve"> Ըստ մակարդակների չդասակարգվող կրթություն</t>
  </si>
  <si>
    <t xml:space="preserve"> Արտադպրոցական դաստիարակության ծրագիր</t>
  </si>
  <si>
    <t xml:space="preserve">Արտադպրոցական դաստիարակություն իրականացնող
կազմակերպությունների շենքային պայմանների բարելավում </t>
  </si>
  <si>
    <t xml:space="preserve"> ԱՅԼ ԾԱԽՍԵՐ</t>
  </si>
  <si>
    <t xml:space="preserve"> Հարկեր, պարտադիր վճարներ և տույժեր, որոնք կառավարման տարբեր մակարդակների կողմից կիրառվում են միմյանց նկատմամբ</t>
  </si>
  <si>
    <t xml:space="preserve"> Աջակցություն դպրոցներին «Արագ արձագանքման ֆոնդի» շրջանակում հրատապ խնդիրների լուծման համար  </t>
  </si>
  <si>
    <t xml:space="preserve"> Նպաստել հանրակրթական ուսուցման համակարգում  ընդգրկված երեխաների ֆիզիկական, հոգևոր և գեղագիտական զարգացմանը, բնապահպանական և կիրառական գիտելիքների ձեռքբերմանը</t>
  </si>
  <si>
    <t xml:space="preserve"> Ստեղծել պայմաններ սովորողների ազատ ժամանացի  կազմակերպան միջոցով նրանց հետաքրքրությունների բացահայտման, ձևավորման  և զարգացման համար</t>
  </si>
  <si>
    <t xml:space="preserve"> Արտադպրոցական դաստիարակություն իրականացնող
կազմակերպությունների շենքային պայմանների բարելավում</t>
  </si>
  <si>
    <t xml:space="preserve"> Կառույցների տեխնիկական կարողությունների և աշխատանքային միջավայրի բարելավում </t>
  </si>
  <si>
    <t xml:space="preserve"> Թատերահամերգային կազմակերպությունների երաժշտական գործիքներով ապահովում</t>
  </si>
  <si>
    <t xml:space="preserve"> Աջակցություն դպրոցներին «Արագ արձագանքման ֆոնդի» շրջանակում՛ հրատապ խնդիրների լուծման համար</t>
  </si>
  <si>
    <t xml:space="preserve"> Դպրոցներում արտակարգ իրավիճակների և չնախատեսված հանգամանքների հետևանքով առաջացած խնդիրների լուծման նպատակով ընթացիկ աշխատանքների իրականացում</t>
  </si>
  <si>
    <t xml:space="preserve"> Ավագ մակարդակի կրթություն իրականացնող ուսումնական հաստատությունների շենքային պայմանների բարելավում</t>
  </si>
  <si>
    <t xml:space="preserve"> Ավագ դպրոցների շենքային պայմանների բարելավում</t>
  </si>
  <si>
    <t xml:space="preserve"> Նախադպրոցական կրթության հասանելիության ապահովման նպատակով՛ մանկապարտեզների հիմնում, նոր շենքերի (մասնաշենքերի), ներառյալ՛ ,Մոդուլայինե տիպի շենքերի կառուցում և նախագծում</t>
  </si>
  <si>
    <t xml:space="preserve"> Նախադպրոցական կրթության հասանելիության ապահովման նպատակով՛ մանկապարտեզների շենքերի (մասնաշենքերի), վերակառուցում, հիմնանորոգում և նախագծում</t>
  </si>
  <si>
    <t xml:space="preserve"> 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</t>
  </si>
  <si>
    <t xml:space="preserve"> Հիմնանորոգվող թանգարաններ և պատկերասրահներ քանակ, հատ </t>
  </si>
  <si>
    <t xml:space="preserve"> Մասնակի նորոգվող թանգարաններ և պատկերասրահներ քանակ, հատ </t>
  </si>
  <si>
    <t xml:space="preserve">   Արտադպրոցական դաստիարակության ծրագիր </t>
  </si>
  <si>
    <t xml:space="preserve"> Ակտիվն օգտագործող կազմակերպության անվանումը</t>
  </si>
  <si>
    <t xml:space="preserve">Արտադպրոցական դաստիարակություն իրականացնող
կազմակերպություններ </t>
  </si>
  <si>
    <t xml:space="preserve"> Մասնակի նորոգվող համերգային կազմակերպությունների քանակ, հատ </t>
  </si>
  <si>
    <t xml:space="preserve"> 'Հիմնանորոգվող համերգային կազմակերպությունների քանակ, հատ </t>
  </si>
  <si>
    <t xml:space="preserve"> Թատրոններ և համերգային կազմակերպություններ </t>
  </si>
  <si>
    <t xml:space="preserve"> Երաժշտական գործիքների ձեռքբերում </t>
  </si>
  <si>
    <t xml:space="preserve"> Թատերահամերգային կազմակերպությունների երաժշտական գործիքներով ապահովում </t>
  </si>
  <si>
    <t xml:space="preserve"> Աջակցություն դպրոցներին «Արագ արձագանքման ֆոնդի» շրջանակում՛ հրատապ խնդիրների լուծման համար </t>
  </si>
  <si>
    <t xml:space="preserve"> Դպրոցներում արտակարգ իրավիճակների և չնախատեսված հանգամանքների հետևանքով առաջացած խնդիրների լուծման նպատակով ընթացիկ աշխատանքների իրականացում </t>
  </si>
  <si>
    <t xml:space="preserve"> Ծառայությունը մատուցող կազմակերպության(ների) անվանում(ներ)ը՛ </t>
  </si>
  <si>
    <t xml:space="preserve"> Մասնագիտացված կազմակերպություններ </t>
  </si>
  <si>
    <t xml:space="preserve"> Շահառու դպրոցների թիվը </t>
  </si>
  <si>
    <t xml:space="preserve"> Ավագ մակարդակի կրթություն իրականացնող ուսումնական հաստատությունների շենքային պայմանների բարելավում </t>
  </si>
  <si>
    <t xml:space="preserve"> Ավագ դպրոցների շենքային պայմանների բարելավում </t>
  </si>
  <si>
    <t xml:space="preserve">  ավագ դպրոցներ </t>
  </si>
  <si>
    <t>Մանկապարտեզների թիվը,որոնց համար ձեռք են բերվում չափագրման ծառայություն, հատ</t>
  </si>
  <si>
    <t xml:space="preserve"> Մանկապարտեզների նոր շենքերի կառուցում </t>
  </si>
  <si>
    <t xml:space="preserve"> Նախադպրոցական կրթության հասանելիության ապահովման նպատակով՛ մանկապարտեզների հիմնում, նոր շենքերի (մասնաշենքերի), ներառյալ՛ ,Մոդուլայինե տիպի շենքերի կառուցում և նախագծում </t>
  </si>
  <si>
    <t xml:space="preserve">  Շահառուների ընտրության չափորոշիչները° </t>
  </si>
  <si>
    <t xml:space="preserve"> Նախադպրոցական կրթությույն իրականացնող ուսումնական հաստատություններ </t>
  </si>
  <si>
    <t xml:space="preserve"> Մանկապարտեզների շենքերի վերակառուցում, հիմնանորոգում </t>
  </si>
  <si>
    <t xml:space="preserve"> Նախադպրոցական կրթության հասանելիության ապահովման նպատակով՛ մանկապարտեզների շենքերի (մասնաշենքերի), վերակառուցում, հիմնանորոգում և նախագծում </t>
  </si>
  <si>
    <t xml:space="preserve"> Հանրակրթական դպրոցների նոր շենքերի կառուցում </t>
  </si>
  <si>
    <t xml:space="preserve"> 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 </t>
  </si>
  <si>
    <t xml:space="preserve">ՀԱՅԱՍՏԱՆԻ ՀԱՆՐԱՊԵՏՈՒԹՅԱՆ ԿԱՌԱՎԱՐՈՒԹՅԱՆ 2023 ԹՎԱԿԱՆԻ ԴԵԿՏԵՄԲԵՐԻ 28-Ի N 2323-Ն ՈՐՈՇՄԱՆ N 9.1 ՀԱՎԵԼՎԱԾԻ NN 9.1.8, 9.1.13, 9.1.39, 9․1․54 ԵՎ 9.1.58 ԱՂՅՈՒՍԱԿՆԵՐՈՒՄ ԿԱՏԱՐՎՈՂ ՓՈՓՈԽՈՒԹՅՈՒՆՆԵՐԸ ԵՎ ԼՐԱՑՈՒՄՆԵՐԸ </t>
  </si>
  <si>
    <t>Աղյուսակ 9․1.39</t>
  </si>
  <si>
    <t>Աղյուսակ 9․1.8</t>
  </si>
  <si>
    <t>1183-32004</t>
  </si>
  <si>
    <t>Հավելված N 10</t>
  </si>
  <si>
    <t>Ծրագրային դասիչը</t>
  </si>
  <si>
    <t xml:space="preserve">Բյուջետային հատակացումների գլխավոր կարգադրիչներ, ծրագրերի, միջոցառումների և միջոցառումներն իրականացնող պետական մարմինների անվանումները </t>
  </si>
  <si>
    <t xml:space="preserve">Տարի
</t>
  </si>
  <si>
    <t xml:space="preserve"> Ընդամենը  </t>
  </si>
  <si>
    <t xml:space="preserve"> Վարկային միջոցներ</t>
  </si>
  <si>
    <t xml:space="preserve"> Համաֆինան սավորում</t>
  </si>
  <si>
    <t xml:space="preserve"> ՀՀ  կրթության, գիտության, մշակույթի և սպորտի նախարարություն</t>
  </si>
  <si>
    <t xml:space="preserve"> այդ թվում` բյուջետային ծախսերի տնտեսագիտական դասակարգման հոդվածներ</t>
  </si>
  <si>
    <t>«ՀԱՅԱՍՏԱՆԻ ՀԱՆՐԱՊԵՏՈՒԹՅԱՆ 2024 ԹՎԱԿԱՆԻ ՊԵՏԱԿԱՆ ԲՅՈՒՋԵԻ ՄԱՍԻՆ» ՕՐԵՆՔԻ N 1 ՀԱՎԵԼՎԱԾԻ N 4 ԱՂՅՈՒՍԱԿՈՒՄ ԵՎ ՀԱՅԱՍՏԱՆԻ ՀԱՆՐԱՊԵՏՈՒԹՅԱՆ ԿԱՌԱՎԱՐՈՒԹՅԱՆ 2023 ԹՎԱԿԱՆԻ ԴԵԿՏԵՄԲԵՐԻ 28-Ի N 2323-Ն ՈՐՈՇՄԱՆ N 5 ՀԱՎԵԼՎԱԾԻ N 3 ԱՂՅՈՒՍԱԿՈՒՄ ԿԱՏԱՐՎՈՂ ԼՐԱՑՈՒՄԸ</t>
  </si>
  <si>
    <t xml:space="preserve"> Կրթության որակի ապահովում</t>
  </si>
  <si>
    <t xml:space="preserve"> 11023</t>
  </si>
  <si>
    <t xml:space="preserve"> Համաշխարհային բանկի աջակցությամբ իրականացվող Կրթության բարելավման ծրագրի լրացուցիչ ֆինանսավորում վարկային ծրագիր</t>
  </si>
  <si>
    <t xml:space="preserve"> ՀՀ  կրթության , գիտության, մշակույթի և սպորտի նախարարություն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</si>
  <si>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</si>
  <si>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</si>
  <si>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Հավելված N 11</t>
  </si>
  <si>
    <t>Հավելված N 5</t>
  </si>
  <si>
    <t xml:space="preserve"> Հանրակրթության որակի բարելավում, աջակցություն Նորարարությունների մրցակցային հիմնադրամի զարգացմանը, ծրագրի համակարգում և կառավարում</t>
  </si>
  <si>
    <t xml:space="preserve"> Ընթացիկ աշխատանքների, բարեփոխումների և նոր նախաձեռնությունների միջոցով ֆորմալ և ոչ-ֆորմալ կրթության ոլորտում իրականացվող միջոցառումների, մատուցվող ծառայությունների բովանդակության և կազմակերպման որակի շարունակական բարելավում</t>
  </si>
  <si>
    <t xml:space="preserve"> Նախադպրոցականից մինչև հետբուհական կրթության որակի, այն է սովորողների, միջավայրի, ծրագրերի և ուսումնական նյութերի բովանդակության, գործընթացների, ինչպես նաև վերջնարդյունքների որակի բարելավում ըստ ներպետական և միջազգային ցուցիչների</t>
  </si>
  <si>
    <t xml:space="preserve"> Համաշխարհային բանկի աջակցությամբ իրականացվող Կրթության բարելավման ծրագրի լրացուցիչ ֆինանսավորում վարկային ծրագիր </t>
  </si>
  <si>
    <t xml:space="preserve"> Հանրակրթության որակի բարելավում, աջակցություն Նորարարությունների մրցակցային հիմնադրամի զարգացմանը, ծրագրի համակարգում և կառավարում </t>
  </si>
  <si>
    <t xml:space="preserve"> Մասնագիտացված միավոր </t>
  </si>
  <si>
    <t>39121600-13</t>
  </si>
  <si>
    <t>39121600-1</t>
  </si>
  <si>
    <t>39121600-8</t>
  </si>
  <si>
    <t>Դիլիջան համայնքի Հ.Շարամբեյանի անվան ժողովրդական արվեստների թանգարանի տարածքի բարեկարգման գիտանախագծային փաստաթղթերի մշակում</t>
  </si>
  <si>
    <t>«Լուսակնի միջնակարգ դպրոց» ՊՈԱԿ</t>
  </si>
  <si>
    <t>45221142-6</t>
  </si>
  <si>
    <t xml:space="preserve"> ընդհանուր շինարարական աշխատանքներ</t>
  </si>
  <si>
    <t>71351540-6</t>
  </si>
  <si>
    <t>98111140-6</t>
  </si>
  <si>
    <t>Փշատավան համայնքում «Մոդուլային» տիպի 144 տեղ հզորությամբ մսուր-մանկապարտեզ</t>
  </si>
  <si>
    <t>Կրթական օբյեկտների շենքային պայմանների բարելավում</t>
  </si>
  <si>
    <t>«Երևանի Մ․ Նալբանդյանի անվան թիվ 33 հիմնական դպրոց» ՊՈԱԿ</t>
  </si>
  <si>
    <t xml:space="preserve"> Կրթական օբյեկտների շենքային պայմանների բարելավում</t>
  </si>
  <si>
    <t>ՀԱՅԱՍՏԱՆԻ ՀԱՆՐԱՊԵՏՈՒԹՅԱՆ ԿԱՌԱՎԱՐՈՒԹՅԱՆ 2023 ԹՎԱԿԱՆԻ ԴԵԿՏԵՄԲԵՐԻ 28-Ի N 2323-Ն ՈՐՈՇՄԱՆ N 8 ՀԱՎԵԼՎԱԾԻ ՑԱՆԿՈՒՄ ԿԱՏԱՐՎՈՂ ՓՈՓՈԽՈՒԹՅՈՒՆԸ ԵՎ ԼՐԱՑՈՒՄԸ</t>
  </si>
  <si>
    <t xml:space="preserve"> Կրթական օբյեկտների շենքային պայմանների բարելավում </t>
  </si>
  <si>
    <t xml:space="preserve"> Կրթական օբյեկտների շենքերի (մասնաշենքերի) հիմնանորոգում (համաշինարարական աշխատանքներ, ջեռուցման համակարգի իրականացում, ներքին հարդարում, տարածքի բարեկարգում) և նախագծում </t>
  </si>
  <si>
    <t xml:space="preserve">  Հանրակրթական դպրոցներ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</si>
</sst>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General_)"/>
    <numFmt numFmtId="172" formatCode="_-* #,##0.00\ _р_._-;\-* #,##0.00\ _р_._-;_-* &quot;-&quot;??\ _р_._-;_-@_-"/>
    <numFmt numFmtId="173" formatCode="0_);\(0\)"/>
    <numFmt numFmtId="174" formatCode="_(* #,##0_);_(* \(#,##0\);_(* &quot;-&quot;??_);_(@_)"/>
    <numFmt numFmtId="175" formatCode="0.000%"/>
    <numFmt numFmtId="176" formatCode="##,##0;\(##,##0\);\-"/>
    <numFmt numFmtId="177" formatCode="_-* #,##0.0\ _р_._-;\-* #,##0.0\ _р_._-;_-* &quot;-&quot;??\ _р_._-;_-@_-"/>
    <numFmt numFmtId="178" formatCode="_(* #,##0.000_);_(* \(#,##0.000\);_(* &quot;-&quot;??_);_(@_)"/>
  </numFmts>
  <fonts count="107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i/>
      <sz val="12"/>
      <name val="GHEA Grapalat"/>
      <family val="2"/>
    </font>
    <font>
      <b/>
      <i/>
      <sz val="12"/>
      <color theme="1"/>
      <name val="GHEA Grapalat"/>
      <family val="3"/>
    </font>
    <font>
      <sz val="10"/>
      <color theme="1"/>
      <name val="Arial Narrow"/>
      <family val="2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b/>
      <sz val="12"/>
      <color indexed="8"/>
      <name val="GHEA Grapalat"/>
      <family val="3"/>
    </font>
    <font>
      <sz val="12"/>
      <color indexed="8"/>
      <name val="GHEA Grapalat"/>
      <family val="3"/>
    </font>
    <font>
      <sz val="11"/>
      <name val="GHEA Grapalat"/>
      <family val="3"/>
    </font>
    <font>
      <i/>
      <sz val="12"/>
      <color theme="1"/>
      <name val="GHEA Grapalat"/>
      <family val="3"/>
    </font>
    <font>
      <b/>
      <sz val="12"/>
      <color rgb="FFFF0000"/>
      <name val="GHEA Grapalat"/>
      <family val="3"/>
    </font>
    <font>
      <b/>
      <sz val="12"/>
      <name val="GHEA Grapalat"/>
      <family val="2"/>
    </font>
    <font>
      <sz val="12"/>
      <name val="Calibri"/>
      <family val="2"/>
      <charset val="1"/>
      <scheme val="minor"/>
    </font>
    <font>
      <i/>
      <sz val="12"/>
      <name val="Calibri"/>
      <family val="2"/>
      <charset val="1"/>
      <scheme val="minor"/>
    </font>
    <font>
      <sz val="12"/>
      <color rgb="FFFF0000"/>
      <name val="GHEA Grapalat"/>
      <family val="3"/>
    </font>
    <font>
      <sz val="12"/>
      <color rgb="FFFF0000"/>
      <name val="GHEA Grapalat"/>
    </font>
    <font>
      <sz val="12"/>
      <name val="GHEA Grapalat"/>
    </font>
    <font>
      <i/>
      <sz val="12"/>
      <name val="GHEA Grapalat"/>
    </font>
    <font>
      <b/>
      <sz val="12"/>
      <name val="GHEA Grapalat"/>
    </font>
    <font>
      <b/>
      <sz val="11"/>
      <name val="GHEA Grapalat"/>
      <family val="3"/>
    </font>
    <font>
      <i/>
      <sz val="8"/>
      <name val="GHEA Grapalat"/>
      <family val="2"/>
    </font>
  </fonts>
  <fills count="6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033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5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10" applyNumberFormat="0" applyAlignment="0" applyProtection="0"/>
    <xf numFmtId="0" fontId="26" fillId="7" borderId="11" applyNumberFormat="0" applyAlignment="0" applyProtection="0"/>
    <xf numFmtId="0" fontId="27" fillId="7" borderId="10" applyNumberFormat="0" applyAlignment="0" applyProtection="0"/>
    <xf numFmtId="0" fontId="28" fillId="0" borderId="12" applyNumberFormat="0" applyFill="0" applyAlignment="0" applyProtection="0"/>
    <xf numFmtId="0" fontId="29" fillId="8" borderId="13" applyNumberFormat="0" applyAlignment="0" applyProtection="0"/>
    <xf numFmtId="0" fontId="30" fillId="0" borderId="0" applyNumberFormat="0" applyFill="0" applyBorder="0" applyAlignment="0" applyProtection="0"/>
    <xf numFmtId="0" fontId="13" fillId="9" borderId="14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5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4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7" applyNumberFormat="0" applyFill="0" applyAlignment="0" applyProtection="0"/>
    <xf numFmtId="0" fontId="35" fillId="25" borderId="0" applyNumberFormat="0" applyBorder="0" applyAlignment="0" applyProtection="0"/>
    <xf numFmtId="0" fontId="43" fillId="0" borderId="9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12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10" applyNumberFormat="0" applyAlignment="0" applyProtection="0"/>
    <xf numFmtId="0" fontId="40" fillId="3" borderId="0" applyNumberFormat="0" applyBorder="0" applyAlignment="0" applyProtection="0"/>
    <xf numFmtId="0" fontId="47" fillId="7" borderId="11" applyNumberFormat="0" applyAlignment="0" applyProtection="0"/>
    <xf numFmtId="0" fontId="44" fillId="6" borderId="10" applyNumberFormat="0" applyAlignment="0" applyProtection="0"/>
    <xf numFmtId="0" fontId="42" fillId="0" borderId="8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3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5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6" applyNumberFormat="0" applyAlignment="0" applyProtection="0"/>
    <xf numFmtId="0" fontId="57" fillId="53" borderId="17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18" applyNumberFormat="0" applyFill="0" applyAlignment="0" applyProtection="0"/>
    <xf numFmtId="0" fontId="61" fillId="0" borderId="19" applyNumberFormat="0" applyFill="0" applyAlignment="0" applyProtection="0"/>
    <xf numFmtId="0" fontId="62" fillId="0" borderId="20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6" applyNumberFormat="0" applyAlignment="0" applyProtection="0"/>
    <xf numFmtId="0" fontId="64" fillId="0" borderId="21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22" applyNumberFormat="0" applyFont="0" applyAlignment="0" applyProtection="0"/>
    <xf numFmtId="0" fontId="66" fillId="52" borderId="23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4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4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4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29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1" fontId="82" fillId="0" borderId="30">
      <protection locked="0"/>
    </xf>
    <xf numFmtId="171" fontId="83" fillId="56" borderId="3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56" fillId="5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63" fillId="42" borderId="16" applyNumberForma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16" fillId="55" borderId="22" applyNumberFormat="0" applyFon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6" fillId="52" borderId="23" applyNumberFormat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68" fillId="0" borderId="24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5" fillId="6" borderId="10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6" fillId="7" borderId="11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9" fillId="8" borderId="13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13" fillId="9" borderId="14" applyNumberFormat="0" applyFont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28" fillId="0" borderId="12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5" fillId="0" borderId="0">
      <alignment horizontal="left" vertical="top" wrapText="1"/>
    </xf>
    <xf numFmtId="0" fontId="89" fillId="0" borderId="0"/>
    <xf numFmtId="43" fontId="89" fillId="0" borderId="0" applyFont="0" applyFill="0" applyBorder="0" applyAlignment="0" applyProtection="0"/>
    <xf numFmtId="172" fontId="84" fillId="0" borderId="0" applyFont="0" applyFill="0" applyBorder="0" applyAlignment="0" applyProtection="0"/>
    <xf numFmtId="0" fontId="13" fillId="0" borderId="0"/>
    <xf numFmtId="9" fontId="8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" fillId="0" borderId="0"/>
    <xf numFmtId="165" fontId="106" fillId="0" borderId="0" applyFill="0" applyBorder="0" applyProtection="0">
      <alignment horizontal="right" vertical="top"/>
    </xf>
  </cellStyleXfs>
  <cellXfs count="563">
    <xf numFmtId="0" fontId="0" fillId="0" borderId="0" xfId="0"/>
    <xf numFmtId="0" fontId="74" fillId="2" borderId="0" xfId="0" applyFont="1" applyFill="1"/>
    <xf numFmtId="169" fontId="17" fillId="2" borderId="25" xfId="7" applyNumberFormat="1" applyFont="1" applyFill="1" applyBorder="1" applyAlignment="1">
      <alignment horizontal="center" vertical="center" wrapText="1"/>
    </xf>
    <xf numFmtId="0" fontId="73" fillId="2" borderId="0" xfId="0" applyFont="1" applyFill="1"/>
    <xf numFmtId="0" fontId="17" fillId="2" borderId="25" xfId="0" applyFont="1" applyFill="1" applyBorder="1" applyAlignment="1">
      <alignment horizontal="left" vertical="top" wrapText="1"/>
    </xf>
    <xf numFmtId="166" fontId="73" fillId="2" borderId="25" xfId="7" applyNumberFormat="1" applyFont="1" applyFill="1" applyBorder="1" applyAlignment="1">
      <alignment horizontal="center" vertical="center" wrapText="1"/>
    </xf>
    <xf numFmtId="169" fontId="73" fillId="2" borderId="25" xfId="7" applyNumberFormat="1" applyFont="1" applyFill="1" applyBorder="1" applyAlignment="1">
      <alignment horizontal="center" vertical="center" wrapText="1"/>
    </xf>
    <xf numFmtId="166" fontId="73" fillId="2" borderId="25" xfId="7" applyNumberFormat="1" applyFont="1" applyFill="1" applyBorder="1" applyAlignment="1">
      <alignment horizontal="right" vertical="center" wrapText="1"/>
    </xf>
    <xf numFmtId="0" fontId="14" fillId="2" borderId="0" xfId="0" applyFont="1" applyFill="1" applyAlignment="1">
      <alignment horizontal="right"/>
    </xf>
    <xf numFmtId="0" fontId="73" fillId="2" borderId="1" xfId="0" applyFont="1" applyFill="1" applyBorder="1" applyAlignment="1">
      <alignment horizontal="center" vertical="top" wrapText="1"/>
    </xf>
    <xf numFmtId="0" fontId="86" fillId="2" borderId="3" xfId="0" applyFont="1" applyFill="1" applyBorder="1" applyAlignment="1">
      <alignment horizontal="right" vertical="top" wrapText="1"/>
    </xf>
    <xf numFmtId="0" fontId="73" fillId="2" borderId="1" xfId="0" applyFont="1" applyFill="1" applyBorder="1" applyAlignment="1">
      <alignment horizontal="left" vertical="center"/>
    </xf>
    <xf numFmtId="169" fontId="17" fillId="2" borderId="25" xfId="7" applyNumberFormat="1" applyFont="1" applyFill="1" applyBorder="1" applyAlignment="1">
      <alignment horizontal="center" vertical="top" wrapText="1"/>
    </xf>
    <xf numFmtId="0" fontId="73" fillId="2" borderId="25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left" vertical="top" wrapText="1"/>
    </xf>
    <xf numFmtId="169" fontId="17" fillId="2" borderId="25" xfId="7" applyNumberFormat="1" applyFont="1" applyFill="1" applyBorder="1" applyAlignment="1">
      <alignment horizontal="right" vertical="center" wrapText="1"/>
    </xf>
    <xf numFmtId="0" fontId="86" fillId="2" borderId="0" xfId="0" applyFont="1" applyFill="1" applyAlignment="1">
      <alignment horizontal="left" vertical="top" wrapText="1"/>
    </xf>
    <xf numFmtId="0" fontId="17" fillId="2" borderId="25" xfId="0" applyFont="1" applyFill="1" applyBorder="1" applyAlignment="1">
      <alignment horizontal="center" vertical="top" wrapText="1"/>
    </xf>
    <xf numFmtId="0" fontId="73" fillId="2" borderId="34" xfId="0" applyFont="1" applyFill="1" applyBorder="1" applyAlignment="1">
      <alignment vertical="top" wrapText="1"/>
    </xf>
    <xf numFmtId="0" fontId="17" fillId="2" borderId="34" xfId="0" applyFont="1" applyFill="1" applyBorder="1" applyAlignment="1">
      <alignment horizontal="center"/>
    </xf>
    <xf numFmtId="0" fontId="86" fillId="2" borderId="34" xfId="165" applyFont="1" applyFill="1" applyBorder="1">
      <alignment horizontal="left" vertical="top" wrapText="1"/>
    </xf>
    <xf numFmtId="0" fontId="86" fillId="2" borderId="34" xfId="0" applyFont="1" applyFill="1" applyBorder="1" applyAlignment="1">
      <alignment horizontal="left" vertical="top" wrapText="1"/>
    </xf>
    <xf numFmtId="0" fontId="73" fillId="2" borderId="34" xfId="0" applyFont="1" applyFill="1" applyBorder="1"/>
    <xf numFmtId="0" fontId="17" fillId="2" borderId="34" xfId="0" applyFont="1" applyFill="1" applyBorder="1" applyAlignment="1">
      <alignment vertical="top" wrapText="1"/>
    </xf>
    <xf numFmtId="0" fontId="73" fillId="2" borderId="35" xfId="0" applyFont="1" applyFill="1" applyBorder="1" applyAlignment="1">
      <alignment horizontal="left" vertical="top" wrapText="1"/>
    </xf>
    <xf numFmtId="0" fontId="73" fillId="2" borderId="34" xfId="0" applyFont="1" applyFill="1" applyBorder="1" applyAlignment="1">
      <alignment vertical="center" wrapText="1"/>
    </xf>
    <xf numFmtId="0" fontId="87" fillId="2" borderId="34" xfId="0" applyFont="1" applyFill="1" applyBorder="1" applyAlignment="1">
      <alignment horizontal="left" vertical="top" wrapText="1"/>
    </xf>
    <xf numFmtId="0" fontId="14" fillId="2" borderId="0" xfId="0" applyFont="1" applyFill="1" applyAlignment="1">
      <alignment wrapText="1"/>
    </xf>
    <xf numFmtId="167" fontId="74" fillId="2" borderId="0" xfId="0" applyNumberFormat="1" applyFont="1" applyFill="1"/>
    <xf numFmtId="0" fontId="17" fillId="2" borderId="1" xfId="0" applyFont="1" applyFill="1" applyBorder="1" applyAlignment="1">
      <alignment vertical="top" wrapText="1"/>
    </xf>
    <xf numFmtId="0" fontId="73" fillId="2" borderId="0" xfId="0" applyFont="1" applyFill="1" applyAlignment="1">
      <alignment vertical="center"/>
    </xf>
    <xf numFmtId="168" fontId="73" fillId="2" borderId="0" xfId="0" applyNumberFormat="1" applyFont="1" applyFill="1" applyAlignment="1">
      <alignment vertical="center"/>
    </xf>
    <xf numFmtId="0" fontId="73" fillId="2" borderId="0" xfId="0" applyFont="1" applyFill="1" applyAlignment="1">
      <alignment horizontal="right"/>
    </xf>
    <xf numFmtId="0" fontId="73" fillId="2" borderId="25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 vertical="top"/>
    </xf>
    <xf numFmtId="0" fontId="73" fillId="2" borderId="0" xfId="299" applyFont="1" applyFill="1"/>
    <xf numFmtId="49" fontId="17" fillId="2" borderId="34" xfId="96" applyNumberFormat="1" applyFont="1" applyFill="1" applyBorder="1" applyAlignment="1">
      <alignment horizontal="center" vertical="center" textRotation="90" wrapText="1"/>
    </xf>
    <xf numFmtId="165" fontId="17" fillId="2" borderId="34" xfId="6" applyFont="1" applyFill="1" applyBorder="1" applyAlignment="1">
      <alignment horizontal="center" vertical="center"/>
    </xf>
    <xf numFmtId="169" fontId="17" fillId="2" borderId="34" xfId="96" applyNumberFormat="1" applyFont="1" applyFill="1" applyBorder="1" applyAlignment="1">
      <alignment horizontal="center" vertical="center" wrapText="1"/>
    </xf>
    <xf numFmtId="0" fontId="17" fillId="2" borderId="34" xfId="96" applyFont="1" applyFill="1" applyBorder="1" applyAlignment="1">
      <alignment horizontal="center" vertical="center" wrapText="1"/>
    </xf>
    <xf numFmtId="0" fontId="74" fillId="2" borderId="34" xfId="299" applyFont="1" applyFill="1" applyBorder="1" applyAlignment="1">
      <alignment horizontal="center"/>
    </xf>
    <xf numFmtId="0" fontId="74" fillId="2" borderId="0" xfId="253" applyFont="1" applyFill="1" applyAlignment="1">
      <alignment vertical="top"/>
    </xf>
    <xf numFmtId="0" fontId="74" fillId="2" borderId="0" xfId="253" applyFont="1" applyFill="1"/>
    <xf numFmtId="0" fontId="74" fillId="2" borderId="0" xfId="253" applyFont="1" applyFill="1" applyAlignment="1">
      <alignment wrapText="1"/>
    </xf>
    <xf numFmtId="0" fontId="17" fillId="2" borderId="0" xfId="299" applyFont="1" applyFill="1" applyAlignment="1">
      <alignment vertical="center" wrapText="1"/>
    </xf>
    <xf numFmtId="0" fontId="90" fillId="2" borderId="34" xfId="253" applyFont="1" applyFill="1" applyBorder="1" applyAlignment="1">
      <alignment horizontal="center" vertical="center" wrapText="1"/>
    </xf>
    <xf numFmtId="168" fontId="92" fillId="2" borderId="34" xfId="96" applyNumberFormat="1" applyFont="1" applyFill="1" applyBorder="1" applyAlignment="1">
      <alignment horizontal="center" vertical="center" wrapText="1"/>
    </xf>
    <xf numFmtId="0" fontId="86" fillId="2" borderId="34" xfId="253" applyFont="1" applyFill="1" applyBorder="1" applyAlignment="1">
      <alignment horizontal="center" vertical="center" wrapText="1"/>
    </xf>
    <xf numFmtId="168" fontId="73" fillId="2" borderId="34" xfId="96" applyNumberFormat="1" applyFont="1" applyFill="1" applyBorder="1" applyAlignment="1">
      <alignment vertical="center" wrapText="1"/>
    </xf>
    <xf numFmtId="0" fontId="91" fillId="2" borderId="37" xfId="96" applyFont="1" applyFill="1" applyBorder="1" applyAlignment="1">
      <alignment horizontal="center" vertical="center" wrapText="1"/>
    </xf>
    <xf numFmtId="165" fontId="91" fillId="2" borderId="34" xfId="6" applyFont="1" applyFill="1" applyBorder="1" applyAlignment="1">
      <alignment horizontal="center" vertical="center"/>
    </xf>
    <xf numFmtId="43" fontId="74" fillId="2" borderId="34" xfId="7" applyFont="1" applyFill="1" applyBorder="1" applyAlignment="1">
      <alignment vertical="center"/>
    </xf>
    <xf numFmtId="0" fontId="14" fillId="2" borderId="34" xfId="165" applyFont="1" applyFill="1" applyBorder="1" applyAlignment="1">
      <alignment horizontal="center" vertical="center" wrapText="1"/>
    </xf>
    <xf numFmtId="166" fontId="17" fillId="58" borderId="34" xfId="7" applyNumberFormat="1" applyFont="1" applyFill="1" applyBorder="1" applyAlignment="1">
      <alignment vertical="top" wrapText="1"/>
    </xf>
    <xf numFmtId="0" fontId="17" fillId="2" borderId="34" xfId="96" applyFont="1" applyFill="1" applyBorder="1" applyAlignment="1">
      <alignment horizontal="left" vertical="center" wrapText="1"/>
    </xf>
    <xf numFmtId="0" fontId="73" fillId="2" borderId="26" xfId="0" applyFont="1" applyFill="1" applyBorder="1" applyAlignment="1">
      <alignment vertical="top" wrapText="1"/>
    </xf>
    <xf numFmtId="0" fontId="73" fillId="2" borderId="2" xfId="0" applyFont="1" applyFill="1" applyBorder="1" applyAlignment="1">
      <alignment vertical="top" wrapText="1"/>
    </xf>
    <xf numFmtId="166" fontId="73" fillId="2" borderId="34" xfId="7" applyNumberFormat="1" applyFont="1" applyFill="1" applyBorder="1" applyAlignment="1">
      <alignment horizontal="right" vertical="center" wrapText="1"/>
    </xf>
    <xf numFmtId="0" fontId="74" fillId="2" borderId="0" xfId="0" applyFont="1" applyFill="1" applyAlignment="1">
      <alignment horizontal="right"/>
    </xf>
    <xf numFmtId="0" fontId="73" fillId="2" borderId="34" xfId="8" applyFont="1" applyFill="1" applyBorder="1" applyAlignment="1">
      <alignment horizontal="center" vertical="center" wrapText="1"/>
    </xf>
    <xf numFmtId="0" fontId="73" fillId="2" borderId="34" xfId="0" applyFont="1" applyFill="1" applyBorder="1" applyAlignment="1">
      <alignment wrapText="1"/>
    </xf>
    <xf numFmtId="0" fontId="14" fillId="2" borderId="0" xfId="0" applyFont="1" applyFill="1" applyAlignment="1">
      <alignment horizontal="center" wrapText="1"/>
    </xf>
    <xf numFmtId="169" fontId="73" fillId="0" borderId="34" xfId="0" applyNumberFormat="1" applyFont="1" applyBorder="1" applyAlignment="1">
      <alignment horizontal="right" vertical="center" wrapText="1"/>
    </xf>
    <xf numFmtId="0" fontId="73" fillId="2" borderId="0" xfId="8" applyFont="1" applyFill="1">
      <alignment horizontal="left" vertical="top" wrapText="1"/>
    </xf>
    <xf numFmtId="0" fontId="86" fillId="2" borderId="3" xfId="0" applyFont="1" applyFill="1" applyBorder="1" applyAlignment="1">
      <alignment horizontal="left" vertical="center" wrapText="1"/>
    </xf>
    <xf numFmtId="0" fontId="73" fillId="2" borderId="0" xfId="8" applyFont="1" applyFill="1" applyAlignment="1">
      <alignment horizontal="left" vertical="center" wrapText="1"/>
    </xf>
    <xf numFmtId="165" fontId="73" fillId="2" borderId="0" xfId="8" applyNumberFormat="1" applyFont="1" applyFill="1" applyAlignment="1">
      <alignment horizontal="left" vertical="center" wrapText="1"/>
    </xf>
    <xf numFmtId="4" fontId="73" fillId="2" borderId="0" xfId="8" applyNumberFormat="1" applyFont="1" applyFill="1">
      <alignment horizontal="left" vertical="top" wrapText="1"/>
    </xf>
    <xf numFmtId="43" fontId="14" fillId="2" borderId="34" xfId="253" applyNumberFormat="1" applyFont="1" applyFill="1" applyBorder="1" applyAlignment="1">
      <alignment vertical="center"/>
    </xf>
    <xf numFmtId="0" fontId="17" fillId="2" borderId="26" xfId="0" applyFont="1" applyFill="1" applyBorder="1" applyAlignment="1">
      <alignment vertical="center" wrapText="1"/>
    </xf>
    <xf numFmtId="0" fontId="17" fillId="2" borderId="2" xfId="0" applyFont="1" applyFill="1" applyBorder="1" applyAlignment="1">
      <alignment vertical="center" wrapText="1"/>
    </xf>
    <xf numFmtId="0" fontId="73" fillId="2" borderId="3" xfId="0" applyFont="1" applyFill="1" applyBorder="1" applyAlignment="1">
      <alignment vertical="top" wrapText="1"/>
    </xf>
    <xf numFmtId="168" fontId="74" fillId="2" borderId="0" xfId="253" applyNumberFormat="1" applyFont="1" applyFill="1"/>
    <xf numFmtId="169" fontId="86" fillId="2" borderId="25" xfId="7" applyNumberFormat="1" applyFont="1" applyFill="1" applyBorder="1" applyAlignment="1">
      <alignment horizontal="right" vertical="center" wrapText="1"/>
    </xf>
    <xf numFmtId="0" fontId="73" fillId="2" borderId="0" xfId="1734" applyFont="1" applyFill="1"/>
    <xf numFmtId="0" fontId="73" fillId="2" borderId="0" xfId="1734" applyFont="1" applyFill="1" applyAlignment="1">
      <alignment vertical="center"/>
    </xf>
    <xf numFmtId="0" fontId="73" fillId="2" borderId="0" xfId="1734" applyFont="1" applyFill="1" applyAlignment="1">
      <alignment horizontal="center" vertical="center"/>
    </xf>
    <xf numFmtId="0" fontId="17" fillId="2" borderId="0" xfId="1734" applyFont="1" applyFill="1" applyAlignment="1">
      <alignment horizontal="center" vertical="center" wrapText="1"/>
    </xf>
    <xf numFmtId="0" fontId="73" fillId="2" borderId="34" xfId="1736" applyFont="1" applyFill="1" applyBorder="1" applyAlignment="1">
      <alignment horizontal="center" vertical="center"/>
    </xf>
    <xf numFmtId="0" fontId="73" fillId="2" borderId="34" xfId="1735" applyFont="1" applyFill="1" applyBorder="1" applyAlignment="1">
      <alignment horizontal="center"/>
    </xf>
    <xf numFmtId="0" fontId="73" fillId="2" borderId="0" xfId="299" applyFont="1" applyFill="1" applyAlignment="1">
      <alignment vertical="center"/>
    </xf>
    <xf numFmtId="0" fontId="73" fillId="2" borderId="0" xfId="299" applyFont="1" applyFill="1" applyAlignment="1">
      <alignment horizontal="center" vertical="center"/>
    </xf>
    <xf numFmtId="0" fontId="17" fillId="2" borderId="0" xfId="0" applyFont="1" applyFill="1" applyAlignment="1">
      <alignment horizontal="center" wrapText="1"/>
    </xf>
    <xf numFmtId="0" fontId="17" fillId="2" borderId="34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vertical="top"/>
    </xf>
    <xf numFmtId="0" fontId="73" fillId="2" borderId="0" xfId="0" applyFont="1" applyFill="1" applyAlignment="1">
      <alignment horizontal="left" vertical="center" wrapText="1"/>
    </xf>
    <xf numFmtId="0" fontId="94" fillId="2" borderId="2" xfId="0" applyFont="1" applyFill="1" applyBorder="1"/>
    <xf numFmtId="0" fontId="94" fillId="2" borderId="34" xfId="0" applyFont="1" applyFill="1" applyBorder="1" applyAlignment="1">
      <alignment horizontal="center"/>
    </xf>
    <xf numFmtId="0" fontId="94" fillId="2" borderId="34" xfId="0" applyFont="1" applyFill="1" applyBorder="1"/>
    <xf numFmtId="0" fontId="74" fillId="2" borderId="0" xfId="0" applyFont="1" applyFill="1" applyAlignment="1">
      <alignment vertical="top"/>
    </xf>
    <xf numFmtId="0" fontId="73" fillId="0" borderId="37" xfId="0" applyFont="1" applyBorder="1" applyAlignment="1">
      <alignment horizontal="left" vertical="top" wrapText="1"/>
    </xf>
    <xf numFmtId="43" fontId="73" fillId="2" borderId="1" xfId="7" applyFont="1" applyFill="1" applyBorder="1" applyAlignment="1">
      <alignment horizontal="right" vertical="center"/>
    </xf>
    <xf numFmtId="0" fontId="73" fillId="2" borderId="42" xfId="0" applyFont="1" applyFill="1" applyBorder="1" applyAlignment="1">
      <alignment horizontal="center" vertical="center" wrapText="1"/>
    </xf>
    <xf numFmtId="0" fontId="73" fillId="2" borderId="42" xfId="0" applyFont="1" applyFill="1" applyBorder="1" applyAlignment="1">
      <alignment horizontal="left" vertical="top" wrapText="1"/>
    </xf>
    <xf numFmtId="169" fontId="17" fillId="2" borderId="42" xfId="7" applyNumberFormat="1" applyFont="1" applyFill="1" applyBorder="1" applyAlignment="1">
      <alignment horizontal="center" vertical="center" wrapText="1"/>
    </xf>
    <xf numFmtId="0" fontId="73" fillId="2" borderId="43" xfId="0" applyFont="1" applyFill="1" applyBorder="1" applyAlignment="1">
      <alignment horizontal="center" vertical="center" wrapText="1"/>
    </xf>
    <xf numFmtId="0" fontId="17" fillId="2" borderId="43" xfId="0" applyFont="1" applyFill="1" applyBorder="1" applyAlignment="1">
      <alignment vertical="top" wrapText="1"/>
    </xf>
    <xf numFmtId="0" fontId="73" fillId="2" borderId="44" xfId="0" applyFont="1" applyFill="1" applyBorder="1" applyAlignment="1">
      <alignment horizontal="center" vertical="top" wrapText="1"/>
    </xf>
    <xf numFmtId="0" fontId="17" fillId="2" borderId="42" xfId="0" applyFont="1" applyFill="1" applyBorder="1" applyAlignment="1">
      <alignment horizontal="left" vertical="top" wrapText="1"/>
    </xf>
    <xf numFmtId="169" fontId="17" fillId="2" borderId="42" xfId="7" applyNumberFormat="1" applyFont="1" applyFill="1" applyBorder="1" applyAlignment="1">
      <alignment horizontal="center" vertical="top" wrapText="1"/>
    </xf>
    <xf numFmtId="167" fontId="73" fillId="2" borderId="42" xfId="0" applyNumberFormat="1" applyFont="1" applyFill="1" applyBorder="1" applyAlignment="1">
      <alignment horizontal="center" vertical="center" wrapText="1"/>
    </xf>
    <xf numFmtId="0" fontId="17" fillId="2" borderId="45" xfId="0" applyFont="1" applyFill="1" applyBorder="1" applyAlignment="1">
      <alignment vertical="top" wrapText="1"/>
    </xf>
    <xf numFmtId="0" fontId="17" fillId="2" borderId="44" xfId="0" applyFont="1" applyFill="1" applyBorder="1" applyAlignment="1">
      <alignment vertical="top" wrapText="1"/>
    </xf>
    <xf numFmtId="0" fontId="86" fillId="2" borderId="42" xfId="0" applyFont="1" applyFill="1" applyBorder="1" applyAlignment="1">
      <alignment horizontal="left" vertical="top" wrapText="1"/>
    </xf>
    <xf numFmtId="0" fontId="17" fillId="2" borderId="42" xfId="0" applyFont="1" applyFill="1" applyBorder="1" applyAlignment="1">
      <alignment horizontal="left" vertical="center" wrapText="1"/>
    </xf>
    <xf numFmtId="169" fontId="17" fillId="2" borderId="42" xfId="7" applyNumberFormat="1" applyFont="1" applyFill="1" applyBorder="1" applyAlignment="1">
      <alignment horizontal="right" vertical="center" wrapText="1"/>
    </xf>
    <xf numFmtId="0" fontId="73" fillId="2" borderId="42" xfId="0" applyFont="1" applyFill="1" applyBorder="1"/>
    <xf numFmtId="0" fontId="86" fillId="0" borderId="42" xfId="0" applyFont="1" applyBorder="1" applyAlignment="1">
      <alignment horizontal="left" vertical="top" wrapText="1"/>
    </xf>
    <xf numFmtId="0" fontId="73" fillId="0" borderId="42" xfId="8" applyFont="1" applyBorder="1">
      <alignment horizontal="left" vertical="top" wrapText="1"/>
    </xf>
    <xf numFmtId="0" fontId="73" fillId="2" borderId="42" xfId="8" applyFont="1" applyFill="1" applyBorder="1">
      <alignment horizontal="left" vertical="top" wrapText="1"/>
    </xf>
    <xf numFmtId="165" fontId="73" fillId="2" borderId="42" xfId="0" applyNumberFormat="1" applyFont="1" applyFill="1" applyBorder="1"/>
    <xf numFmtId="165" fontId="73" fillId="2" borderId="0" xfId="0" applyNumberFormat="1" applyFont="1" applyFill="1"/>
    <xf numFmtId="0" fontId="17" fillId="2" borderId="42" xfId="0" applyFont="1" applyFill="1" applyBorder="1"/>
    <xf numFmtId="0" fontId="73" fillId="2" borderId="42" xfId="0" applyFont="1" applyFill="1" applyBorder="1" applyAlignment="1">
      <alignment horizontal="center" vertical="top"/>
    </xf>
    <xf numFmtId="165" fontId="73" fillId="2" borderId="42" xfId="6" applyFont="1" applyFill="1" applyBorder="1">
      <alignment horizontal="right" vertical="top"/>
    </xf>
    <xf numFmtId="0" fontId="17" fillId="0" borderId="42" xfId="0" applyFont="1" applyBorder="1" applyAlignment="1">
      <alignment horizontal="left" vertical="top" wrapText="1"/>
    </xf>
    <xf numFmtId="0" fontId="73" fillId="2" borderId="42" xfId="0" applyFont="1" applyFill="1" applyBorder="1" applyAlignment="1">
      <alignment horizontal="left" vertical="center" wrapText="1"/>
    </xf>
    <xf numFmtId="0" fontId="73" fillId="57" borderId="42" xfId="0" applyFont="1" applyFill="1" applyBorder="1" applyAlignment="1">
      <alignment wrapText="1"/>
    </xf>
    <xf numFmtId="169" fontId="73" fillId="2" borderId="42" xfId="7" applyNumberFormat="1" applyFont="1" applyFill="1" applyBorder="1" applyAlignment="1">
      <alignment horizontal="center" vertical="center" wrapText="1"/>
    </xf>
    <xf numFmtId="0" fontId="17" fillId="2" borderId="42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vertical="top" wrapText="1"/>
    </xf>
    <xf numFmtId="49" fontId="17" fillId="2" borderId="2" xfId="0" applyNumberFormat="1" applyFont="1" applyFill="1" applyBorder="1" applyAlignment="1">
      <alignment vertical="top" wrapText="1"/>
    </xf>
    <xf numFmtId="0" fontId="73" fillId="2" borderId="42" xfId="0" applyFont="1" applyFill="1" applyBorder="1" applyAlignment="1">
      <alignment horizontal="center" vertical="top" wrapText="1"/>
    </xf>
    <xf numFmtId="0" fontId="73" fillId="2" borderId="34" xfId="0" applyFont="1" applyFill="1" applyBorder="1" applyAlignment="1">
      <alignment horizontal="center" vertical="top" wrapText="1"/>
    </xf>
    <xf numFmtId="0" fontId="73" fillId="2" borderId="34" xfId="0" applyFont="1" applyFill="1" applyBorder="1" applyAlignment="1">
      <alignment horizontal="left" vertical="top" wrapText="1"/>
    </xf>
    <xf numFmtId="0" fontId="73" fillId="2" borderId="0" xfId="1734" applyFont="1" applyFill="1" applyAlignment="1">
      <alignment horizontal="right" vertical="center"/>
    </xf>
    <xf numFmtId="0" fontId="73" fillId="2" borderId="34" xfId="1735" applyFont="1" applyFill="1" applyBorder="1" applyAlignment="1">
      <alignment horizontal="center" vertical="center" wrapText="1"/>
    </xf>
    <xf numFmtId="0" fontId="86" fillId="2" borderId="27" xfId="0" applyFont="1" applyFill="1" applyBorder="1" applyAlignment="1">
      <alignment vertical="center" wrapText="1"/>
    </xf>
    <xf numFmtId="0" fontId="17" fillId="2" borderId="42" xfId="0" applyFont="1" applyFill="1" applyBorder="1" applyAlignment="1">
      <alignment horizontal="center"/>
    </xf>
    <xf numFmtId="0" fontId="86" fillId="2" borderId="42" xfId="165" applyFont="1" applyFill="1" applyBorder="1">
      <alignment horizontal="left" vertical="top" wrapText="1"/>
    </xf>
    <xf numFmtId="0" fontId="87" fillId="2" borderId="42" xfId="0" applyFont="1" applyFill="1" applyBorder="1" applyAlignment="1">
      <alignment horizontal="left" vertical="top" wrapText="1"/>
    </xf>
    <xf numFmtId="0" fontId="86" fillId="2" borderId="27" xfId="0" applyFont="1" applyFill="1" applyBorder="1" applyAlignment="1">
      <alignment horizontal="left" vertical="top" wrapText="1"/>
    </xf>
    <xf numFmtId="0" fontId="73" fillId="2" borderId="42" xfId="96" applyFont="1" applyFill="1" applyBorder="1" applyAlignment="1">
      <alignment horizontal="center" vertical="center" wrapText="1"/>
    </xf>
    <xf numFmtId="0" fontId="91" fillId="2" borderId="42" xfId="96" applyFont="1" applyFill="1" applyBorder="1" applyAlignment="1">
      <alignment horizontal="center" vertical="center" wrapText="1"/>
    </xf>
    <xf numFmtId="43" fontId="74" fillId="2" borderId="0" xfId="253" applyNumberFormat="1" applyFont="1" applyFill="1"/>
    <xf numFmtId="0" fontId="74" fillId="2" borderId="0" xfId="1660" applyFont="1" applyFill="1" applyAlignment="1">
      <alignment vertical="top"/>
    </xf>
    <xf numFmtId="169" fontId="73" fillId="2" borderId="0" xfId="96" applyNumberFormat="1" applyFont="1" applyFill="1" applyAlignment="1">
      <alignment vertical="top" wrapText="1"/>
    </xf>
    <xf numFmtId="0" fontId="74" fillId="2" borderId="0" xfId="299" applyFont="1" applyFill="1" applyAlignment="1">
      <alignment vertical="top"/>
    </xf>
    <xf numFmtId="169" fontId="73" fillId="2" borderId="0" xfId="96" applyNumberFormat="1" applyFont="1" applyFill="1" applyAlignment="1">
      <alignment vertical="center" wrapText="1"/>
    </xf>
    <xf numFmtId="0" fontId="74" fillId="2" borderId="0" xfId="1660" applyFont="1" applyFill="1"/>
    <xf numFmtId="0" fontId="74" fillId="2" borderId="0" xfId="299" applyFont="1" applyFill="1"/>
    <xf numFmtId="49" fontId="17" fillId="2" borderId="0" xfId="96" applyNumberFormat="1" applyFont="1" applyFill="1" applyAlignment="1">
      <alignment horizontal="center" vertical="center" wrapText="1"/>
    </xf>
    <xf numFmtId="0" fontId="17" fillId="2" borderId="0" xfId="96" applyFont="1" applyFill="1" applyAlignment="1">
      <alignment horizontal="center" vertical="center" wrapText="1"/>
    </xf>
    <xf numFmtId="0" fontId="74" fillId="2" borderId="0" xfId="2028" applyFont="1" applyFill="1"/>
    <xf numFmtId="49" fontId="17" fillId="2" borderId="42" xfId="96" applyNumberFormat="1" applyFont="1" applyFill="1" applyBorder="1" applyAlignment="1">
      <alignment horizontal="center" vertical="center" textRotation="90" wrapText="1"/>
    </xf>
    <xf numFmtId="168" fontId="17" fillId="2" borderId="42" xfId="96" applyNumberFormat="1" applyFont="1" applyFill="1" applyBorder="1" applyAlignment="1">
      <alignment horizontal="center" vertical="center" wrapText="1"/>
    </xf>
    <xf numFmtId="0" fontId="17" fillId="2" borderId="42" xfId="96" applyFont="1" applyFill="1" applyBorder="1" applyAlignment="1">
      <alignment horizontal="center" vertical="center" wrapText="1"/>
    </xf>
    <xf numFmtId="169" fontId="17" fillId="2" borderId="42" xfId="96" applyNumberFormat="1" applyFont="1" applyFill="1" applyBorder="1" applyAlignment="1">
      <alignment horizontal="center" vertical="center" wrapText="1"/>
    </xf>
    <xf numFmtId="43" fontId="74" fillId="2" borderId="0" xfId="299" applyNumberFormat="1" applyFont="1" applyFill="1"/>
    <xf numFmtId="0" fontId="90" fillId="2" borderId="42" xfId="96" applyFont="1" applyFill="1" applyBorder="1" applyAlignment="1">
      <alignment horizontal="center" vertical="center" wrapText="1"/>
    </xf>
    <xf numFmtId="39" fontId="17" fillId="2" borderId="42" xfId="96" applyNumberFormat="1" applyFont="1" applyFill="1" applyBorder="1" applyAlignment="1">
      <alignment horizontal="center" vertical="center" wrapText="1"/>
    </xf>
    <xf numFmtId="168" fontId="73" fillId="2" borderId="42" xfId="96" applyNumberFormat="1" applyFont="1" applyFill="1" applyBorder="1" applyAlignment="1">
      <alignment horizontal="center" vertical="center" wrapText="1"/>
    </xf>
    <xf numFmtId="0" fontId="17" fillId="0" borderId="42" xfId="96" applyFont="1" applyBorder="1" applyAlignment="1">
      <alignment horizontal="left" vertical="center" wrapText="1"/>
    </xf>
    <xf numFmtId="0" fontId="91" fillId="2" borderId="42" xfId="96" applyFont="1" applyFill="1" applyBorder="1" applyAlignment="1">
      <alignment horizontal="left" vertical="center" wrapText="1"/>
    </xf>
    <xf numFmtId="0" fontId="17" fillId="2" borderId="42" xfId="0" applyFont="1" applyFill="1" applyBorder="1" applyAlignment="1">
      <alignment horizontal="center" vertical="center"/>
    </xf>
    <xf numFmtId="169" fontId="17" fillId="2" borderId="27" xfId="8" applyNumberFormat="1" applyFont="1" applyFill="1" applyBorder="1" applyAlignment="1">
      <alignment horizontal="right" vertical="center" wrapText="1"/>
    </xf>
    <xf numFmtId="4" fontId="17" fillId="2" borderId="27" xfId="8" applyNumberFormat="1" applyFont="1" applyFill="1" applyBorder="1" applyAlignment="1">
      <alignment horizontal="center" vertical="top" wrapText="1"/>
    </xf>
    <xf numFmtId="169" fontId="17" fillId="2" borderId="27" xfId="8" applyNumberFormat="1" applyFont="1" applyFill="1" applyBorder="1" applyAlignment="1">
      <alignment horizontal="center" vertical="center" wrapText="1"/>
    </xf>
    <xf numFmtId="0" fontId="74" fillId="2" borderId="42" xfId="0" applyFont="1" applyFill="1" applyBorder="1" applyAlignment="1">
      <alignment vertical="center" wrapText="1"/>
    </xf>
    <xf numFmtId="169" fontId="95" fillId="2" borderId="42" xfId="0" applyNumberFormat="1" applyFont="1" applyFill="1" applyBorder="1" applyAlignment="1">
      <alignment horizontal="right" vertical="center" wrapText="1"/>
    </xf>
    <xf numFmtId="0" fontId="73" fillId="0" borderId="42" xfId="0" applyFont="1" applyBorder="1" applyAlignment="1">
      <alignment horizontal="left" vertical="top" wrapText="1"/>
    </xf>
    <xf numFmtId="0" fontId="73" fillId="2" borderId="42" xfId="0" applyFont="1" applyFill="1" applyBorder="1" applyAlignment="1">
      <alignment vertical="top" wrapText="1"/>
    </xf>
    <xf numFmtId="169" fontId="73" fillId="2" borderId="27" xfId="0" applyNumberFormat="1" applyFont="1" applyFill="1" applyBorder="1" applyAlignment="1">
      <alignment horizontal="right" vertical="top" wrapText="1"/>
    </xf>
    <xf numFmtId="0" fontId="73" fillId="2" borderId="44" xfId="0" applyFont="1" applyFill="1" applyBorder="1" applyAlignment="1">
      <alignment vertical="center"/>
    </xf>
    <xf numFmtId="0" fontId="73" fillId="2" borderId="27" xfId="0" applyFont="1" applyFill="1" applyBorder="1" applyAlignment="1">
      <alignment horizontal="center" vertical="center"/>
    </xf>
    <xf numFmtId="169" fontId="73" fillId="2" borderId="42" xfId="0" applyNumberFormat="1" applyFont="1" applyFill="1" applyBorder="1" applyAlignment="1">
      <alignment horizontal="right" vertical="center" wrapText="1"/>
    </xf>
    <xf numFmtId="165" fontId="73" fillId="2" borderId="42" xfId="6" applyFont="1" applyFill="1" applyBorder="1" applyAlignment="1">
      <alignment horizontal="center" vertical="center"/>
    </xf>
    <xf numFmtId="176" fontId="73" fillId="2" borderId="42" xfId="6" applyNumberFormat="1" applyFont="1" applyFill="1" applyBorder="1" applyAlignment="1">
      <alignment horizontal="center" vertical="center"/>
    </xf>
    <xf numFmtId="0" fontId="17" fillId="2" borderId="42" xfId="0" applyFont="1" applyFill="1" applyBorder="1" applyAlignment="1">
      <alignment vertical="center" wrapText="1"/>
    </xf>
    <xf numFmtId="0" fontId="73" fillId="2" borderId="26" xfId="0" applyFont="1" applyFill="1" applyBorder="1" applyAlignment="1">
      <alignment horizontal="center" vertical="center" wrapText="1"/>
    </xf>
    <xf numFmtId="0" fontId="73" fillId="2" borderId="34" xfId="0" applyFont="1" applyFill="1" applyBorder="1" applyAlignment="1">
      <alignment horizontal="left" vertical="center" wrapText="1"/>
    </xf>
    <xf numFmtId="0" fontId="86" fillId="0" borderId="42" xfId="0" applyFont="1" applyBorder="1" applyAlignment="1">
      <alignment vertical="center" wrapText="1"/>
    </xf>
    <xf numFmtId="0" fontId="73" fillId="2" borderId="43" xfId="0" applyFont="1" applyFill="1" applyBorder="1" applyAlignment="1">
      <alignment vertical="center"/>
    </xf>
    <xf numFmtId="0" fontId="73" fillId="2" borderId="27" xfId="0" applyFont="1" applyFill="1" applyBorder="1" applyAlignment="1">
      <alignment vertical="center"/>
    </xf>
    <xf numFmtId="0" fontId="91" fillId="0" borderId="42" xfId="0" applyFont="1" applyBorder="1" applyAlignment="1">
      <alignment vertical="center" wrapText="1"/>
    </xf>
    <xf numFmtId="0" fontId="17" fillId="0" borderId="42" xfId="0" applyFont="1" applyBorder="1" applyAlignment="1">
      <alignment vertical="center" wrapText="1"/>
    </xf>
    <xf numFmtId="0" fontId="86" fillId="0" borderId="27" xfId="0" applyFont="1" applyBorder="1" applyAlignment="1">
      <alignment vertical="center" wrapText="1"/>
    </xf>
    <xf numFmtId="0" fontId="73" fillId="2" borderId="42" xfId="0" applyFont="1" applyFill="1" applyBorder="1" applyAlignment="1">
      <alignment horizontal="center" vertical="center"/>
    </xf>
    <xf numFmtId="173" fontId="73" fillId="0" borderId="42" xfId="0" applyNumberFormat="1" applyFont="1" applyBorder="1" applyAlignment="1">
      <alignment horizontal="center" vertical="center"/>
    </xf>
    <xf numFmtId="169" fontId="73" fillId="0" borderId="42" xfId="0" applyNumberFormat="1" applyFont="1" applyBorder="1" applyAlignment="1">
      <alignment horizontal="right" vertical="center" wrapText="1"/>
    </xf>
    <xf numFmtId="0" fontId="74" fillId="2" borderId="42" xfId="299" applyFont="1" applyFill="1" applyBorder="1"/>
    <xf numFmtId="0" fontId="74" fillId="2" borderId="42" xfId="253" applyFont="1" applyFill="1" applyBorder="1"/>
    <xf numFmtId="49" fontId="17" fillId="2" borderId="42" xfId="96" applyNumberFormat="1" applyFont="1" applyFill="1" applyBorder="1" applyAlignment="1">
      <alignment vertical="center" textRotation="90" wrapText="1"/>
    </xf>
    <xf numFmtId="43" fontId="91" fillId="2" borderId="42" xfId="7" applyFont="1" applyFill="1" applyBorder="1" applyAlignment="1">
      <alignment horizontal="center" vertical="center" wrapText="1"/>
    </xf>
    <xf numFmtId="43" fontId="73" fillId="2" borderId="42" xfId="7" applyFont="1" applyFill="1" applyBorder="1" applyAlignment="1">
      <alignment vertical="center" wrapText="1"/>
    </xf>
    <xf numFmtId="166" fontId="73" fillId="2" borderId="42" xfId="96" applyNumberFormat="1" applyFont="1" applyFill="1" applyBorder="1" applyAlignment="1">
      <alignment vertical="center" wrapText="1"/>
    </xf>
    <xf numFmtId="43" fontId="17" fillId="2" borderId="42" xfId="7" applyFont="1" applyFill="1" applyBorder="1" applyAlignment="1">
      <alignment horizontal="center" vertical="center" wrapText="1"/>
    </xf>
    <xf numFmtId="166" fontId="17" fillId="2" borderId="42" xfId="7" applyNumberFormat="1" applyFont="1" applyFill="1" applyBorder="1" applyAlignment="1">
      <alignment vertical="center" wrapText="1"/>
    </xf>
    <xf numFmtId="166" fontId="73" fillId="0" borderId="42" xfId="7" applyNumberFormat="1" applyFont="1" applyFill="1" applyBorder="1" applyAlignment="1">
      <alignment vertical="center" wrapText="1"/>
    </xf>
    <xf numFmtId="177" fontId="74" fillId="2" borderId="0" xfId="2027" applyNumberFormat="1" applyFont="1" applyFill="1"/>
    <xf numFmtId="0" fontId="97" fillId="0" borderId="42" xfId="0" applyFont="1" applyBorder="1" applyAlignment="1">
      <alignment horizontal="left" vertical="top" wrapText="1"/>
    </xf>
    <xf numFmtId="0" fontId="17" fillId="2" borderId="26" xfId="0" applyFont="1" applyFill="1" applyBorder="1" applyAlignment="1">
      <alignment horizontal="center" vertical="center" wrapText="1"/>
    </xf>
    <xf numFmtId="166" fontId="73" fillId="2" borderId="42" xfId="7" applyNumberFormat="1" applyFont="1" applyFill="1" applyBorder="1" applyAlignment="1">
      <alignment horizontal="right" vertical="center" wrapText="1"/>
    </xf>
    <xf numFmtId="166" fontId="73" fillId="2" borderId="42" xfId="7" applyNumberFormat="1" applyFont="1" applyFill="1" applyBorder="1" applyAlignment="1">
      <alignment horizontal="center" vertical="center" wrapText="1"/>
    </xf>
    <xf numFmtId="169" fontId="73" fillId="0" borderId="42" xfId="7" applyNumberFormat="1" applyFont="1" applyFill="1" applyBorder="1" applyAlignment="1">
      <alignment horizontal="center" vertical="center" wrapText="1"/>
    </xf>
    <xf numFmtId="0" fontId="17" fillId="2" borderId="42" xfId="0" applyFont="1" applyFill="1" applyBorder="1" applyAlignment="1">
      <alignment vertical="top" wrapText="1"/>
    </xf>
    <xf numFmtId="0" fontId="17" fillId="2" borderId="42" xfId="0" applyFont="1" applyFill="1" applyBorder="1" applyAlignment="1">
      <alignment horizontal="center" vertical="top"/>
    </xf>
    <xf numFmtId="169" fontId="17" fillId="0" borderId="25" xfId="7" applyNumberFormat="1" applyFont="1" applyFill="1" applyBorder="1" applyAlignment="1">
      <alignment horizontal="center" vertical="center" wrapText="1"/>
    </xf>
    <xf numFmtId="43" fontId="73" fillId="2" borderId="42" xfId="7" applyFont="1" applyFill="1" applyBorder="1" applyAlignment="1">
      <alignment horizontal="center" vertical="center" wrapText="1"/>
    </xf>
    <xf numFmtId="169" fontId="86" fillId="2" borderId="42" xfId="7" applyNumberFormat="1" applyFont="1" applyFill="1" applyBorder="1" applyAlignment="1">
      <alignment horizontal="right" vertical="center" wrapText="1"/>
    </xf>
    <xf numFmtId="169" fontId="73" fillId="2" borderId="42" xfId="7" applyNumberFormat="1" applyFont="1" applyFill="1" applyBorder="1" applyAlignment="1">
      <alignment horizontal="right" vertical="center" wrapText="1"/>
    </xf>
    <xf numFmtId="0" fontId="74" fillId="0" borderId="27" xfId="0" applyFont="1" applyBorder="1" applyAlignment="1">
      <alignment horizontal="left" vertical="top" wrapText="1"/>
    </xf>
    <xf numFmtId="39" fontId="17" fillId="2" borderId="42" xfId="7" applyNumberFormat="1" applyFont="1" applyFill="1" applyBorder="1" applyAlignment="1">
      <alignment horizontal="center" vertical="center" wrapText="1"/>
    </xf>
    <xf numFmtId="165" fontId="17" fillId="2" borderId="42" xfId="8" applyNumberFormat="1" applyFont="1" applyFill="1" applyBorder="1" applyAlignment="1">
      <alignment horizontal="center" vertical="center" wrapText="1"/>
    </xf>
    <xf numFmtId="169" fontId="17" fillId="2" borderId="42" xfId="0" applyNumberFormat="1" applyFont="1" applyFill="1" applyBorder="1" applyAlignment="1">
      <alignment horizontal="center" vertical="center"/>
    </xf>
    <xf numFmtId="165" fontId="73" fillId="2" borderId="42" xfId="8" applyNumberFormat="1" applyFont="1" applyFill="1" applyBorder="1" applyAlignment="1">
      <alignment horizontal="center" vertical="center" wrapText="1"/>
    </xf>
    <xf numFmtId="168" fontId="17" fillId="2" borderId="42" xfId="0" applyNumberFormat="1" applyFont="1" applyFill="1" applyBorder="1" applyAlignment="1">
      <alignment horizontal="center" vertical="center"/>
    </xf>
    <xf numFmtId="0" fontId="17" fillId="2" borderId="42" xfId="0" applyFont="1" applyFill="1" applyBorder="1" applyAlignment="1">
      <alignment wrapText="1"/>
    </xf>
    <xf numFmtId="0" fontId="17" fillId="2" borderId="42" xfId="0" applyFont="1" applyFill="1" applyBorder="1" applyAlignment="1">
      <alignment horizontal="center" wrapText="1"/>
    </xf>
    <xf numFmtId="165" fontId="17" fillId="2" borderId="42" xfId="6" applyFont="1" applyFill="1" applyBorder="1" applyAlignment="1">
      <alignment horizontal="right" vertical="center"/>
    </xf>
    <xf numFmtId="165" fontId="73" fillId="2" borderId="42" xfId="6" applyFont="1" applyFill="1" applyBorder="1" applyAlignment="1">
      <alignment horizontal="right" vertical="center"/>
    </xf>
    <xf numFmtId="165" fontId="86" fillId="2" borderId="42" xfId="6" applyFont="1" applyFill="1" applyBorder="1" applyAlignment="1">
      <alignment horizontal="right" vertical="center"/>
    </xf>
    <xf numFmtId="0" fontId="17" fillId="2" borderId="6" xfId="0" applyFont="1" applyFill="1" applyBorder="1" applyAlignment="1">
      <alignment horizontal="center" vertical="top" wrapText="1"/>
    </xf>
    <xf numFmtId="0" fontId="17" fillId="2" borderId="44" xfId="0" applyFont="1" applyFill="1" applyBorder="1" applyAlignment="1">
      <alignment horizontal="center" vertical="top" wrapText="1"/>
    </xf>
    <xf numFmtId="0" fontId="87" fillId="0" borderId="42" xfId="0" applyFont="1" applyBorder="1" applyAlignment="1">
      <alignment horizontal="left" vertical="top" wrapText="1"/>
    </xf>
    <xf numFmtId="0" fontId="86" fillId="2" borderId="3" xfId="0" applyFont="1" applyFill="1" applyBorder="1" applyAlignment="1">
      <alignment horizontal="right" vertical="center" wrapText="1"/>
    </xf>
    <xf numFmtId="174" fontId="86" fillId="2" borderId="3" xfId="7" applyNumberFormat="1" applyFont="1" applyFill="1" applyBorder="1" applyAlignment="1">
      <alignment horizontal="right" vertical="center" wrapText="1"/>
    </xf>
    <xf numFmtId="0" fontId="73" fillId="2" borderId="42" xfId="0" applyFont="1" applyFill="1" applyBorder="1" applyAlignment="1">
      <alignment wrapText="1"/>
    </xf>
    <xf numFmtId="0" fontId="73" fillId="2" borderId="42" xfId="0" applyFont="1" applyFill="1" applyBorder="1" applyAlignment="1">
      <alignment vertical="center" wrapText="1"/>
    </xf>
    <xf numFmtId="0" fontId="74" fillId="2" borderId="42" xfId="0" applyFont="1" applyFill="1" applyBorder="1" applyAlignment="1">
      <alignment wrapText="1"/>
    </xf>
    <xf numFmtId="0" fontId="74" fillId="2" borderId="42" xfId="0" applyFont="1" applyFill="1" applyBorder="1" applyAlignment="1">
      <alignment vertical="top" wrapText="1"/>
    </xf>
    <xf numFmtId="0" fontId="74" fillId="2" borderId="42" xfId="0" applyFont="1" applyFill="1" applyBorder="1" applyAlignment="1">
      <alignment horizontal="left" vertical="top" wrapText="1"/>
    </xf>
    <xf numFmtId="0" fontId="14" fillId="2" borderId="0" xfId="0" applyFont="1" applyFill="1" applyAlignment="1">
      <alignment vertical="top" wrapText="1"/>
    </xf>
    <xf numFmtId="0" fontId="73" fillId="2" borderId="43" xfId="0" applyFont="1" applyFill="1" applyBorder="1" applyAlignment="1">
      <alignment horizontal="left" vertical="top" wrapText="1"/>
    </xf>
    <xf numFmtId="0" fontId="73" fillId="2" borderId="42" xfId="0" applyFont="1" applyFill="1" applyBorder="1" applyAlignment="1">
      <alignment horizontal="left" vertical="center"/>
    </xf>
    <xf numFmtId="166" fontId="73" fillId="2" borderId="42" xfId="7" applyNumberFormat="1" applyFont="1" applyFill="1" applyBorder="1" applyAlignment="1">
      <alignment horizontal="right" vertical="center"/>
    </xf>
    <xf numFmtId="0" fontId="14" fillId="2" borderId="42" xfId="0" applyFont="1" applyFill="1" applyBorder="1" applyAlignment="1">
      <alignment horizontal="center" vertical="top" wrapText="1"/>
    </xf>
    <xf numFmtId="0" fontId="17" fillId="2" borderId="42" xfId="0" applyFont="1" applyFill="1" applyBorder="1" applyAlignment="1">
      <alignment horizontal="center" vertical="top" wrapText="1"/>
    </xf>
    <xf numFmtId="0" fontId="73" fillId="0" borderId="27" xfId="0" applyFont="1" applyBorder="1" applyAlignment="1">
      <alignment horizontal="left" vertical="top" wrapText="1"/>
    </xf>
    <xf numFmtId="0" fontId="17" fillId="2" borderId="42" xfId="96" applyFont="1" applyFill="1" applyBorder="1" applyAlignment="1">
      <alignment horizontal="left" vertical="center" wrapText="1"/>
    </xf>
    <xf numFmtId="166" fontId="73" fillId="57" borderId="27" xfId="0" applyNumberFormat="1" applyFont="1" applyFill="1" applyBorder="1" applyAlignment="1">
      <alignment horizontal="right" vertical="center" wrapText="1"/>
    </xf>
    <xf numFmtId="0" fontId="73" fillId="0" borderId="42" xfId="0" applyFont="1" applyBorder="1" applyAlignment="1">
      <alignment vertical="top" wrapText="1"/>
    </xf>
    <xf numFmtId="169" fontId="73" fillId="0" borderId="27" xfId="0" applyNumberFormat="1" applyFont="1" applyBorder="1" applyAlignment="1">
      <alignment horizontal="right" vertical="top" wrapText="1"/>
    </xf>
    <xf numFmtId="0" fontId="73" fillId="0" borderId="0" xfId="0" applyFont="1" applyAlignment="1">
      <alignment vertical="top"/>
    </xf>
    <xf numFmtId="0" fontId="73" fillId="2" borderId="42" xfId="0" applyFont="1" applyFill="1" applyBorder="1" applyAlignment="1">
      <alignment vertical="center"/>
    </xf>
    <xf numFmtId="0" fontId="100" fillId="2" borderId="0" xfId="0" applyFont="1" applyFill="1"/>
    <xf numFmtId="0" fontId="100" fillId="2" borderId="0" xfId="0" applyFont="1" applyFill="1" applyAlignment="1">
      <alignment horizontal="left" vertical="center" wrapText="1"/>
    </xf>
    <xf numFmtId="165" fontId="17" fillId="2" borderId="27" xfId="0" applyNumberFormat="1" applyFont="1" applyFill="1" applyBorder="1" applyAlignment="1">
      <alignment vertical="center" wrapText="1"/>
    </xf>
    <xf numFmtId="169" fontId="17" fillId="2" borderId="27" xfId="7" applyNumberFormat="1" applyFont="1" applyFill="1" applyBorder="1" applyAlignment="1">
      <alignment horizontal="center" vertical="center" wrapText="1"/>
    </xf>
    <xf numFmtId="2" fontId="73" fillId="2" borderId="0" xfId="8" applyNumberFormat="1" applyFont="1" applyFill="1">
      <alignment horizontal="left" vertical="top" wrapText="1"/>
    </xf>
    <xf numFmtId="0" fontId="86" fillId="2" borderId="42" xfId="0" applyFont="1" applyFill="1" applyBorder="1" applyAlignment="1">
      <alignment vertical="center" wrapText="1"/>
    </xf>
    <xf numFmtId="166" fontId="86" fillId="2" borderId="42" xfId="223" applyNumberFormat="1" applyFont="1" applyFill="1" applyBorder="1" applyAlignment="1">
      <alignment vertical="center"/>
    </xf>
    <xf numFmtId="0" fontId="98" fillId="2" borderId="0" xfId="0" applyFont="1" applyFill="1"/>
    <xf numFmtId="0" fontId="73" fillId="2" borderId="26" xfId="0" applyFont="1" applyFill="1" applyBorder="1"/>
    <xf numFmtId="166" fontId="91" fillId="2" borderId="42" xfId="223" applyNumberFormat="1" applyFont="1" applyFill="1" applyBorder="1"/>
    <xf numFmtId="0" fontId="99" fillId="2" borderId="0" xfId="0" applyFont="1" applyFill="1"/>
    <xf numFmtId="0" fontId="73" fillId="2" borderId="26" xfId="0" applyFont="1" applyFill="1" applyBorder="1" applyAlignment="1">
      <alignment horizontal="center"/>
    </xf>
    <xf numFmtId="165" fontId="17" fillId="2" borderId="42" xfId="6" applyFont="1" applyFill="1" applyBorder="1" applyAlignment="1">
      <alignment horizontal="center" vertical="center"/>
    </xf>
    <xf numFmtId="0" fontId="17" fillId="2" borderId="42" xfId="96" applyFont="1" applyFill="1" applyBorder="1" applyAlignment="1">
      <alignment vertical="center" wrapText="1"/>
    </xf>
    <xf numFmtId="0" fontId="73" fillId="2" borderId="42" xfId="0" applyFont="1" applyFill="1" applyBorder="1" applyAlignment="1">
      <alignment horizontal="center"/>
    </xf>
    <xf numFmtId="175" fontId="73" fillId="2" borderId="42" xfId="2029" applyNumberFormat="1" applyFont="1" applyFill="1" applyBorder="1"/>
    <xf numFmtId="166" fontId="73" fillId="2" borderId="42" xfId="0" applyNumberFormat="1" applyFont="1" applyFill="1" applyBorder="1"/>
    <xf numFmtId="166" fontId="91" fillId="2" borderId="42" xfId="223" applyNumberFormat="1" applyFont="1" applyFill="1" applyBorder="1" applyAlignment="1">
      <alignment vertical="center"/>
    </xf>
    <xf numFmtId="0" fontId="73" fillId="57" borderId="42" xfId="0" applyFont="1" applyFill="1" applyBorder="1" applyAlignment="1">
      <alignment vertical="center" wrapText="1"/>
    </xf>
    <xf numFmtId="39" fontId="73" fillId="57" borderId="27" xfId="0" applyNumberFormat="1" applyFont="1" applyFill="1" applyBorder="1" applyAlignment="1">
      <alignment horizontal="right" vertical="center" wrapText="1"/>
    </xf>
    <xf numFmtId="0" fontId="73" fillId="2" borderId="42" xfId="299" applyFont="1" applyFill="1" applyBorder="1" applyAlignment="1">
      <alignment vertical="top"/>
    </xf>
    <xf numFmtId="169" fontId="73" fillId="2" borderId="37" xfId="0" applyNumberFormat="1" applyFont="1" applyFill="1" applyBorder="1" applyAlignment="1">
      <alignment horizontal="right" vertical="top" wrapText="1"/>
    </xf>
    <xf numFmtId="0" fontId="73" fillId="2" borderId="35" xfId="0" applyFont="1" applyFill="1" applyBorder="1" applyAlignment="1">
      <alignment vertical="center"/>
    </xf>
    <xf numFmtId="0" fontId="73" fillId="2" borderId="36" xfId="0" applyFont="1" applyFill="1" applyBorder="1" applyAlignment="1">
      <alignment vertical="center"/>
    </xf>
    <xf numFmtId="0" fontId="73" fillId="2" borderId="37" xfId="0" applyFont="1" applyFill="1" applyBorder="1" applyAlignment="1">
      <alignment vertical="center"/>
    </xf>
    <xf numFmtId="169" fontId="73" fillId="2" borderId="34" xfId="0" applyNumberFormat="1" applyFont="1" applyFill="1" applyBorder="1" applyAlignment="1">
      <alignment horizontal="right" vertical="center" wrapText="1"/>
    </xf>
    <xf numFmtId="0" fontId="73" fillId="2" borderId="34" xfId="0" applyFont="1" applyFill="1" applyBorder="1" applyAlignment="1">
      <alignment horizontal="center" vertical="center" wrapText="1"/>
    </xf>
    <xf numFmtId="165" fontId="73" fillId="2" borderId="34" xfId="6" applyFont="1" applyFill="1" applyBorder="1" applyAlignment="1">
      <alignment horizontal="center" vertical="center"/>
    </xf>
    <xf numFmtId="173" fontId="73" fillId="0" borderId="34" xfId="0" applyNumberFormat="1" applyFont="1" applyBorder="1" applyAlignment="1">
      <alignment horizontal="center" vertical="center"/>
    </xf>
    <xf numFmtId="0" fontId="73" fillId="2" borderId="37" xfId="0" applyFont="1" applyFill="1" applyBorder="1" applyAlignment="1">
      <alignment horizontal="center" vertical="center"/>
    </xf>
    <xf numFmtId="169" fontId="73" fillId="57" borderId="27" xfId="0" applyNumberFormat="1" applyFont="1" applyFill="1" applyBorder="1" applyAlignment="1">
      <alignment horizontal="right" vertical="center" wrapText="1"/>
    </xf>
    <xf numFmtId="0" fontId="73" fillId="0" borderId="42" xfId="0" applyFont="1" applyBorder="1" applyAlignment="1">
      <alignment horizontal="left" vertical="center" wrapText="1"/>
    </xf>
    <xf numFmtId="0" fontId="73" fillId="0" borderId="42" xfId="0" applyFont="1" applyBorder="1" applyAlignment="1">
      <alignment horizontal="center" vertical="center"/>
    </xf>
    <xf numFmtId="0" fontId="73" fillId="0" borderId="42" xfId="0" applyFont="1" applyBorder="1" applyAlignment="1">
      <alignment horizontal="center" vertical="center" wrapText="1"/>
    </xf>
    <xf numFmtId="165" fontId="73" fillId="0" borderId="42" xfId="6" applyFont="1" applyFill="1" applyBorder="1" applyAlignment="1">
      <alignment horizontal="center" vertical="center"/>
    </xf>
    <xf numFmtId="176" fontId="73" fillId="0" borderId="42" xfId="6" applyNumberFormat="1" applyFont="1" applyFill="1" applyBorder="1" applyAlignment="1">
      <alignment horizontal="center" vertical="center"/>
    </xf>
    <xf numFmtId="0" fontId="73" fillId="0" borderId="0" xfId="0" applyFont="1" applyAlignment="1">
      <alignment horizontal="left" vertical="center" wrapText="1"/>
    </xf>
    <xf numFmtId="0" fontId="73" fillId="0" borderId="42" xfId="0" applyFont="1" applyBorder="1" applyAlignment="1">
      <alignment vertical="center" wrapText="1"/>
    </xf>
    <xf numFmtId="43" fontId="73" fillId="2" borderId="42" xfId="7" applyFont="1" applyFill="1" applyBorder="1" applyAlignment="1">
      <alignment horizontal="right" vertical="top" wrapText="1"/>
    </xf>
    <xf numFmtId="0" fontId="73" fillId="2" borderId="43" xfId="1737" applyFont="1" applyFill="1" applyBorder="1" applyAlignment="1">
      <alignment vertical="center"/>
    </xf>
    <xf numFmtId="0" fontId="73" fillId="2" borderId="44" xfId="1737" applyFont="1" applyFill="1" applyBorder="1" applyAlignment="1">
      <alignment vertical="center"/>
    </xf>
    <xf numFmtId="0" fontId="73" fillId="2" borderId="44" xfId="1737" applyFont="1" applyFill="1" applyBorder="1" applyAlignment="1">
      <alignment horizontal="center" vertical="center"/>
    </xf>
    <xf numFmtId="169" fontId="73" fillId="2" borderId="27" xfId="1737" applyNumberFormat="1" applyFont="1" applyFill="1" applyBorder="1" applyAlignment="1">
      <alignment vertical="center"/>
    </xf>
    <xf numFmtId="165" fontId="73" fillId="0" borderId="42" xfId="6" applyFont="1" applyBorder="1" applyAlignment="1">
      <alignment horizontal="center" vertical="center"/>
    </xf>
    <xf numFmtId="0" fontId="73" fillId="2" borderId="0" xfId="299" applyFont="1" applyFill="1" applyAlignment="1">
      <alignment horizontal="left" vertical="center" wrapText="1"/>
    </xf>
    <xf numFmtId="0" fontId="73" fillId="2" borderId="2" xfId="0" applyFont="1" applyFill="1" applyBorder="1" applyAlignment="1">
      <alignment horizontal="center" vertical="center" wrapText="1"/>
    </xf>
    <xf numFmtId="0" fontId="17" fillId="2" borderId="26" xfId="96" applyFont="1" applyFill="1" applyBorder="1" applyAlignment="1">
      <alignment horizontal="center" vertical="center" wrapText="1"/>
    </xf>
    <xf numFmtId="0" fontId="94" fillId="2" borderId="3" xfId="0" applyFont="1" applyFill="1" applyBorder="1" applyAlignment="1">
      <alignment horizontal="center"/>
    </xf>
    <xf numFmtId="0" fontId="14" fillId="2" borderId="34" xfId="0" applyFont="1" applyFill="1" applyBorder="1" applyAlignment="1">
      <alignment horizontal="center" vertical="top" wrapText="1"/>
    </xf>
    <xf numFmtId="0" fontId="73" fillId="2" borderId="38" xfId="0" applyFont="1" applyFill="1" applyBorder="1" applyAlignment="1">
      <alignment horizontal="right"/>
    </xf>
    <xf numFmtId="174" fontId="73" fillId="2" borderId="0" xfId="7" applyNumberFormat="1" applyFont="1" applyFill="1" applyAlignment="1">
      <alignment horizontal="left" vertical="center" wrapText="1"/>
    </xf>
    <xf numFmtId="0" fontId="99" fillId="2" borderId="0" xfId="208" applyFont="1" applyFill="1"/>
    <xf numFmtId="0" fontId="99" fillId="2" borderId="0" xfId="208" applyFont="1" applyFill="1" applyAlignment="1">
      <alignment vertical="center"/>
    </xf>
    <xf numFmtId="43" fontId="17" fillId="59" borderId="42" xfId="7" applyFont="1" applyFill="1" applyBorder="1" applyAlignment="1">
      <alignment vertical="top" wrapText="1"/>
    </xf>
    <xf numFmtId="166" fontId="73" fillId="2" borderId="0" xfId="0" applyNumberFormat="1" applyFont="1" applyFill="1"/>
    <xf numFmtId="39" fontId="73" fillId="2" borderId="0" xfId="0" applyNumberFormat="1" applyFont="1" applyFill="1"/>
    <xf numFmtId="169" fontId="73" fillId="2" borderId="0" xfId="0" applyNumberFormat="1" applyFont="1" applyFill="1" applyAlignment="1">
      <alignment vertical="top"/>
    </xf>
    <xf numFmtId="0" fontId="17" fillId="2" borderId="2" xfId="96" applyFont="1" applyFill="1" applyBorder="1" applyAlignment="1">
      <alignment horizontal="center" vertical="center" wrapText="1"/>
    </xf>
    <xf numFmtId="0" fontId="73" fillId="2" borderId="27" xfId="0" applyFont="1" applyFill="1" applyBorder="1" applyAlignment="1">
      <alignment horizontal="center"/>
    </xf>
    <xf numFmtId="43" fontId="73" fillId="2" borderId="0" xfId="7" applyFont="1" applyFill="1"/>
    <xf numFmtId="0" fontId="91" fillId="2" borderId="42" xfId="0" applyFont="1" applyFill="1" applyBorder="1" applyAlignment="1">
      <alignment vertical="center" wrapText="1"/>
    </xf>
    <xf numFmtId="166" fontId="91" fillId="2" borderId="42" xfId="7" applyNumberFormat="1" applyFont="1" applyFill="1" applyBorder="1"/>
    <xf numFmtId="166" fontId="86" fillId="2" borderId="42" xfId="7" applyNumberFormat="1" applyFont="1" applyFill="1" applyBorder="1" applyAlignment="1">
      <alignment vertical="center"/>
    </xf>
    <xf numFmtId="0" fontId="73" fillId="2" borderId="3" xfId="96" applyFont="1" applyFill="1" applyBorder="1" applyAlignment="1">
      <alignment horizontal="center" vertical="center" wrapText="1"/>
    </xf>
    <xf numFmtId="0" fontId="73" fillId="2" borderId="42" xfId="299" applyFont="1" applyFill="1" applyBorder="1"/>
    <xf numFmtId="0" fontId="73" fillId="2" borderId="42" xfId="208" applyFont="1" applyFill="1" applyBorder="1" applyAlignment="1">
      <alignment horizontal="center"/>
    </xf>
    <xf numFmtId="0" fontId="73" fillId="2" borderId="42" xfId="208" applyFont="1" applyFill="1" applyBorder="1" applyAlignment="1">
      <alignment horizontal="left"/>
    </xf>
    <xf numFmtId="169" fontId="73" fillId="2" borderId="42" xfId="208" applyNumberFormat="1" applyFont="1" applyFill="1" applyBorder="1"/>
    <xf numFmtId="43" fontId="73" fillId="2" borderId="42" xfId="217" applyFont="1" applyFill="1" applyBorder="1"/>
    <xf numFmtId="0" fontId="73" fillId="2" borderId="42" xfId="208" applyFont="1" applyFill="1" applyBorder="1"/>
    <xf numFmtId="0" fontId="98" fillId="2" borderId="0" xfId="208" applyFont="1" applyFill="1"/>
    <xf numFmtId="0" fontId="91" fillId="2" borderId="27" xfId="96" applyFont="1" applyFill="1" applyBorder="1" applyAlignment="1">
      <alignment horizontal="left" vertical="center" wrapText="1"/>
    </xf>
    <xf numFmtId="169" fontId="91" fillId="2" borderId="42" xfId="2030" applyNumberFormat="1" applyFont="1" applyFill="1" applyBorder="1" applyAlignment="1">
      <alignment vertical="center"/>
    </xf>
    <xf numFmtId="166" fontId="91" fillId="2" borderId="42" xfId="2030" applyNumberFormat="1" applyFont="1" applyFill="1" applyBorder="1" applyAlignment="1">
      <alignment vertical="center"/>
    </xf>
    <xf numFmtId="43" fontId="17" fillId="2" borderId="42" xfId="6" applyNumberFormat="1" applyFont="1" applyFill="1" applyBorder="1" applyAlignment="1">
      <alignment horizontal="center" vertical="center"/>
    </xf>
    <xf numFmtId="0" fontId="73" fillId="2" borderId="3" xfId="208" applyFont="1" applyFill="1" applyBorder="1" applyAlignment="1">
      <alignment horizontal="center"/>
    </xf>
    <xf numFmtId="0" fontId="86" fillId="2" borderId="27" xfId="208" applyFont="1" applyFill="1" applyBorder="1" applyAlignment="1">
      <alignment vertical="center" wrapText="1"/>
    </xf>
    <xf numFmtId="169" fontId="86" fillId="2" borderId="42" xfId="2030" applyNumberFormat="1" applyFont="1" applyFill="1" applyBorder="1" applyAlignment="1">
      <alignment vertical="center"/>
    </xf>
    <xf numFmtId="166" fontId="86" fillId="2" borderId="42" xfId="2030" applyNumberFormat="1" applyFont="1" applyFill="1" applyBorder="1" applyAlignment="1">
      <alignment vertical="center"/>
    </xf>
    <xf numFmtId="0" fontId="86" fillId="2" borderId="42" xfId="208" applyFont="1" applyFill="1" applyBorder="1" applyAlignment="1">
      <alignment vertical="center"/>
    </xf>
    <xf numFmtId="0" fontId="96" fillId="2" borderId="42" xfId="96" applyFont="1" applyFill="1" applyBorder="1" applyAlignment="1">
      <alignment vertical="center" wrapText="1"/>
    </xf>
    <xf numFmtId="43" fontId="74" fillId="2" borderId="0" xfId="1660" applyNumberFormat="1" applyFont="1" applyFill="1"/>
    <xf numFmtId="39" fontId="74" fillId="2" borderId="0" xfId="299" applyNumberFormat="1" applyFont="1" applyFill="1"/>
    <xf numFmtId="169" fontId="73" fillId="0" borderId="0" xfId="0" applyNumberFormat="1" applyFont="1" applyAlignment="1">
      <alignment vertical="top"/>
    </xf>
    <xf numFmtId="0" fontId="74" fillId="2" borderId="0" xfId="253" applyFont="1" applyFill="1" applyAlignment="1">
      <alignment horizontal="right"/>
    </xf>
    <xf numFmtId="168" fontId="93" fillId="2" borderId="42" xfId="96" applyNumberFormat="1" applyFont="1" applyFill="1" applyBorder="1" applyAlignment="1">
      <alignment horizontal="center" vertical="center" wrapText="1"/>
    </xf>
    <xf numFmtId="0" fontId="74" fillId="2" borderId="3" xfId="253" applyFont="1" applyFill="1" applyBorder="1" applyAlignment="1">
      <alignment horizontal="center"/>
    </xf>
    <xf numFmtId="0" fontId="17" fillId="2" borderId="3" xfId="0" applyFont="1" applyFill="1" applyBorder="1" applyAlignment="1">
      <alignment vertical="center" wrapText="1"/>
    </xf>
    <xf numFmtId="39" fontId="74" fillId="2" borderId="0" xfId="1660" applyNumberFormat="1" applyFont="1" applyFill="1"/>
    <xf numFmtId="0" fontId="101" fillId="2" borderId="0" xfId="0" applyFont="1" applyFill="1"/>
    <xf numFmtId="0" fontId="102" fillId="2" borderId="0" xfId="0" applyFont="1" applyFill="1"/>
    <xf numFmtId="0" fontId="102" fillId="2" borderId="34" xfId="0" applyFont="1" applyFill="1" applyBorder="1" applyAlignment="1">
      <alignment vertical="top" wrapText="1"/>
    </xf>
    <xf numFmtId="0" fontId="103" fillId="2" borderId="34" xfId="0" applyFont="1" applyFill="1" applyBorder="1" applyAlignment="1">
      <alignment horizontal="left" vertical="top" wrapText="1"/>
    </xf>
    <xf numFmtId="168" fontId="102" fillId="2" borderId="42" xfId="96" applyNumberFormat="1" applyFont="1" applyFill="1" applyBorder="1" applyAlignment="1">
      <alignment horizontal="center" vertical="center" wrapText="1"/>
    </xf>
    <xf numFmtId="0" fontId="102" fillId="2" borderId="1" xfId="0" applyFont="1" applyFill="1" applyBorder="1" applyAlignment="1">
      <alignment horizontal="center" vertical="top" wrapText="1"/>
    </xf>
    <xf numFmtId="0" fontId="102" fillId="2" borderId="34" xfId="0" applyFont="1" applyFill="1" applyBorder="1" applyAlignment="1">
      <alignment wrapText="1"/>
    </xf>
    <xf numFmtId="0" fontId="102" fillId="2" borderId="34" xfId="0" applyFont="1" applyFill="1" applyBorder="1" applyAlignment="1">
      <alignment vertical="center" wrapText="1"/>
    </xf>
    <xf numFmtId="0" fontId="102" fillId="2" borderId="34" xfId="0" applyFont="1" applyFill="1" applyBorder="1" applyAlignment="1">
      <alignment horizontal="left" vertical="top" wrapText="1"/>
    </xf>
    <xf numFmtId="0" fontId="102" fillId="2" borderId="0" xfId="0" applyFont="1" applyFill="1" applyAlignment="1">
      <alignment vertical="center"/>
    </xf>
    <xf numFmtId="0" fontId="102" fillId="2" borderId="1" xfId="0" applyFont="1" applyFill="1" applyBorder="1" applyAlignment="1">
      <alignment horizontal="left" vertical="center"/>
    </xf>
    <xf numFmtId="43" fontId="102" fillId="2" borderId="1" xfId="7" applyFont="1" applyFill="1" applyBorder="1" applyAlignment="1">
      <alignment horizontal="right" vertical="center"/>
    </xf>
    <xf numFmtId="168" fontId="102" fillId="2" borderId="0" xfId="0" applyNumberFormat="1" applyFont="1" applyFill="1" applyAlignment="1">
      <alignment vertical="center"/>
    </xf>
    <xf numFmtId="43" fontId="73" fillId="2" borderId="0" xfId="299" applyNumberFormat="1" applyFont="1" applyFill="1"/>
    <xf numFmtId="169" fontId="73" fillId="2" borderId="0" xfId="299" applyNumberFormat="1" applyFont="1" applyFill="1" applyAlignment="1">
      <alignment vertical="center"/>
    </xf>
    <xf numFmtId="169" fontId="73" fillId="2" borderId="0" xfId="0" applyNumberFormat="1" applyFont="1" applyFill="1" applyAlignment="1">
      <alignment horizontal="left" vertical="center" wrapText="1"/>
    </xf>
    <xf numFmtId="0" fontId="73" fillId="2" borderId="0" xfId="8" applyFont="1" applyFill="1" applyAlignment="1">
      <alignment vertical="center" wrapText="1"/>
    </xf>
    <xf numFmtId="0" fontId="73" fillId="2" borderId="0" xfId="8" applyFont="1" applyFill="1" applyAlignment="1">
      <alignment horizontal="right" vertical="center"/>
    </xf>
    <xf numFmtId="0" fontId="73" fillId="2" borderId="0" xfId="8" applyFont="1" applyFill="1" applyAlignment="1">
      <alignment horizontal="right" vertical="top"/>
    </xf>
    <xf numFmtId="0" fontId="73" fillId="2" borderId="0" xfId="2024" applyFont="1" applyFill="1">
      <alignment horizontal="left" vertical="top" wrapText="1"/>
    </xf>
    <xf numFmtId="0" fontId="73" fillId="2" borderId="0" xfId="162" applyFont="1" applyFill="1" applyAlignment="1">
      <alignment horizontal="center" vertical="center" wrapText="1"/>
    </xf>
    <xf numFmtId="0" fontId="73" fillId="2" borderId="0" xfId="253" applyFont="1" applyFill="1" applyAlignment="1">
      <alignment vertical="center" wrapText="1"/>
    </xf>
    <xf numFmtId="0" fontId="74" fillId="2" borderId="42" xfId="295" applyFont="1" applyFill="1" applyBorder="1" applyAlignment="1">
      <alignment horizontal="center" vertical="center" wrapText="1"/>
    </xf>
    <xf numFmtId="0" fontId="73" fillId="2" borderId="42" xfId="295" applyFont="1" applyFill="1" applyBorder="1" applyAlignment="1">
      <alignment horizontal="center" vertical="center" wrapText="1"/>
    </xf>
    <xf numFmtId="0" fontId="104" fillId="2" borderId="42" xfId="295" applyFont="1" applyFill="1" applyBorder="1" applyAlignment="1">
      <alignment horizontal="center" vertical="center" wrapText="1"/>
    </xf>
    <xf numFmtId="0" fontId="104" fillId="2" borderId="42" xfId="295" applyFont="1" applyFill="1" applyBorder="1" applyAlignment="1">
      <alignment horizontal="left" vertical="center" wrapText="1"/>
    </xf>
    <xf numFmtId="0" fontId="104" fillId="2" borderId="0" xfId="2024" applyFont="1" applyFill="1">
      <alignment horizontal="left" vertical="top" wrapText="1"/>
    </xf>
    <xf numFmtId="0" fontId="102" fillId="2" borderId="42" xfId="96" applyFont="1" applyFill="1" applyBorder="1" applyAlignment="1">
      <alignment horizontal="left" vertical="center" wrapText="1"/>
    </xf>
    <xf numFmtId="43" fontId="73" fillId="2" borderId="42" xfId="7" applyFont="1" applyFill="1" applyBorder="1" applyAlignment="1">
      <alignment horizontal="left" vertical="top" wrapText="1"/>
    </xf>
    <xf numFmtId="43" fontId="104" fillId="2" borderId="42" xfId="2024" applyNumberFormat="1" applyFont="1" applyFill="1" applyBorder="1">
      <alignment horizontal="left" vertical="top" wrapText="1"/>
    </xf>
    <xf numFmtId="166" fontId="74" fillId="2" borderId="0" xfId="253" applyNumberFormat="1" applyFont="1" applyFill="1" applyAlignment="1">
      <alignment horizontal="right" vertical="top" wrapText="1"/>
    </xf>
    <xf numFmtId="166" fontId="74" fillId="2" borderId="0" xfId="253" applyNumberFormat="1" applyFont="1" applyFill="1" applyAlignment="1">
      <alignment wrapText="1"/>
    </xf>
    <xf numFmtId="166" fontId="74" fillId="2" borderId="0" xfId="253" applyNumberFormat="1" applyFont="1" applyFill="1" applyAlignment="1">
      <alignment horizontal="center"/>
    </xf>
    <xf numFmtId="169" fontId="73" fillId="2" borderId="0" xfId="0" applyNumberFormat="1" applyFont="1" applyFill="1" applyAlignment="1">
      <alignment horizontal="left" vertical="top" wrapText="1"/>
    </xf>
    <xf numFmtId="0" fontId="94" fillId="2" borderId="42" xfId="0" applyFont="1" applyFill="1" applyBorder="1" applyAlignment="1">
      <alignment horizontal="center" vertical="top" wrapText="1"/>
    </xf>
    <xf numFmtId="0" fontId="105" fillId="2" borderId="42" xfId="0" applyFont="1" applyFill="1" applyBorder="1" applyAlignment="1">
      <alignment horizontal="center" vertical="top" wrapText="1"/>
    </xf>
    <xf numFmtId="166" fontId="17" fillId="2" borderId="42" xfId="7" applyNumberFormat="1" applyFont="1" applyFill="1" applyBorder="1" applyAlignment="1">
      <alignment horizontal="center" vertical="top"/>
    </xf>
    <xf numFmtId="166" fontId="105" fillId="2" borderId="42" xfId="7" applyNumberFormat="1" applyFont="1" applyFill="1" applyBorder="1" applyAlignment="1">
      <alignment horizontal="center" vertical="top"/>
    </xf>
    <xf numFmtId="0" fontId="94" fillId="2" borderId="0" xfId="0" applyFont="1" applyFill="1" applyAlignment="1">
      <alignment horizontal="center" vertical="top" wrapText="1"/>
    </xf>
    <xf numFmtId="0" fontId="94" fillId="2" borderId="42" xfId="0" applyFont="1" applyFill="1" applyBorder="1" applyAlignment="1">
      <alignment horizontal="left" vertical="top" wrapText="1"/>
    </xf>
    <xf numFmtId="166" fontId="94" fillId="2" borderId="42" xfId="7" applyNumberFormat="1" applyFont="1" applyFill="1" applyBorder="1" applyAlignment="1">
      <alignment horizontal="left" vertical="top" wrapText="1"/>
    </xf>
    <xf numFmtId="0" fontId="94" fillId="2" borderId="0" xfId="0" applyFont="1" applyFill="1" applyAlignment="1">
      <alignment horizontal="left" vertical="top" wrapText="1"/>
    </xf>
    <xf numFmtId="0" fontId="105" fillId="2" borderId="42" xfId="0" applyFont="1" applyFill="1" applyBorder="1" applyAlignment="1">
      <alignment horizontal="left" vertical="top" wrapText="1"/>
    </xf>
    <xf numFmtId="166" fontId="17" fillId="2" borderId="42" xfId="7" applyNumberFormat="1" applyFont="1" applyFill="1" applyBorder="1" applyAlignment="1">
      <alignment horizontal="right" vertical="top"/>
    </xf>
    <xf numFmtId="166" fontId="105" fillId="2" borderId="42" xfId="7" applyNumberFormat="1" applyFont="1" applyFill="1" applyBorder="1" applyAlignment="1">
      <alignment horizontal="right" vertical="top"/>
    </xf>
    <xf numFmtId="0" fontId="17" fillId="2" borderId="0" xfId="0" applyFont="1" applyFill="1" applyAlignment="1">
      <alignment horizontal="left" vertical="top" wrapText="1"/>
    </xf>
    <xf numFmtId="167" fontId="73" fillId="2" borderId="42" xfId="6" applyNumberFormat="1" applyFont="1" applyFill="1" applyBorder="1" applyAlignment="1">
      <alignment horizontal="center" vertical="top"/>
    </xf>
    <xf numFmtId="165" fontId="73" fillId="2" borderId="42" xfId="6" applyFont="1" applyFill="1" applyBorder="1" applyAlignment="1">
      <alignment horizontal="center" vertical="top"/>
    </xf>
    <xf numFmtId="0" fontId="73" fillId="2" borderId="0" xfId="0" applyFont="1" applyFill="1" applyAlignment="1">
      <alignment horizontal="center" vertical="top" wrapText="1"/>
    </xf>
    <xf numFmtId="167" fontId="86" fillId="2" borderId="42" xfId="6" applyNumberFormat="1" applyFont="1" applyFill="1" applyBorder="1">
      <alignment horizontal="right" vertical="top"/>
    </xf>
    <xf numFmtId="165" fontId="86" fillId="2" borderId="42" xfId="2032" applyFont="1" applyFill="1" applyBorder="1">
      <alignment horizontal="right" vertical="top"/>
    </xf>
    <xf numFmtId="166" fontId="74" fillId="2" borderId="0" xfId="253" applyNumberFormat="1" applyFont="1" applyFill="1" applyAlignment="1">
      <alignment horizontal="right" wrapText="1"/>
    </xf>
    <xf numFmtId="0" fontId="73" fillId="0" borderId="0" xfId="0" applyFont="1" applyAlignment="1">
      <alignment vertical="center"/>
    </xf>
    <xf numFmtId="169" fontId="74" fillId="2" borderId="0" xfId="1660" applyNumberFormat="1" applyFont="1" applyFill="1"/>
    <xf numFmtId="43" fontId="74" fillId="2" borderId="0" xfId="7" applyFont="1" applyFill="1" applyAlignment="1">
      <alignment vertical="top"/>
    </xf>
    <xf numFmtId="43" fontId="74" fillId="2" borderId="0" xfId="7" applyFont="1" applyFill="1"/>
    <xf numFmtId="43" fontId="99" fillId="2" borderId="0" xfId="7" applyFont="1" applyFill="1"/>
    <xf numFmtId="43" fontId="98" fillId="2" borderId="0" xfId="7" applyFont="1" applyFill="1"/>
    <xf numFmtId="43" fontId="100" fillId="2" borderId="0" xfId="7" applyFont="1" applyFill="1"/>
    <xf numFmtId="43" fontId="99" fillId="2" borderId="0" xfId="7" applyFont="1" applyFill="1" applyAlignment="1">
      <alignment vertical="center"/>
    </xf>
    <xf numFmtId="169" fontId="73" fillId="2" borderId="0" xfId="8" applyNumberFormat="1" applyFont="1" applyFill="1">
      <alignment horizontal="left" vertical="top" wrapText="1"/>
    </xf>
    <xf numFmtId="39" fontId="17" fillId="2" borderId="27" xfId="8" applyNumberFormat="1" applyFont="1" applyFill="1" applyBorder="1" applyAlignment="1">
      <alignment horizontal="center" vertical="center" wrapText="1"/>
    </xf>
    <xf numFmtId="169" fontId="86" fillId="2" borderId="27" xfId="0" applyNumberFormat="1" applyFont="1" applyFill="1" applyBorder="1" applyAlignment="1">
      <alignment horizontal="right" vertical="center" wrapText="1"/>
    </xf>
    <xf numFmtId="0" fontId="73" fillId="2" borderId="1" xfId="299" applyFont="1" applyFill="1" applyBorder="1"/>
    <xf numFmtId="0" fontId="94" fillId="2" borderId="1" xfId="0" applyFont="1" applyFill="1" applyBorder="1" applyAlignment="1">
      <alignment horizontal="center"/>
    </xf>
    <xf numFmtId="169" fontId="73" fillId="2" borderId="0" xfId="299" applyNumberFormat="1" applyFont="1" applyFill="1"/>
    <xf numFmtId="0" fontId="100" fillId="2" borderId="0" xfId="8" applyFont="1" applyFill="1">
      <alignment horizontal="left" vertical="top" wrapText="1"/>
    </xf>
    <xf numFmtId="0" fontId="17" fillId="2" borderId="26" xfId="0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vertical="top" wrapText="1"/>
    </xf>
    <xf numFmtId="0" fontId="17" fillId="2" borderId="3" xfId="0" applyFont="1" applyFill="1" applyBorder="1" applyAlignment="1">
      <alignment horizontal="center" vertical="top" wrapText="1"/>
    </xf>
    <xf numFmtId="0" fontId="73" fillId="2" borderId="26" xfId="0" applyFont="1" applyFill="1" applyBorder="1" applyAlignment="1">
      <alignment horizontal="center" vertical="top" wrapText="1"/>
    </xf>
    <xf numFmtId="0" fontId="73" fillId="2" borderId="2" xfId="0" applyFont="1" applyFill="1" applyBorder="1" applyAlignment="1">
      <alignment horizontal="center" vertical="top" wrapText="1"/>
    </xf>
    <xf numFmtId="0" fontId="73" fillId="2" borderId="3" xfId="0" applyFont="1" applyFill="1" applyBorder="1" applyAlignment="1">
      <alignment horizontal="center" vertical="top" wrapText="1"/>
    </xf>
    <xf numFmtId="0" fontId="17" fillId="0" borderId="26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top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17" fillId="2" borderId="0" xfId="0" applyFont="1" applyFill="1" applyAlignment="1">
      <alignment horizontal="center" wrapText="1"/>
    </xf>
    <xf numFmtId="0" fontId="73" fillId="2" borderId="43" xfId="0" applyFont="1" applyFill="1" applyBorder="1" applyAlignment="1">
      <alignment horizontal="center" vertical="center" wrapText="1"/>
    </xf>
    <xf numFmtId="0" fontId="73" fillId="2" borderId="44" xfId="0" applyFont="1" applyFill="1" applyBorder="1" applyAlignment="1">
      <alignment horizontal="center" vertical="center" wrapText="1"/>
    </xf>
    <xf numFmtId="0" fontId="73" fillId="2" borderId="26" xfId="0" applyFont="1" applyFill="1" applyBorder="1" applyAlignment="1">
      <alignment horizontal="center" vertical="center" wrapText="1"/>
    </xf>
    <xf numFmtId="0" fontId="73" fillId="2" borderId="3" xfId="0" applyFont="1" applyFill="1" applyBorder="1" applyAlignment="1">
      <alignment horizontal="center" vertical="center" wrapText="1"/>
    </xf>
    <xf numFmtId="0" fontId="17" fillId="2" borderId="42" xfId="0" applyFont="1" applyFill="1" applyBorder="1" applyAlignment="1">
      <alignment horizontal="center" vertical="top" wrapText="1"/>
    </xf>
    <xf numFmtId="0" fontId="73" fillId="2" borderId="42" xfId="0" applyFont="1" applyFill="1" applyBorder="1" applyAlignment="1">
      <alignment horizontal="center" vertical="top" wrapText="1"/>
    </xf>
    <xf numFmtId="0" fontId="17" fillId="0" borderId="42" xfId="0" applyFont="1" applyBorder="1" applyAlignment="1">
      <alignment horizontal="center" vertical="top" wrapText="1"/>
    </xf>
    <xf numFmtId="0" fontId="73" fillId="2" borderId="25" xfId="0" applyFont="1" applyFill="1" applyBorder="1" applyAlignment="1">
      <alignment horizontal="center" vertical="center" wrapText="1"/>
    </xf>
    <xf numFmtId="49" fontId="17" fillId="2" borderId="26" xfId="0" applyNumberFormat="1" applyFont="1" applyFill="1" applyBorder="1" applyAlignment="1">
      <alignment horizontal="center" vertical="top" wrapText="1"/>
    </xf>
    <xf numFmtId="49" fontId="17" fillId="2" borderId="2" xfId="0" applyNumberFormat="1" applyFont="1" applyFill="1" applyBorder="1" applyAlignment="1">
      <alignment horizontal="center" vertical="top" wrapText="1"/>
    </xf>
    <xf numFmtId="49" fontId="17" fillId="2" borderId="3" xfId="0" applyNumberFormat="1" applyFont="1" applyFill="1" applyBorder="1" applyAlignment="1">
      <alignment horizontal="center" vertical="top" wrapText="1"/>
    </xf>
    <xf numFmtId="49" fontId="17" fillId="2" borderId="42" xfId="0" applyNumberFormat="1" applyFont="1" applyFill="1" applyBorder="1" applyAlignment="1">
      <alignment horizontal="center" vertical="top" wrapText="1"/>
    </xf>
    <xf numFmtId="0" fontId="17" fillId="2" borderId="34" xfId="0" applyFont="1" applyFill="1" applyBorder="1" applyAlignment="1">
      <alignment horizontal="left" vertical="center" wrapText="1"/>
    </xf>
    <xf numFmtId="0" fontId="73" fillId="2" borderId="2" xfId="0" applyFont="1" applyFill="1" applyBorder="1" applyAlignment="1">
      <alignment horizontal="center" vertical="center" wrapText="1"/>
    </xf>
    <xf numFmtId="0" fontId="73" fillId="2" borderId="42" xfId="0" applyFont="1" applyFill="1" applyBorder="1" applyAlignment="1">
      <alignment horizontal="center" vertical="center" wrapText="1"/>
    </xf>
    <xf numFmtId="0" fontId="73" fillId="2" borderId="34" xfId="0" applyFont="1" applyFill="1" applyBorder="1" applyAlignment="1">
      <alignment horizontal="center" vertical="top" wrapText="1"/>
    </xf>
    <xf numFmtId="49" fontId="17" fillId="2" borderId="42" xfId="0" applyNumberFormat="1" applyFont="1" applyFill="1" applyBorder="1" applyAlignment="1">
      <alignment horizontal="center" vertical="top"/>
    </xf>
    <xf numFmtId="0" fontId="17" fillId="2" borderId="26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7" fillId="2" borderId="42" xfId="0" applyFont="1" applyFill="1" applyBorder="1" applyAlignment="1">
      <alignment horizontal="left" vertical="top" wrapText="1"/>
    </xf>
    <xf numFmtId="0" fontId="17" fillId="2" borderId="26" xfId="0" applyFont="1" applyFill="1" applyBorder="1" applyAlignment="1">
      <alignment horizontal="center" wrapText="1"/>
    </xf>
    <xf numFmtId="0" fontId="17" fillId="2" borderId="2" xfId="0" applyFont="1" applyFill="1" applyBorder="1" applyAlignment="1">
      <alignment horizontal="center" wrapText="1"/>
    </xf>
    <xf numFmtId="0" fontId="17" fillId="2" borderId="3" xfId="0" applyFont="1" applyFill="1" applyBorder="1" applyAlignment="1">
      <alignment horizontal="center" wrapText="1"/>
    </xf>
    <xf numFmtId="0" fontId="17" fillId="2" borderId="26" xfId="0" applyFont="1" applyFill="1" applyBorder="1" applyAlignment="1">
      <alignment horizontal="center"/>
    </xf>
    <xf numFmtId="0" fontId="17" fillId="2" borderId="2" xfId="0" applyFont="1" applyFill="1" applyBorder="1" applyAlignment="1">
      <alignment horizontal="center"/>
    </xf>
    <xf numFmtId="0" fontId="17" fillId="2" borderId="3" xfId="0" applyFont="1" applyFill="1" applyBorder="1" applyAlignment="1">
      <alignment horizontal="center"/>
    </xf>
    <xf numFmtId="0" fontId="17" fillId="2" borderId="26" xfId="0" applyFont="1" applyFill="1" applyBorder="1" applyAlignment="1">
      <alignment horizontal="center" vertical="top"/>
    </xf>
    <xf numFmtId="0" fontId="17" fillId="2" borderId="2" xfId="0" applyFont="1" applyFill="1" applyBorder="1" applyAlignment="1">
      <alignment horizontal="center" vertical="top"/>
    </xf>
    <xf numFmtId="0" fontId="17" fillId="2" borderId="3" xfId="0" applyFont="1" applyFill="1" applyBorder="1" applyAlignment="1">
      <alignment horizontal="center" vertical="top"/>
    </xf>
    <xf numFmtId="49" fontId="17" fillId="2" borderId="1" xfId="0" applyNumberFormat="1" applyFont="1" applyFill="1" applyBorder="1" applyAlignment="1">
      <alignment horizontal="center" vertical="top" wrapText="1"/>
    </xf>
    <xf numFmtId="0" fontId="73" fillId="2" borderId="1" xfId="0" applyFont="1" applyFill="1" applyBorder="1" applyAlignment="1">
      <alignment horizontal="center" vertical="center" wrapText="1"/>
    </xf>
    <xf numFmtId="0" fontId="73" fillId="2" borderId="26" xfId="0" applyFont="1" applyFill="1" applyBorder="1" applyAlignment="1">
      <alignment horizontal="center"/>
    </xf>
    <xf numFmtId="0" fontId="73" fillId="2" borderId="3" xfId="0" applyFont="1" applyFill="1" applyBorder="1" applyAlignment="1">
      <alignment horizontal="center"/>
    </xf>
    <xf numFmtId="0" fontId="74" fillId="2" borderId="2" xfId="299" applyFont="1" applyFill="1" applyBorder="1" applyAlignment="1">
      <alignment horizontal="center"/>
    </xf>
    <xf numFmtId="0" fontId="74" fillId="2" borderId="3" xfId="299" applyFont="1" applyFill="1" applyBorder="1" applyAlignment="1">
      <alignment horizontal="center"/>
    </xf>
    <xf numFmtId="0" fontId="73" fillId="2" borderId="2" xfId="0" applyFont="1" applyFill="1" applyBorder="1" applyAlignment="1">
      <alignment horizontal="center"/>
    </xf>
    <xf numFmtId="0" fontId="73" fillId="2" borderId="26" xfId="208" applyFont="1" applyFill="1" applyBorder="1" applyAlignment="1">
      <alignment horizontal="center"/>
    </xf>
    <xf numFmtId="0" fontId="73" fillId="2" borderId="3" xfId="208" applyFont="1" applyFill="1" applyBorder="1" applyAlignment="1">
      <alignment horizontal="center"/>
    </xf>
    <xf numFmtId="168" fontId="73" fillId="2" borderId="43" xfId="96" applyNumberFormat="1" applyFont="1" applyFill="1" applyBorder="1" applyAlignment="1">
      <alignment horizontal="center" vertical="center" wrapText="1"/>
    </xf>
    <xf numFmtId="168" fontId="73" fillId="2" borderId="44" xfId="96" applyNumberFormat="1" applyFont="1" applyFill="1" applyBorder="1" applyAlignment="1">
      <alignment horizontal="center" vertical="center" wrapText="1"/>
    </xf>
    <xf numFmtId="168" fontId="73" fillId="2" borderId="27" xfId="96" applyNumberFormat="1" applyFont="1" applyFill="1" applyBorder="1" applyAlignment="1">
      <alignment horizontal="center" vertical="center" wrapText="1"/>
    </xf>
    <xf numFmtId="169" fontId="73" fillId="2" borderId="0" xfId="96" applyNumberFormat="1" applyFont="1" applyFill="1" applyAlignment="1">
      <alignment horizontal="right" vertical="top" wrapText="1"/>
    </xf>
    <xf numFmtId="169" fontId="73" fillId="2" borderId="0" xfId="96" applyNumberFormat="1" applyFont="1" applyFill="1" applyAlignment="1">
      <alignment horizontal="right" vertical="center" wrapText="1"/>
    </xf>
    <xf numFmtId="49" fontId="17" fillId="2" borderId="0" xfId="96" applyNumberFormat="1" applyFont="1" applyFill="1" applyAlignment="1">
      <alignment horizontal="center" vertical="center" wrapText="1"/>
    </xf>
    <xf numFmtId="0" fontId="74" fillId="2" borderId="0" xfId="1660" applyFont="1" applyFill="1" applyAlignment="1">
      <alignment vertical="center" wrapText="1"/>
    </xf>
    <xf numFmtId="0" fontId="74" fillId="2" borderId="38" xfId="2028" applyFont="1" applyFill="1" applyBorder="1" applyAlignment="1">
      <alignment horizontal="right"/>
    </xf>
    <xf numFmtId="49" fontId="17" fillId="2" borderId="43" xfId="96" applyNumberFormat="1" applyFont="1" applyFill="1" applyBorder="1" applyAlignment="1">
      <alignment horizontal="center" vertical="center" wrapText="1"/>
    </xf>
    <xf numFmtId="49" fontId="17" fillId="2" borderId="27" xfId="96" applyNumberFormat="1" applyFont="1" applyFill="1" applyBorder="1" applyAlignment="1">
      <alignment horizontal="center" vertical="center" wrapText="1"/>
    </xf>
    <xf numFmtId="0" fontId="17" fillId="2" borderId="26" xfId="96" applyFont="1" applyFill="1" applyBorder="1" applyAlignment="1">
      <alignment horizontal="center" vertical="center" wrapText="1"/>
    </xf>
    <xf numFmtId="0" fontId="17" fillId="2" borderId="3" xfId="96" applyFont="1" applyFill="1" applyBorder="1" applyAlignment="1">
      <alignment horizontal="center" vertical="center" wrapText="1"/>
    </xf>
    <xf numFmtId="168" fontId="17" fillId="2" borderId="26" xfId="96" applyNumberFormat="1" applyFont="1" applyFill="1" applyBorder="1" applyAlignment="1">
      <alignment horizontal="center" vertical="center" wrapText="1"/>
    </xf>
    <xf numFmtId="168" fontId="17" fillId="2" borderId="3" xfId="96" applyNumberFormat="1" applyFont="1" applyFill="1" applyBorder="1" applyAlignment="1">
      <alignment horizontal="center" vertical="center" wrapText="1"/>
    </xf>
    <xf numFmtId="0" fontId="74" fillId="2" borderId="26" xfId="299" applyFont="1" applyFill="1" applyBorder="1" applyAlignment="1">
      <alignment horizontal="center"/>
    </xf>
    <xf numFmtId="0" fontId="74" fillId="2" borderId="42" xfId="299" applyFont="1" applyFill="1" applyBorder="1" applyAlignment="1">
      <alignment horizontal="center"/>
    </xf>
    <xf numFmtId="0" fontId="94" fillId="2" borderId="26" xfId="0" applyFont="1" applyFill="1" applyBorder="1" applyAlignment="1">
      <alignment horizontal="center"/>
    </xf>
    <xf numFmtId="0" fontId="94" fillId="2" borderId="3" xfId="0" applyFont="1" applyFill="1" applyBorder="1" applyAlignment="1">
      <alignment horizontal="center"/>
    </xf>
    <xf numFmtId="0" fontId="74" fillId="2" borderId="26" xfId="253" applyFont="1" applyFill="1" applyBorder="1" applyAlignment="1">
      <alignment horizontal="center"/>
    </xf>
    <xf numFmtId="0" fontId="74" fillId="2" borderId="2" xfId="253" applyFont="1" applyFill="1" applyBorder="1" applyAlignment="1">
      <alignment horizontal="center"/>
    </xf>
    <xf numFmtId="0" fontId="74" fillId="2" borderId="3" xfId="253" applyFont="1" applyFill="1" applyBorder="1" applyAlignment="1">
      <alignment horizontal="center"/>
    </xf>
    <xf numFmtId="0" fontId="94" fillId="2" borderId="2" xfId="0" applyFont="1" applyFill="1" applyBorder="1" applyAlignment="1">
      <alignment horizontal="center"/>
    </xf>
    <xf numFmtId="0" fontId="17" fillId="2" borderId="0" xfId="299" applyFont="1" applyFill="1" applyAlignment="1">
      <alignment horizontal="center" vertical="center" wrapText="1"/>
    </xf>
    <xf numFmtId="49" fontId="17" fillId="2" borderId="35" xfId="96" applyNumberFormat="1" applyFont="1" applyFill="1" applyBorder="1" applyAlignment="1">
      <alignment horizontal="center" vertical="center" wrapText="1"/>
    </xf>
    <xf numFmtId="49" fontId="17" fillId="2" borderId="37" xfId="96" applyNumberFormat="1" applyFont="1" applyFill="1" applyBorder="1" applyAlignment="1">
      <alignment horizontal="center" vertical="center" wrapText="1"/>
    </xf>
    <xf numFmtId="0" fontId="74" fillId="2" borderId="42" xfId="253" applyFont="1" applyFill="1" applyBorder="1" applyAlignment="1">
      <alignment horizontal="center"/>
    </xf>
    <xf numFmtId="0" fontId="94" fillId="2" borderId="42" xfId="0" applyFont="1" applyFill="1" applyBorder="1" applyAlignment="1">
      <alignment horizontal="center"/>
    </xf>
    <xf numFmtId="166" fontId="74" fillId="2" borderId="0" xfId="253" applyNumberFormat="1" applyFont="1" applyFill="1" applyAlignment="1">
      <alignment horizontal="right" vertical="top" wrapText="1"/>
    </xf>
    <xf numFmtId="0" fontId="74" fillId="2" borderId="0" xfId="0" applyFont="1" applyFill="1" applyAlignment="1">
      <alignment horizontal="right"/>
    </xf>
    <xf numFmtId="0" fontId="73" fillId="2" borderId="43" xfId="0" applyFont="1" applyFill="1" applyBorder="1" applyAlignment="1">
      <alignment horizontal="center" vertical="top" wrapText="1"/>
    </xf>
    <xf numFmtId="0" fontId="73" fillId="2" borderId="27" xfId="0" applyFont="1" applyFill="1" applyBorder="1" applyAlignment="1">
      <alignment horizontal="center" vertical="top" wrapText="1"/>
    </xf>
    <xf numFmtId="0" fontId="73" fillId="2" borderId="40" xfId="0" applyFont="1" applyFill="1" applyBorder="1" applyAlignment="1">
      <alignment horizontal="center" vertical="top" wrapText="1"/>
    </xf>
    <xf numFmtId="0" fontId="73" fillId="2" borderId="41" xfId="0" applyFont="1" applyFill="1" applyBorder="1" applyAlignment="1">
      <alignment horizontal="center" vertical="top" wrapText="1"/>
    </xf>
    <xf numFmtId="0" fontId="73" fillId="2" borderId="45" xfId="0" applyFont="1" applyFill="1" applyBorder="1" applyAlignment="1">
      <alignment horizontal="center" vertical="top" wrapText="1"/>
    </xf>
    <xf numFmtId="0" fontId="73" fillId="2" borderId="46" xfId="0" applyFont="1" applyFill="1" applyBorder="1" applyAlignment="1">
      <alignment horizontal="center" vertical="top" wrapText="1"/>
    </xf>
    <xf numFmtId="0" fontId="73" fillId="2" borderId="6" xfId="0" applyFont="1" applyFill="1" applyBorder="1" applyAlignment="1">
      <alignment horizontal="center" vertical="top" wrapText="1"/>
    </xf>
    <xf numFmtId="0" fontId="73" fillId="2" borderId="39" xfId="0" applyFont="1" applyFill="1" applyBorder="1" applyAlignment="1">
      <alignment horizontal="center" vertical="top" wrapText="1"/>
    </xf>
    <xf numFmtId="178" fontId="73" fillId="2" borderId="44" xfId="0" applyNumberFormat="1" applyFont="1" applyFill="1" applyBorder="1" applyAlignment="1">
      <alignment horizontal="center" vertical="top" wrapText="1"/>
    </xf>
    <xf numFmtId="178" fontId="73" fillId="2" borderId="27" xfId="0" applyNumberFormat="1" applyFont="1" applyFill="1" applyBorder="1" applyAlignment="1">
      <alignment horizontal="center" vertical="top" wrapText="1"/>
    </xf>
    <xf numFmtId="178" fontId="73" fillId="2" borderId="43" xfId="0" applyNumberFormat="1" applyFont="1" applyFill="1" applyBorder="1" applyAlignment="1">
      <alignment horizontal="center" vertical="top" wrapText="1"/>
    </xf>
    <xf numFmtId="0" fontId="17" fillId="2" borderId="43" xfId="0" applyFont="1" applyFill="1" applyBorder="1" applyAlignment="1">
      <alignment horizontal="center" vertical="center"/>
    </xf>
    <xf numFmtId="0" fontId="17" fillId="2" borderId="44" xfId="0" applyFont="1" applyFill="1" applyBorder="1" applyAlignment="1">
      <alignment horizontal="center" vertical="center"/>
    </xf>
    <xf numFmtId="0" fontId="17" fillId="2" borderId="27" xfId="0" applyFont="1" applyFill="1" applyBorder="1" applyAlignment="1">
      <alignment horizontal="center" vertical="center"/>
    </xf>
    <xf numFmtId="0" fontId="17" fillId="2" borderId="43" xfId="0" applyFont="1" applyFill="1" applyBorder="1" applyAlignment="1">
      <alignment horizontal="left" vertical="center" wrapText="1"/>
    </xf>
    <xf numFmtId="0" fontId="17" fillId="2" borderId="44" xfId="0" applyFont="1" applyFill="1" applyBorder="1" applyAlignment="1">
      <alignment horizontal="left" vertical="center" wrapText="1"/>
    </xf>
    <xf numFmtId="0" fontId="17" fillId="2" borderId="27" xfId="0" applyFont="1" applyFill="1" applyBorder="1" applyAlignment="1">
      <alignment horizontal="left" vertical="center" wrapText="1"/>
    </xf>
    <xf numFmtId="0" fontId="14" fillId="2" borderId="0" xfId="0" applyFont="1" applyFill="1" applyAlignment="1">
      <alignment horizontal="center" vertical="center" wrapText="1"/>
    </xf>
    <xf numFmtId="0" fontId="14" fillId="2" borderId="38" xfId="0" applyFont="1" applyFill="1" applyBorder="1" applyAlignment="1">
      <alignment horizontal="right" wrapText="1"/>
    </xf>
    <xf numFmtId="0" fontId="73" fillId="2" borderId="34" xfId="8" applyFont="1" applyFill="1" applyBorder="1" applyAlignment="1">
      <alignment horizontal="center" vertical="center" wrapText="1"/>
    </xf>
    <xf numFmtId="0" fontId="73" fillId="2" borderId="40" xfId="8" applyFont="1" applyFill="1" applyBorder="1" applyAlignment="1">
      <alignment horizontal="center" vertical="center" wrapText="1"/>
    </xf>
    <xf numFmtId="0" fontId="73" fillId="2" borderId="41" xfId="8" applyFont="1" applyFill="1" applyBorder="1" applyAlignment="1">
      <alignment horizontal="center" vertical="center" wrapText="1"/>
    </xf>
    <xf numFmtId="0" fontId="73" fillId="2" borderId="6" xfId="8" applyFont="1" applyFill="1" applyBorder="1" applyAlignment="1">
      <alignment horizontal="center" vertical="center" wrapText="1"/>
    </xf>
    <xf numFmtId="0" fontId="73" fillId="2" borderId="39" xfId="8" applyFont="1" applyFill="1" applyBorder="1" applyAlignment="1">
      <alignment horizontal="center" vertical="center" wrapText="1"/>
    </xf>
    <xf numFmtId="0" fontId="73" fillId="2" borderId="26" xfId="8" applyFont="1" applyFill="1" applyBorder="1" applyAlignment="1">
      <alignment horizontal="center" vertical="center" wrapText="1"/>
    </xf>
    <xf numFmtId="0" fontId="73" fillId="2" borderId="3" xfId="8" applyFont="1" applyFill="1" applyBorder="1" applyAlignment="1">
      <alignment horizontal="center" vertical="center" wrapText="1"/>
    </xf>
    <xf numFmtId="0" fontId="74" fillId="2" borderId="0" xfId="0" applyFont="1" applyFill="1" applyAlignment="1">
      <alignment horizontal="right" vertical="top"/>
    </xf>
    <xf numFmtId="0" fontId="17" fillId="2" borderId="35" xfId="0" applyFont="1" applyFill="1" applyBorder="1" applyAlignment="1">
      <alignment horizontal="center" vertical="center" wrapText="1"/>
    </xf>
    <xf numFmtId="0" fontId="17" fillId="2" borderId="36" xfId="0" applyFont="1" applyFill="1" applyBorder="1" applyAlignment="1">
      <alignment horizontal="center" vertical="center" wrapText="1"/>
    </xf>
    <xf numFmtId="0" fontId="17" fillId="2" borderId="37" xfId="0" applyFont="1" applyFill="1" applyBorder="1" applyAlignment="1">
      <alignment horizontal="center" vertical="center" wrapText="1"/>
    </xf>
    <xf numFmtId="0" fontId="17" fillId="2" borderId="0" xfId="162" applyFont="1" applyFill="1" applyAlignment="1">
      <alignment horizontal="center" vertical="center"/>
    </xf>
    <xf numFmtId="0" fontId="74" fillId="2" borderId="42" xfId="295" applyFont="1" applyFill="1" applyBorder="1" applyAlignment="1">
      <alignment horizontal="center" vertical="center"/>
    </xf>
    <xf numFmtId="0" fontId="73" fillId="2" borderId="42" xfId="107" applyFont="1" applyFill="1" applyBorder="1" applyAlignment="1">
      <alignment horizontal="center" vertical="center" wrapText="1"/>
    </xf>
    <xf numFmtId="0" fontId="17" fillId="2" borderId="0" xfId="162" applyFont="1" applyFill="1" applyAlignment="1">
      <alignment horizontal="center" vertical="center" wrapText="1"/>
    </xf>
    <xf numFmtId="168" fontId="93" fillId="2" borderId="42" xfId="96" applyNumberFormat="1" applyFont="1" applyFill="1" applyBorder="1" applyAlignment="1">
      <alignment horizontal="center" vertical="center" wrapText="1"/>
    </xf>
    <xf numFmtId="0" fontId="17" fillId="2" borderId="33" xfId="0" applyFont="1" applyFill="1" applyBorder="1" applyAlignment="1">
      <alignment horizontal="left"/>
    </xf>
    <xf numFmtId="0" fontId="17" fillId="2" borderId="31" xfId="0" applyFont="1" applyFill="1" applyBorder="1" applyAlignment="1">
      <alignment horizontal="left"/>
    </xf>
    <xf numFmtId="0" fontId="17" fillId="2" borderId="32" xfId="0" applyFont="1" applyFill="1" applyBorder="1" applyAlignment="1">
      <alignment horizontal="left"/>
    </xf>
    <xf numFmtId="0" fontId="88" fillId="2" borderId="0" xfId="0" applyFont="1" applyFill="1" applyAlignment="1">
      <alignment horizontal="right" vertical="top" wrapText="1"/>
    </xf>
    <xf numFmtId="0" fontId="14" fillId="0" borderId="0" xfId="0" applyFont="1" applyAlignment="1">
      <alignment horizontal="center" vertical="center" wrapText="1"/>
    </xf>
    <xf numFmtId="0" fontId="73" fillId="2" borderId="28" xfId="0" applyFont="1" applyFill="1" applyBorder="1" applyAlignment="1">
      <alignment horizontal="center" vertical="top" wrapText="1"/>
    </xf>
    <xf numFmtId="0" fontId="17" fillId="2" borderId="4" xfId="0" applyFont="1" applyFill="1" applyBorder="1" applyAlignment="1">
      <alignment horizontal="left" vertical="center" wrapText="1"/>
    </xf>
    <xf numFmtId="0" fontId="85" fillId="2" borderId="5" xfId="0" applyFont="1" applyFill="1" applyBorder="1" applyAlignment="1">
      <alignment vertical="center" wrapText="1"/>
    </xf>
    <xf numFmtId="0" fontId="86" fillId="2" borderId="43" xfId="0" applyFont="1" applyFill="1" applyBorder="1" applyAlignment="1">
      <alignment horizontal="left" vertical="top" wrapText="1"/>
    </xf>
    <xf numFmtId="0" fontId="86" fillId="2" borderId="27" xfId="0" applyFont="1" applyFill="1" applyBorder="1" applyAlignment="1">
      <alignment horizontal="left" vertical="top" wrapText="1"/>
    </xf>
    <xf numFmtId="0" fontId="87" fillId="0" borderId="42" xfId="0" applyFont="1" applyBorder="1" applyAlignment="1">
      <alignment horizontal="left" vertical="top" wrapText="1"/>
    </xf>
    <xf numFmtId="0" fontId="85" fillId="2" borderId="27" xfId="0" applyFont="1" applyFill="1" applyBorder="1" applyAlignment="1">
      <alignment vertical="center" wrapText="1"/>
    </xf>
    <xf numFmtId="0" fontId="17" fillId="2" borderId="42" xfId="0" applyFont="1" applyFill="1" applyBorder="1" applyAlignment="1">
      <alignment horizontal="left"/>
    </xf>
    <xf numFmtId="0" fontId="102" fillId="2" borderId="26" xfId="0" applyFont="1" applyFill="1" applyBorder="1" applyAlignment="1">
      <alignment horizontal="center" vertical="top" wrapText="1"/>
    </xf>
    <xf numFmtId="0" fontId="102" fillId="2" borderId="2" xfId="0" applyFont="1" applyFill="1" applyBorder="1" applyAlignment="1">
      <alignment horizontal="center" vertical="top" wrapText="1"/>
    </xf>
    <xf numFmtId="0" fontId="102" fillId="2" borderId="3" xfId="0" applyFont="1" applyFill="1" applyBorder="1" applyAlignment="1">
      <alignment horizontal="center" vertical="top" wrapText="1"/>
    </xf>
    <xf numFmtId="0" fontId="102" fillId="2" borderId="28" xfId="0" applyFont="1" applyFill="1" applyBorder="1" applyAlignment="1">
      <alignment horizontal="center" vertical="top" wrapText="1"/>
    </xf>
    <xf numFmtId="0" fontId="102" fillId="2" borderId="27" xfId="0" applyFont="1" applyFill="1" applyBorder="1" applyAlignment="1">
      <alignment horizontal="center" vertical="top" wrapText="1"/>
    </xf>
    <xf numFmtId="0" fontId="73" fillId="2" borderId="0" xfId="1734" applyFont="1" applyFill="1" applyAlignment="1">
      <alignment horizontal="right" vertical="top"/>
    </xf>
    <xf numFmtId="0" fontId="73" fillId="2" borderId="0" xfId="1734" applyFont="1" applyFill="1" applyAlignment="1">
      <alignment horizontal="right" vertical="center"/>
    </xf>
    <xf numFmtId="0" fontId="17" fillId="2" borderId="34" xfId="1734" applyFont="1" applyFill="1" applyBorder="1" applyAlignment="1">
      <alignment horizontal="center" vertical="center" wrapText="1"/>
    </xf>
    <xf numFmtId="0" fontId="73" fillId="2" borderId="34" xfId="1735" applyFont="1" applyFill="1" applyBorder="1" applyAlignment="1">
      <alignment horizontal="center" vertical="center" wrapText="1"/>
    </xf>
    <xf numFmtId="0" fontId="73" fillId="2" borderId="35" xfId="1735" applyFont="1" applyFill="1" applyBorder="1" applyAlignment="1">
      <alignment horizontal="center" wrapText="1"/>
    </xf>
    <xf numFmtId="0" fontId="73" fillId="2" borderId="36" xfId="1735" applyFont="1" applyFill="1" applyBorder="1" applyAlignment="1">
      <alignment horizontal="center" wrapText="1"/>
    </xf>
    <xf numFmtId="0" fontId="73" fillId="2" borderId="37" xfId="1735" applyFont="1" applyFill="1" applyBorder="1" applyAlignment="1">
      <alignment horizontal="center" wrapText="1"/>
    </xf>
    <xf numFmtId="0" fontId="17" fillId="58" borderId="34" xfId="0" applyFont="1" applyFill="1" applyBorder="1" applyAlignment="1">
      <alignment vertical="top" wrapText="1"/>
    </xf>
    <xf numFmtId="0" fontId="73" fillId="57" borderId="43" xfId="0" applyFont="1" applyFill="1" applyBorder="1" applyAlignment="1">
      <alignment horizontal="left" vertical="center" wrapText="1"/>
    </xf>
    <xf numFmtId="0" fontId="73" fillId="57" borderId="44" xfId="0" applyFont="1" applyFill="1" applyBorder="1" applyAlignment="1">
      <alignment horizontal="left" vertical="center" wrapText="1"/>
    </xf>
    <xf numFmtId="0" fontId="73" fillId="57" borderId="27" xfId="0" applyFont="1" applyFill="1" applyBorder="1" applyAlignment="1">
      <alignment horizontal="left" vertical="center" wrapText="1"/>
    </xf>
    <xf numFmtId="0" fontId="73" fillId="0" borderId="42" xfId="0" applyFont="1" applyBorder="1" applyAlignment="1">
      <alignment horizontal="left" vertical="top" wrapText="1"/>
    </xf>
    <xf numFmtId="0" fontId="73" fillId="2" borderId="43" xfId="0" applyFont="1" applyFill="1" applyBorder="1" applyAlignment="1">
      <alignment horizontal="left" vertical="center" wrapText="1"/>
    </xf>
    <xf numFmtId="0" fontId="73" fillId="2" borderId="44" xfId="0" applyFont="1" applyFill="1" applyBorder="1" applyAlignment="1">
      <alignment horizontal="left" vertical="center" wrapText="1"/>
    </xf>
    <xf numFmtId="0" fontId="73" fillId="2" borderId="27" xfId="0" applyFont="1" applyFill="1" applyBorder="1" applyAlignment="1">
      <alignment horizontal="left" vertical="center" wrapText="1"/>
    </xf>
    <xf numFmtId="0" fontId="73" fillId="2" borderId="27" xfId="0" applyFont="1" applyFill="1" applyBorder="1" applyAlignment="1">
      <alignment horizontal="center" vertical="center" wrapText="1"/>
    </xf>
    <xf numFmtId="0" fontId="73" fillId="2" borderId="42" xfId="0" applyFont="1" applyFill="1" applyBorder="1" applyAlignment="1">
      <alignment horizontal="left" vertical="center" wrapText="1"/>
    </xf>
    <xf numFmtId="0" fontId="73" fillId="2" borderId="43" xfId="299" applyFont="1" applyFill="1" applyBorder="1" applyAlignment="1">
      <alignment horizontal="left" vertical="top" wrapText="1"/>
    </xf>
    <xf numFmtId="0" fontId="73" fillId="2" borderId="44" xfId="299" applyFont="1" applyFill="1" applyBorder="1" applyAlignment="1">
      <alignment horizontal="left" vertical="top" wrapText="1"/>
    </xf>
    <xf numFmtId="0" fontId="73" fillId="2" borderId="27" xfId="299" applyFont="1" applyFill="1" applyBorder="1" applyAlignment="1">
      <alignment horizontal="left" vertical="top" wrapText="1"/>
    </xf>
    <xf numFmtId="0" fontId="73" fillId="2" borderId="42" xfId="0" applyFont="1" applyFill="1" applyBorder="1" applyAlignment="1">
      <alignment horizontal="left" vertical="top" wrapText="1"/>
    </xf>
    <xf numFmtId="0" fontId="73" fillId="2" borderId="43" xfId="299" applyFont="1" applyFill="1" applyBorder="1" applyAlignment="1">
      <alignment horizontal="center" vertical="top" wrapText="1"/>
    </xf>
    <xf numFmtId="0" fontId="73" fillId="2" borderId="44" xfId="299" applyFont="1" applyFill="1" applyBorder="1" applyAlignment="1">
      <alignment horizontal="center" vertical="top" wrapText="1"/>
    </xf>
    <xf numFmtId="0" fontId="73" fillId="2" borderId="27" xfId="299" applyFont="1" applyFill="1" applyBorder="1" applyAlignment="1">
      <alignment horizontal="center" vertical="top" wrapText="1"/>
    </xf>
    <xf numFmtId="0" fontId="73" fillId="2" borderId="35" xfId="0" applyFont="1" applyFill="1" applyBorder="1" applyAlignment="1">
      <alignment horizontal="center" vertical="center" wrapText="1"/>
    </xf>
    <xf numFmtId="0" fontId="73" fillId="2" borderId="36" xfId="0" applyFont="1" applyFill="1" applyBorder="1" applyAlignment="1">
      <alignment horizontal="center" vertical="center" wrapText="1"/>
    </xf>
    <xf numFmtId="0" fontId="73" fillId="2" borderId="37" xfId="0" applyFont="1" applyFill="1" applyBorder="1" applyAlignment="1">
      <alignment horizontal="center" vertical="center" wrapText="1"/>
    </xf>
    <xf numFmtId="0" fontId="73" fillId="0" borderId="43" xfId="0" applyFont="1" applyBorder="1" applyAlignment="1">
      <alignment horizontal="left" vertical="center" wrapText="1"/>
    </xf>
    <xf numFmtId="0" fontId="73" fillId="0" borderId="44" xfId="0" applyFont="1" applyBorder="1" applyAlignment="1">
      <alignment horizontal="left" vertical="center" wrapText="1"/>
    </xf>
    <xf numFmtId="0" fontId="73" fillId="0" borderId="27" xfId="0" applyFont="1" applyBorder="1" applyAlignment="1">
      <alignment horizontal="left" vertical="center" wrapText="1"/>
    </xf>
    <xf numFmtId="0" fontId="73" fillId="0" borderId="42" xfId="0" applyFont="1" applyBorder="1" applyAlignment="1">
      <alignment horizontal="left" vertical="center" wrapText="1"/>
    </xf>
    <xf numFmtId="0" fontId="17" fillId="59" borderId="43" xfId="0" applyFont="1" applyFill="1" applyBorder="1" applyAlignment="1">
      <alignment vertical="top" wrapText="1"/>
    </xf>
    <xf numFmtId="0" fontId="17" fillId="59" borderId="44" xfId="0" applyFont="1" applyFill="1" applyBorder="1" applyAlignment="1">
      <alignment vertical="top" wrapText="1"/>
    </xf>
    <xf numFmtId="0" fontId="17" fillId="59" borderId="27" xfId="0" applyFont="1" applyFill="1" applyBorder="1" applyAlignment="1">
      <alignment vertical="top" wrapText="1"/>
    </xf>
    <xf numFmtId="0" fontId="17" fillId="2" borderId="42" xfId="8" applyFont="1" applyFill="1" applyBorder="1" applyAlignment="1">
      <alignment horizontal="center" vertical="top" wrapText="1"/>
    </xf>
    <xf numFmtId="0" fontId="17" fillId="2" borderId="42" xfId="0" applyFont="1" applyFill="1" applyBorder="1" applyAlignment="1">
      <alignment horizontal="left" vertical="center" wrapText="1"/>
    </xf>
    <xf numFmtId="0" fontId="73" fillId="2" borderId="42" xfId="8" applyFont="1" applyFill="1" applyBorder="1" applyAlignment="1">
      <alignment horizontal="center" vertical="top" wrapText="1"/>
    </xf>
    <xf numFmtId="0" fontId="17" fillId="2" borderId="43" xfId="0" applyFont="1" applyFill="1" applyBorder="1" applyAlignment="1">
      <alignment horizontal="left" vertical="top" wrapText="1"/>
    </xf>
    <xf numFmtId="0" fontId="17" fillId="2" borderId="27" xfId="0" applyFont="1" applyFill="1" applyBorder="1" applyAlignment="1">
      <alignment horizontal="left" vertical="top" wrapText="1"/>
    </xf>
  </cellXfs>
  <cellStyles count="2033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19" xfId="2030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0 3 2" xfId="2031"/>
    <cellStyle name="Normal 11" xfId="164"/>
    <cellStyle name="Normal 11 2" xfId="186"/>
    <cellStyle name="Normal 11 3" xfId="209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N_it" xfId="2032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colors>
    <mruColors>
      <color rgb="FFD9F62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68"/>
  <sheetViews>
    <sheetView tabSelected="1" topLeftCell="A3" zoomScale="85" zoomScaleNormal="85" zoomScaleSheetLayoutView="100" workbookViewId="0">
      <selection activeCell="G12" sqref="G12"/>
    </sheetView>
  </sheetViews>
  <sheetFormatPr defaultColWidth="9.140625" defaultRowHeight="17.25"/>
  <cols>
    <col min="1" max="1" width="9.5703125" style="3" customWidth="1"/>
    <col min="2" max="2" width="24.5703125" style="3" customWidth="1"/>
    <col min="3" max="3" width="64.42578125" style="3" customWidth="1"/>
    <col min="4" max="4" width="52.140625" style="3" customWidth="1"/>
    <col min="5" max="5" width="15.85546875" style="3" customWidth="1"/>
    <col min="6" max="6" width="15.5703125" style="3" customWidth="1"/>
    <col min="7" max="7" width="13.85546875" style="3" customWidth="1"/>
    <col min="8" max="9" width="12.28515625" style="3" customWidth="1"/>
    <col min="10" max="16384" width="9.140625" style="3"/>
  </cols>
  <sheetData>
    <row r="1" spans="1:5" ht="37.35" customHeight="1">
      <c r="C1" s="400" t="s">
        <v>24</v>
      </c>
      <c r="D1" s="400"/>
    </row>
    <row r="2" spans="1:5" ht="17.649999999999999" customHeight="1">
      <c r="C2" s="401" t="s">
        <v>71</v>
      </c>
      <c r="D2" s="401"/>
    </row>
    <row r="3" spans="1:5" ht="17.649999999999999" customHeight="1">
      <c r="C3" s="401" t="s">
        <v>6</v>
      </c>
      <c r="D3" s="401"/>
    </row>
    <row r="6" spans="1:5" ht="75.95" customHeight="1">
      <c r="A6" s="402" t="s">
        <v>210</v>
      </c>
      <c r="B6" s="402"/>
      <c r="C6" s="402"/>
      <c r="D6" s="402"/>
    </row>
    <row r="7" spans="1:5">
      <c r="A7" s="82"/>
      <c r="B7" s="82"/>
      <c r="C7" s="82"/>
      <c r="D7" s="82"/>
    </row>
    <row r="9" spans="1:5">
      <c r="D9" s="32" t="s">
        <v>15</v>
      </c>
    </row>
    <row r="10" spans="1:5" s="14" customFormat="1" ht="76.349999999999994" customHeight="1">
      <c r="A10" s="403" t="s">
        <v>8</v>
      </c>
      <c r="B10" s="404"/>
      <c r="C10" s="405" t="s">
        <v>89</v>
      </c>
      <c r="D10" s="92" t="s">
        <v>31</v>
      </c>
    </row>
    <row r="11" spans="1:5" s="14" customFormat="1" ht="34.5">
      <c r="A11" s="92" t="s">
        <v>20</v>
      </c>
      <c r="B11" s="95" t="s">
        <v>90</v>
      </c>
      <c r="C11" s="406"/>
      <c r="D11" s="33" t="s">
        <v>9</v>
      </c>
    </row>
    <row r="12" spans="1:5" s="14" customFormat="1" ht="34.9" customHeight="1">
      <c r="A12" s="96" t="s">
        <v>91</v>
      </c>
      <c r="B12" s="97"/>
      <c r="C12" s="98" t="s">
        <v>14</v>
      </c>
      <c r="D12" s="99">
        <v>0</v>
      </c>
    </row>
    <row r="13" spans="1:5" s="14" customFormat="1" ht="18" customHeight="1">
      <c r="A13" s="96"/>
      <c r="B13" s="97"/>
      <c r="C13" s="93" t="s">
        <v>92</v>
      </c>
      <c r="D13" s="100"/>
    </row>
    <row r="14" spans="1:5" s="14" customFormat="1" ht="34.5">
      <c r="A14" s="101"/>
      <c r="B14" s="102"/>
      <c r="C14" s="98" t="s">
        <v>23</v>
      </c>
      <c r="D14" s="94">
        <v>0</v>
      </c>
    </row>
    <row r="15" spans="1:5" ht="17.850000000000001" customHeight="1">
      <c r="A15" s="391">
        <v>1045</v>
      </c>
      <c r="B15" s="394"/>
      <c r="C15" s="103" t="s">
        <v>93</v>
      </c>
      <c r="D15" s="110"/>
    </row>
    <row r="16" spans="1:5" ht="34.5">
      <c r="A16" s="392"/>
      <c r="B16" s="395"/>
      <c r="C16" s="104" t="s">
        <v>185</v>
      </c>
      <c r="D16" s="94">
        <f t="shared" ref="D16" si="0">+D23</f>
        <v>-115385.99999999999</v>
      </c>
      <c r="E16" s="111"/>
    </row>
    <row r="17" spans="1:5" ht="17.850000000000001" customHeight="1">
      <c r="A17" s="392"/>
      <c r="B17" s="395"/>
      <c r="C17" s="103" t="s">
        <v>94</v>
      </c>
      <c r="D17" s="112"/>
    </row>
    <row r="18" spans="1:5" ht="86.25">
      <c r="A18" s="392"/>
      <c r="B18" s="395"/>
      <c r="C18" s="109" t="s">
        <v>186</v>
      </c>
      <c r="D18" s="112"/>
    </row>
    <row r="19" spans="1:5" ht="17.850000000000001" customHeight="1">
      <c r="A19" s="392"/>
      <c r="B19" s="395"/>
      <c r="C19" s="103" t="s">
        <v>95</v>
      </c>
      <c r="D19" s="112"/>
    </row>
    <row r="20" spans="1:5" ht="69">
      <c r="A20" s="392"/>
      <c r="B20" s="396"/>
      <c r="C20" s="109" t="s">
        <v>187</v>
      </c>
      <c r="D20" s="112"/>
    </row>
    <row r="21" spans="1:5" ht="24" customHeight="1">
      <c r="A21" s="392"/>
      <c r="B21" s="122"/>
      <c r="C21" s="113" t="s">
        <v>100</v>
      </c>
      <c r="D21" s="106"/>
    </row>
    <row r="22" spans="1:5" ht="17.850000000000001" customHeight="1">
      <c r="A22" s="392"/>
      <c r="B22" s="397">
        <v>32001</v>
      </c>
      <c r="C22" s="103" t="s">
        <v>96</v>
      </c>
      <c r="D22" s="114"/>
    </row>
    <row r="23" spans="1:5" ht="69">
      <c r="A23" s="392"/>
      <c r="B23" s="398"/>
      <c r="C23" s="98" t="s">
        <v>188</v>
      </c>
      <c r="D23" s="105">
        <f>+'Հավելված N 2'!G187</f>
        <v>-115385.99999999999</v>
      </c>
      <c r="E23" s="111"/>
    </row>
    <row r="24" spans="1:5" ht="17.649999999999999" customHeight="1">
      <c r="A24" s="392"/>
      <c r="B24" s="398"/>
      <c r="C24" s="103" t="s">
        <v>97</v>
      </c>
      <c r="D24" s="93"/>
    </row>
    <row r="25" spans="1:5" ht="86.25">
      <c r="A25" s="392"/>
      <c r="B25" s="398"/>
      <c r="C25" s="109" t="s">
        <v>189</v>
      </c>
      <c r="D25" s="93"/>
    </row>
    <row r="26" spans="1:5" ht="17.649999999999999" customHeight="1">
      <c r="A26" s="392"/>
      <c r="B26" s="398"/>
      <c r="C26" s="103" t="s">
        <v>98</v>
      </c>
      <c r="D26" s="93"/>
    </row>
    <row r="27" spans="1:5" ht="51.75">
      <c r="A27" s="393"/>
      <c r="B27" s="399"/>
      <c r="C27" s="109" t="s">
        <v>99</v>
      </c>
      <c r="D27" s="93"/>
    </row>
    <row r="28" spans="1:5" ht="17.850000000000001" customHeight="1">
      <c r="A28" s="391">
        <v>1075</v>
      </c>
      <c r="B28" s="394"/>
      <c r="C28" s="103" t="s">
        <v>93</v>
      </c>
      <c r="D28" s="110"/>
    </row>
    <row r="29" spans="1:5">
      <c r="A29" s="392"/>
      <c r="B29" s="395"/>
      <c r="C29" s="104" t="s">
        <v>176</v>
      </c>
      <c r="D29" s="94">
        <f>+D36+D42</f>
        <v>-291203.69999999995</v>
      </c>
      <c r="E29" s="111"/>
    </row>
    <row r="30" spans="1:5" ht="17.850000000000001" customHeight="1">
      <c r="A30" s="392"/>
      <c r="B30" s="395"/>
      <c r="C30" s="103" t="s">
        <v>94</v>
      </c>
      <c r="D30" s="112"/>
    </row>
    <row r="31" spans="1:5" ht="34.5">
      <c r="A31" s="392"/>
      <c r="B31" s="395"/>
      <c r="C31" s="109" t="s">
        <v>190</v>
      </c>
      <c r="D31" s="112"/>
    </row>
    <row r="32" spans="1:5" ht="17.850000000000001" customHeight="1">
      <c r="A32" s="392"/>
      <c r="B32" s="395"/>
      <c r="C32" s="103" t="s">
        <v>95</v>
      </c>
      <c r="D32" s="112"/>
    </row>
    <row r="33" spans="1:5" ht="51.75">
      <c r="A33" s="392"/>
      <c r="B33" s="396"/>
      <c r="C33" s="109" t="s">
        <v>191</v>
      </c>
      <c r="D33" s="112"/>
    </row>
    <row r="34" spans="1:5" ht="24" customHeight="1">
      <c r="A34" s="392"/>
      <c r="B34" s="122"/>
      <c r="C34" s="113" t="s">
        <v>100</v>
      </c>
      <c r="D34" s="106"/>
    </row>
    <row r="35" spans="1:5" ht="17.850000000000001" customHeight="1">
      <c r="A35" s="392"/>
      <c r="B35" s="397">
        <v>21001</v>
      </c>
      <c r="C35" s="103" t="s">
        <v>96</v>
      </c>
      <c r="D35" s="114"/>
    </row>
    <row r="36" spans="1:5" ht="34.5">
      <c r="A36" s="392"/>
      <c r="B36" s="398"/>
      <c r="C36" s="98" t="s">
        <v>137</v>
      </c>
      <c r="D36" s="105">
        <f>+'Հավելված N 2'!G75</f>
        <v>-132019.19999999998</v>
      </c>
      <c r="E36" s="111"/>
    </row>
    <row r="37" spans="1:5" ht="17.649999999999999" customHeight="1">
      <c r="A37" s="392"/>
      <c r="B37" s="398"/>
      <c r="C37" s="103" t="s">
        <v>97</v>
      </c>
      <c r="D37" s="93"/>
    </row>
    <row r="38" spans="1:5" ht="86.25">
      <c r="A38" s="392"/>
      <c r="B38" s="398"/>
      <c r="C38" s="109" t="s">
        <v>192</v>
      </c>
      <c r="D38" s="93"/>
    </row>
    <row r="39" spans="1:5" ht="17.649999999999999" customHeight="1">
      <c r="A39" s="392"/>
      <c r="B39" s="398"/>
      <c r="C39" s="103" t="s">
        <v>98</v>
      </c>
      <c r="D39" s="93"/>
    </row>
    <row r="40" spans="1:5" ht="34.5">
      <c r="A40" s="392"/>
      <c r="B40" s="399"/>
      <c r="C40" s="109" t="s">
        <v>193</v>
      </c>
      <c r="D40" s="93"/>
    </row>
    <row r="41" spans="1:5" ht="17.850000000000001" customHeight="1">
      <c r="A41" s="392"/>
      <c r="B41" s="397">
        <v>32001</v>
      </c>
      <c r="C41" s="103" t="s">
        <v>96</v>
      </c>
      <c r="D41" s="114"/>
    </row>
    <row r="42" spans="1:5" ht="34.5">
      <c r="A42" s="392"/>
      <c r="B42" s="398"/>
      <c r="C42" s="98" t="s">
        <v>160</v>
      </c>
      <c r="D42" s="105">
        <f>+'Հավելված N 2'!G26</f>
        <v>-159184.5</v>
      </c>
      <c r="E42" s="111"/>
    </row>
    <row r="43" spans="1:5" ht="17.649999999999999" customHeight="1">
      <c r="A43" s="392"/>
      <c r="B43" s="398"/>
      <c r="C43" s="103" t="s">
        <v>97</v>
      </c>
      <c r="D43" s="93"/>
    </row>
    <row r="44" spans="1:5" ht="86.25">
      <c r="A44" s="392"/>
      <c r="B44" s="398"/>
      <c r="C44" s="109" t="s">
        <v>194</v>
      </c>
      <c r="D44" s="93"/>
    </row>
    <row r="45" spans="1:5" ht="17.649999999999999" customHeight="1">
      <c r="A45" s="392"/>
      <c r="B45" s="398"/>
      <c r="C45" s="103" t="s">
        <v>98</v>
      </c>
      <c r="D45" s="93"/>
    </row>
    <row r="46" spans="1:5" ht="51.75">
      <c r="A46" s="392"/>
      <c r="B46" s="399"/>
      <c r="C46" s="109" t="s">
        <v>99</v>
      </c>
      <c r="D46" s="93"/>
    </row>
    <row r="47" spans="1:5" ht="17.850000000000001" customHeight="1">
      <c r="A47" s="391">
        <v>1148</v>
      </c>
      <c r="B47" s="394"/>
      <c r="C47" s="103" t="s">
        <v>93</v>
      </c>
      <c r="D47" s="110"/>
    </row>
    <row r="48" spans="1:5">
      <c r="A48" s="392"/>
      <c r="B48" s="395"/>
      <c r="C48" s="104" t="s">
        <v>426</v>
      </c>
      <c r="D48" s="94">
        <f>+D55</f>
        <v>4100.8</v>
      </c>
      <c r="E48" s="111"/>
    </row>
    <row r="49" spans="1:5" ht="17.850000000000001" customHeight="1">
      <c r="A49" s="392"/>
      <c r="B49" s="395"/>
      <c r="C49" s="103" t="s">
        <v>94</v>
      </c>
      <c r="D49" s="112"/>
    </row>
    <row r="50" spans="1:5" ht="69">
      <c r="A50" s="392"/>
      <c r="B50" s="395"/>
      <c r="C50" s="109" t="s">
        <v>431</v>
      </c>
      <c r="D50" s="112"/>
    </row>
    <row r="51" spans="1:5" ht="17.850000000000001" customHeight="1">
      <c r="A51" s="392"/>
      <c r="B51" s="395"/>
      <c r="C51" s="103" t="s">
        <v>95</v>
      </c>
      <c r="D51" s="112"/>
    </row>
    <row r="52" spans="1:5" ht="51.75">
      <c r="A52" s="392"/>
      <c r="B52" s="396"/>
      <c r="C52" s="109" t="s">
        <v>432</v>
      </c>
      <c r="D52" s="112"/>
    </row>
    <row r="53" spans="1:5" ht="24" customHeight="1">
      <c r="A53" s="392"/>
      <c r="B53" s="122"/>
      <c r="C53" s="113" t="s">
        <v>100</v>
      </c>
      <c r="D53" s="106"/>
    </row>
    <row r="54" spans="1:5" ht="17.850000000000001" customHeight="1">
      <c r="A54" s="392"/>
      <c r="B54" s="397">
        <v>32005</v>
      </c>
      <c r="C54" s="103" t="s">
        <v>96</v>
      </c>
      <c r="D54" s="114"/>
    </row>
    <row r="55" spans="1:5" ht="69">
      <c r="A55" s="392"/>
      <c r="B55" s="398"/>
      <c r="C55" s="98" t="s">
        <v>433</v>
      </c>
      <c r="D55" s="105">
        <f>+'Հավելված N 2'!G170</f>
        <v>4100.8</v>
      </c>
      <c r="E55" s="111"/>
    </row>
    <row r="56" spans="1:5" ht="17.649999999999999" customHeight="1">
      <c r="A56" s="392"/>
      <c r="B56" s="398"/>
      <c r="C56" s="103" t="s">
        <v>97</v>
      </c>
      <c r="D56" s="93"/>
    </row>
    <row r="57" spans="1:5" ht="34.5">
      <c r="A57" s="392"/>
      <c r="B57" s="398"/>
      <c r="C57" s="109" t="s">
        <v>434</v>
      </c>
      <c r="D57" s="93"/>
    </row>
    <row r="58" spans="1:5" ht="17.649999999999999" customHeight="1">
      <c r="A58" s="392"/>
      <c r="B58" s="398"/>
      <c r="C58" s="103" t="s">
        <v>98</v>
      </c>
      <c r="D58" s="93"/>
    </row>
    <row r="59" spans="1:5" ht="51.75">
      <c r="A59" s="393"/>
      <c r="B59" s="399"/>
      <c r="C59" s="109" t="s">
        <v>99</v>
      </c>
      <c r="D59" s="93"/>
    </row>
    <row r="60" spans="1:5" ht="17.850000000000001" customHeight="1">
      <c r="A60" s="391">
        <v>1168</v>
      </c>
      <c r="B60" s="394"/>
      <c r="C60" s="103" t="s">
        <v>93</v>
      </c>
      <c r="D60" s="110"/>
    </row>
    <row r="61" spans="1:5">
      <c r="A61" s="392"/>
      <c r="B61" s="395"/>
      <c r="C61" s="104" t="s">
        <v>178</v>
      </c>
      <c r="D61" s="94">
        <f>+D68+D74</f>
        <v>-127946.2</v>
      </c>
      <c r="E61" s="111"/>
    </row>
    <row r="62" spans="1:5" ht="17.850000000000001" customHeight="1">
      <c r="A62" s="392"/>
      <c r="B62" s="395"/>
      <c r="C62" s="103" t="s">
        <v>94</v>
      </c>
      <c r="D62" s="112"/>
    </row>
    <row r="63" spans="1:5" ht="51.75">
      <c r="A63" s="392"/>
      <c r="B63" s="395"/>
      <c r="C63" s="109" t="s">
        <v>202</v>
      </c>
      <c r="D63" s="112"/>
    </row>
    <row r="64" spans="1:5" ht="17.850000000000001" customHeight="1">
      <c r="A64" s="392"/>
      <c r="B64" s="395"/>
      <c r="C64" s="103" t="s">
        <v>95</v>
      </c>
      <c r="D64" s="112"/>
    </row>
    <row r="65" spans="1:5" ht="69">
      <c r="A65" s="392"/>
      <c r="B65" s="396"/>
      <c r="C65" s="109" t="s">
        <v>203</v>
      </c>
      <c r="D65" s="112"/>
    </row>
    <row r="66" spans="1:5" ht="24" customHeight="1">
      <c r="A66" s="392"/>
      <c r="B66" s="122"/>
      <c r="C66" s="113" t="s">
        <v>100</v>
      </c>
      <c r="D66" s="106"/>
    </row>
    <row r="67" spans="1:5" ht="17.850000000000001" customHeight="1">
      <c r="A67" s="392"/>
      <c r="B67" s="397">
        <v>32001</v>
      </c>
      <c r="C67" s="103" t="s">
        <v>96</v>
      </c>
      <c r="D67" s="114"/>
    </row>
    <row r="68" spans="1:5" ht="51.75">
      <c r="A68" s="392"/>
      <c r="B68" s="398"/>
      <c r="C68" s="98" t="s">
        <v>179</v>
      </c>
      <c r="D68" s="105">
        <f>+'Հավելված N 2'!G47</f>
        <v>-82696.2</v>
      </c>
      <c r="E68" s="111"/>
    </row>
    <row r="69" spans="1:5" ht="17.649999999999999" customHeight="1">
      <c r="A69" s="392"/>
      <c r="B69" s="398"/>
      <c r="C69" s="103" t="s">
        <v>97</v>
      </c>
      <c r="D69" s="93"/>
    </row>
    <row r="70" spans="1:5" ht="86.25">
      <c r="A70" s="392"/>
      <c r="B70" s="398"/>
      <c r="C70" s="109" t="s">
        <v>204</v>
      </c>
      <c r="D70" s="93"/>
    </row>
    <row r="71" spans="1:5" ht="17.649999999999999" customHeight="1">
      <c r="A71" s="392"/>
      <c r="B71" s="398"/>
      <c r="C71" s="103" t="s">
        <v>98</v>
      </c>
      <c r="D71" s="93"/>
    </row>
    <row r="72" spans="1:5" ht="51.75">
      <c r="A72" s="392"/>
      <c r="B72" s="399"/>
      <c r="C72" s="109" t="s">
        <v>99</v>
      </c>
      <c r="D72" s="93"/>
    </row>
    <row r="73" spans="1:5" ht="17.850000000000001" customHeight="1">
      <c r="A73" s="392"/>
      <c r="B73" s="397">
        <v>32008</v>
      </c>
      <c r="C73" s="103" t="s">
        <v>96</v>
      </c>
      <c r="D73" s="114"/>
    </row>
    <row r="74" spans="1:5">
      <c r="A74" s="392"/>
      <c r="B74" s="398"/>
      <c r="C74" s="98" t="s">
        <v>396</v>
      </c>
      <c r="D74" s="105">
        <f>+'Հավելված N 2'!G60</f>
        <v>-45250</v>
      </c>
      <c r="E74" s="111"/>
    </row>
    <row r="75" spans="1:5" ht="17.649999999999999" customHeight="1">
      <c r="A75" s="392"/>
      <c r="B75" s="398"/>
      <c r="C75" s="103" t="s">
        <v>97</v>
      </c>
      <c r="D75" s="93"/>
    </row>
    <row r="76" spans="1:5" ht="34.5">
      <c r="A76" s="392"/>
      <c r="B76" s="398"/>
      <c r="C76" s="109" t="s">
        <v>435</v>
      </c>
      <c r="D76" s="93"/>
    </row>
    <row r="77" spans="1:5" ht="17.649999999999999" customHeight="1">
      <c r="A77" s="392"/>
      <c r="B77" s="398"/>
      <c r="C77" s="103" t="s">
        <v>98</v>
      </c>
      <c r="D77" s="93"/>
    </row>
    <row r="78" spans="1:5" ht="51.75">
      <c r="A78" s="393"/>
      <c r="B78" s="399"/>
      <c r="C78" s="109" t="s">
        <v>99</v>
      </c>
      <c r="D78" s="93"/>
    </row>
    <row r="79" spans="1:5" ht="17.850000000000001" customHeight="1">
      <c r="A79" s="391">
        <v>1183</v>
      </c>
      <c r="B79" s="394"/>
      <c r="C79" s="103" t="s">
        <v>93</v>
      </c>
      <c r="D79" s="110"/>
    </row>
    <row r="80" spans="1:5">
      <c r="A80" s="392"/>
      <c r="B80" s="395"/>
      <c r="C80" s="104" t="s">
        <v>115</v>
      </c>
      <c r="D80" s="94">
        <f>+D87+D93+D99</f>
        <v>15779.999999999998</v>
      </c>
      <c r="E80" s="111"/>
    </row>
    <row r="81" spans="1:5" ht="17.850000000000001" customHeight="1">
      <c r="A81" s="392"/>
      <c r="B81" s="395"/>
      <c r="C81" s="103" t="s">
        <v>94</v>
      </c>
      <c r="D81" s="112"/>
    </row>
    <row r="82" spans="1:5" ht="86.25">
      <c r="A82" s="392"/>
      <c r="B82" s="395"/>
      <c r="C82" s="109" t="s">
        <v>118</v>
      </c>
      <c r="D82" s="112"/>
    </row>
    <row r="83" spans="1:5" ht="17.850000000000001" customHeight="1">
      <c r="A83" s="392"/>
      <c r="B83" s="395"/>
      <c r="C83" s="103" t="s">
        <v>95</v>
      </c>
      <c r="D83" s="112"/>
    </row>
    <row r="84" spans="1:5">
      <c r="A84" s="392"/>
      <c r="B84" s="396"/>
      <c r="C84" s="109" t="s">
        <v>119</v>
      </c>
      <c r="D84" s="112"/>
    </row>
    <row r="85" spans="1:5" ht="24" customHeight="1">
      <c r="A85" s="392"/>
      <c r="B85" s="122"/>
      <c r="C85" s="113" t="s">
        <v>100</v>
      </c>
      <c r="D85" s="106"/>
    </row>
    <row r="86" spans="1:5" ht="17.850000000000001" customHeight="1">
      <c r="A86" s="392"/>
      <c r="B86" s="397">
        <v>11002</v>
      </c>
      <c r="C86" s="103" t="s">
        <v>96</v>
      </c>
      <c r="D86" s="114"/>
    </row>
    <row r="87" spans="1:5" ht="51.75">
      <c r="A87" s="392"/>
      <c r="B87" s="398"/>
      <c r="C87" s="98" t="s">
        <v>436</v>
      </c>
      <c r="D87" s="105">
        <f>+'Հավելված N 2'!G133</f>
        <v>30000</v>
      </c>
      <c r="E87" s="111"/>
    </row>
    <row r="88" spans="1:5" ht="17.649999999999999" customHeight="1">
      <c r="A88" s="392"/>
      <c r="B88" s="398"/>
      <c r="C88" s="103" t="s">
        <v>97</v>
      </c>
      <c r="D88" s="93"/>
    </row>
    <row r="89" spans="1:5" ht="69">
      <c r="A89" s="392"/>
      <c r="B89" s="398"/>
      <c r="C89" s="109" t="s">
        <v>437</v>
      </c>
      <c r="D89" s="93"/>
    </row>
    <row r="90" spans="1:5" ht="17.649999999999999" customHeight="1">
      <c r="A90" s="392"/>
      <c r="B90" s="398"/>
      <c r="C90" s="103" t="s">
        <v>98</v>
      </c>
      <c r="D90" s="93"/>
    </row>
    <row r="91" spans="1:5" ht="15.6" customHeight="1">
      <c r="A91" s="392"/>
      <c r="B91" s="399"/>
      <c r="C91" s="109" t="s">
        <v>205</v>
      </c>
      <c r="D91" s="93"/>
    </row>
    <row r="92" spans="1:5" ht="17.850000000000001" customHeight="1">
      <c r="A92" s="392"/>
      <c r="B92" s="397">
        <v>32001</v>
      </c>
      <c r="C92" s="103" t="s">
        <v>96</v>
      </c>
      <c r="D92" s="114"/>
    </row>
    <row r="93" spans="1:5">
      <c r="A93" s="392"/>
      <c r="B93" s="398"/>
      <c r="C93" s="98" t="s">
        <v>362</v>
      </c>
      <c r="D93" s="105">
        <f>+'Հավելված N 2'!G204</f>
        <v>1939.8</v>
      </c>
      <c r="E93" s="111"/>
    </row>
    <row r="94" spans="1:5" ht="17.649999999999999" customHeight="1">
      <c r="A94" s="392"/>
      <c r="B94" s="398"/>
      <c r="C94" s="103" t="s">
        <v>97</v>
      </c>
      <c r="D94" s="93"/>
    </row>
    <row r="95" spans="1:5" ht="16.149999999999999" customHeight="1">
      <c r="A95" s="392"/>
      <c r="B95" s="398"/>
      <c r="C95" s="109" t="s">
        <v>440</v>
      </c>
      <c r="D95" s="93"/>
    </row>
    <row r="96" spans="1:5" ht="17.649999999999999" customHeight="1">
      <c r="A96" s="392"/>
      <c r="B96" s="398"/>
      <c r="C96" s="103" t="s">
        <v>98</v>
      </c>
      <c r="D96" s="93"/>
    </row>
    <row r="97" spans="1:5" ht="51.75">
      <c r="A97" s="392"/>
      <c r="B97" s="399"/>
      <c r="C97" s="109" t="s">
        <v>99</v>
      </c>
      <c r="D97" s="93"/>
    </row>
    <row r="98" spans="1:5" ht="17.850000000000001" customHeight="1">
      <c r="A98" s="392"/>
      <c r="B98" s="397">
        <v>32004</v>
      </c>
      <c r="C98" s="103" t="s">
        <v>96</v>
      </c>
      <c r="D98" s="114"/>
    </row>
    <row r="99" spans="1:5" ht="51.75">
      <c r="A99" s="392"/>
      <c r="B99" s="398"/>
      <c r="C99" s="98" t="s">
        <v>438</v>
      </c>
      <c r="D99" s="105">
        <f>+'Հավելված N 2'!G213</f>
        <v>-16159.800000000001</v>
      </c>
      <c r="E99" s="111"/>
    </row>
    <row r="100" spans="1:5" ht="17.649999999999999" customHeight="1">
      <c r="A100" s="392"/>
      <c r="B100" s="398"/>
      <c r="C100" s="103" t="s">
        <v>97</v>
      </c>
      <c r="D100" s="93"/>
    </row>
    <row r="101" spans="1:5" ht="16.149999999999999" customHeight="1">
      <c r="A101" s="392"/>
      <c r="B101" s="398"/>
      <c r="C101" s="109" t="s">
        <v>439</v>
      </c>
      <c r="D101" s="93"/>
    </row>
    <row r="102" spans="1:5" ht="17.649999999999999" customHeight="1">
      <c r="A102" s="392"/>
      <c r="B102" s="398"/>
      <c r="C102" s="103" t="s">
        <v>98</v>
      </c>
      <c r="D102" s="93"/>
    </row>
    <row r="103" spans="1:5" ht="51.75">
      <c r="A103" s="393"/>
      <c r="B103" s="399"/>
      <c r="C103" s="109" t="s">
        <v>99</v>
      </c>
      <c r="D103" s="93"/>
    </row>
    <row r="104" spans="1:5" ht="17.850000000000001" customHeight="1">
      <c r="A104" s="391">
        <v>1192</v>
      </c>
      <c r="B104" s="394"/>
      <c r="C104" s="103" t="s">
        <v>93</v>
      </c>
      <c r="D104" s="110"/>
    </row>
    <row r="105" spans="1:5">
      <c r="A105" s="392"/>
      <c r="B105" s="395"/>
      <c r="C105" s="104" t="s">
        <v>484</v>
      </c>
      <c r="D105" s="94">
        <f>+D112</f>
        <v>24427</v>
      </c>
      <c r="E105" s="111"/>
    </row>
    <row r="106" spans="1:5" ht="17.850000000000001" customHeight="1">
      <c r="A106" s="392"/>
      <c r="B106" s="395"/>
      <c r="C106" s="103" t="s">
        <v>94</v>
      </c>
      <c r="D106" s="112"/>
    </row>
    <row r="107" spans="1:5" ht="86.25">
      <c r="A107" s="392"/>
      <c r="B107" s="395"/>
      <c r="C107" s="109" t="s">
        <v>493</v>
      </c>
      <c r="D107" s="112"/>
    </row>
    <row r="108" spans="1:5" ht="17.850000000000001" customHeight="1">
      <c r="A108" s="392"/>
      <c r="B108" s="395"/>
      <c r="C108" s="103" t="s">
        <v>95</v>
      </c>
      <c r="D108" s="112"/>
    </row>
    <row r="109" spans="1:5" ht="103.5">
      <c r="A109" s="392"/>
      <c r="B109" s="396"/>
      <c r="C109" s="109" t="s">
        <v>494</v>
      </c>
      <c r="D109" s="112"/>
    </row>
    <row r="110" spans="1:5" ht="24" customHeight="1">
      <c r="A110" s="392"/>
      <c r="B110" s="122"/>
      <c r="C110" s="113" t="s">
        <v>100</v>
      </c>
      <c r="D110" s="106"/>
    </row>
    <row r="111" spans="1:5" ht="17.850000000000001" customHeight="1">
      <c r="A111" s="392"/>
      <c r="B111" s="397">
        <v>11023</v>
      </c>
      <c r="C111" s="103" t="s">
        <v>96</v>
      </c>
      <c r="D111" s="114"/>
    </row>
    <row r="112" spans="1:5" ht="51.75">
      <c r="A112" s="392"/>
      <c r="B112" s="398"/>
      <c r="C112" s="98" t="s">
        <v>486</v>
      </c>
      <c r="D112" s="105">
        <f>+'Հավելված N 2'!G224</f>
        <v>24427</v>
      </c>
      <c r="E112" s="111"/>
    </row>
    <row r="113" spans="1:5" ht="17.649999999999999" customHeight="1">
      <c r="A113" s="392"/>
      <c r="B113" s="398"/>
      <c r="C113" s="103" t="s">
        <v>97</v>
      </c>
      <c r="D113" s="93"/>
    </row>
    <row r="114" spans="1:5" ht="51.75">
      <c r="A114" s="392"/>
      <c r="B114" s="398"/>
      <c r="C114" s="109" t="s">
        <v>492</v>
      </c>
      <c r="D114" s="93"/>
    </row>
    <row r="115" spans="1:5" ht="17.649999999999999" customHeight="1">
      <c r="A115" s="392"/>
      <c r="B115" s="398"/>
      <c r="C115" s="103" t="s">
        <v>98</v>
      </c>
      <c r="D115" s="93"/>
    </row>
    <row r="116" spans="1:5">
      <c r="A116" s="393"/>
      <c r="B116" s="399"/>
      <c r="C116" s="109" t="s">
        <v>205</v>
      </c>
      <c r="D116" s="93"/>
    </row>
    <row r="117" spans="1:5" ht="17.850000000000001" customHeight="1">
      <c r="A117" s="391">
        <v>1236</v>
      </c>
      <c r="B117" s="394"/>
      <c r="C117" s="103" t="s">
        <v>93</v>
      </c>
      <c r="D117" s="110"/>
    </row>
    <row r="118" spans="1:5" ht="34.5">
      <c r="A118" s="392"/>
      <c r="B118" s="395"/>
      <c r="C118" s="104" t="s">
        <v>83</v>
      </c>
      <c r="D118" s="94">
        <f>+D125+D131+D137+D143</f>
        <v>490228.1</v>
      </c>
      <c r="E118" s="111"/>
    </row>
    <row r="119" spans="1:5" ht="17.850000000000001" customHeight="1">
      <c r="A119" s="392"/>
      <c r="B119" s="395"/>
      <c r="C119" s="103" t="s">
        <v>94</v>
      </c>
      <c r="D119" s="112"/>
    </row>
    <row r="120" spans="1:5" ht="69">
      <c r="A120" s="392"/>
      <c r="B120" s="395"/>
      <c r="C120" s="109" t="s">
        <v>101</v>
      </c>
      <c r="D120" s="112"/>
    </row>
    <row r="121" spans="1:5" ht="17.850000000000001" customHeight="1">
      <c r="A121" s="392"/>
      <c r="B121" s="395"/>
      <c r="C121" s="103" t="s">
        <v>95</v>
      </c>
      <c r="D121" s="112"/>
    </row>
    <row r="122" spans="1:5">
      <c r="A122" s="392"/>
      <c r="B122" s="396"/>
      <c r="C122" s="109" t="s">
        <v>102</v>
      </c>
      <c r="D122" s="112"/>
    </row>
    <row r="123" spans="1:5" ht="24" customHeight="1">
      <c r="A123" s="392"/>
      <c r="B123" s="122"/>
      <c r="C123" s="113" t="s">
        <v>100</v>
      </c>
      <c r="D123" s="106"/>
    </row>
    <row r="124" spans="1:5" ht="17.850000000000001" customHeight="1">
      <c r="A124" s="392"/>
      <c r="B124" s="397">
        <v>32001</v>
      </c>
      <c r="C124" s="107" t="s">
        <v>96</v>
      </c>
      <c r="D124" s="114"/>
    </row>
    <row r="125" spans="1:5">
      <c r="A125" s="392"/>
      <c r="B125" s="398"/>
      <c r="C125" s="115" t="s">
        <v>362</v>
      </c>
      <c r="D125" s="105">
        <f>+'Հավելված N 2'!G96</f>
        <v>262552.3</v>
      </c>
      <c r="E125" s="111"/>
    </row>
    <row r="126" spans="1:5" ht="17.649999999999999" customHeight="1">
      <c r="A126" s="392"/>
      <c r="B126" s="398"/>
      <c r="C126" s="107" t="s">
        <v>97</v>
      </c>
      <c r="D126" s="93"/>
    </row>
    <row r="127" spans="1:5" ht="69">
      <c r="A127" s="392"/>
      <c r="B127" s="398"/>
      <c r="C127" s="108" t="s">
        <v>440</v>
      </c>
      <c r="D127" s="93"/>
    </row>
    <row r="128" spans="1:5" ht="17.649999999999999" customHeight="1">
      <c r="A128" s="392"/>
      <c r="B128" s="398"/>
      <c r="C128" s="107" t="s">
        <v>98</v>
      </c>
      <c r="D128" s="93"/>
    </row>
    <row r="129" spans="1:5" ht="51.75">
      <c r="A129" s="392"/>
      <c r="B129" s="399"/>
      <c r="C129" s="108" t="s">
        <v>99</v>
      </c>
      <c r="D129" s="93"/>
    </row>
    <row r="130" spans="1:5" ht="17.850000000000001" customHeight="1">
      <c r="A130" s="392"/>
      <c r="B130" s="397">
        <v>32002</v>
      </c>
      <c r="C130" s="107" t="s">
        <v>96</v>
      </c>
      <c r="D130" s="114"/>
    </row>
    <row r="131" spans="1:5" ht="34.5">
      <c r="A131" s="392"/>
      <c r="B131" s="398"/>
      <c r="C131" s="115" t="s">
        <v>416</v>
      </c>
      <c r="D131" s="105">
        <f>+'Հավելված N 2'!G109</f>
        <v>233117.30000000002</v>
      </c>
      <c r="E131" s="111"/>
    </row>
    <row r="132" spans="1:5" ht="17.649999999999999" customHeight="1">
      <c r="A132" s="392"/>
      <c r="B132" s="398"/>
      <c r="C132" s="107" t="s">
        <v>97</v>
      </c>
      <c r="D132" s="93"/>
    </row>
    <row r="133" spans="1:5" ht="69">
      <c r="A133" s="392"/>
      <c r="B133" s="398"/>
      <c r="C133" s="108" t="s">
        <v>441</v>
      </c>
      <c r="D133" s="93"/>
    </row>
    <row r="134" spans="1:5" ht="17.649999999999999" customHeight="1">
      <c r="A134" s="392"/>
      <c r="B134" s="398"/>
      <c r="C134" s="107" t="s">
        <v>98</v>
      </c>
      <c r="D134" s="93"/>
    </row>
    <row r="135" spans="1:5" ht="51.75">
      <c r="A135" s="392"/>
      <c r="B135" s="399"/>
      <c r="C135" s="108" t="s">
        <v>99</v>
      </c>
      <c r="D135" s="93"/>
    </row>
    <row r="136" spans="1:5" ht="17.850000000000001" customHeight="1">
      <c r="A136" s="392"/>
      <c r="B136" s="397">
        <v>32003</v>
      </c>
      <c r="C136" s="107" t="s">
        <v>96</v>
      </c>
      <c r="D136" s="114"/>
    </row>
    <row r="137" spans="1:5">
      <c r="A137" s="392"/>
      <c r="B137" s="398"/>
      <c r="C137" s="115" t="s">
        <v>355</v>
      </c>
      <c r="D137" s="105">
        <f>+'Հավելված N 2'!G144</f>
        <v>36526.9</v>
      </c>
      <c r="E137" s="111"/>
    </row>
    <row r="138" spans="1:5" ht="17.649999999999999" customHeight="1">
      <c r="A138" s="392"/>
      <c r="B138" s="398"/>
      <c r="C138" s="107" t="s">
        <v>97</v>
      </c>
      <c r="D138" s="93"/>
    </row>
    <row r="139" spans="1:5" ht="86.25">
      <c r="A139" s="392"/>
      <c r="B139" s="398"/>
      <c r="C139" s="108" t="s">
        <v>442</v>
      </c>
      <c r="D139" s="93"/>
    </row>
    <row r="140" spans="1:5" ht="17.649999999999999" customHeight="1">
      <c r="A140" s="392"/>
      <c r="B140" s="398"/>
      <c r="C140" s="107" t="s">
        <v>98</v>
      </c>
      <c r="D140" s="93"/>
    </row>
    <row r="141" spans="1:5" ht="51.75">
      <c r="A141" s="392"/>
      <c r="B141" s="399"/>
      <c r="C141" s="108" t="s">
        <v>99</v>
      </c>
      <c r="D141" s="93"/>
    </row>
    <row r="142" spans="1:5" ht="17.850000000000001" customHeight="1">
      <c r="A142" s="392"/>
      <c r="B142" s="397">
        <v>32006</v>
      </c>
      <c r="C142" s="107" t="s">
        <v>96</v>
      </c>
      <c r="D142" s="114"/>
    </row>
    <row r="143" spans="1:5" ht="51.75">
      <c r="A143" s="392"/>
      <c r="B143" s="398"/>
      <c r="C143" s="115" t="s">
        <v>106</v>
      </c>
      <c r="D143" s="105">
        <f>+'Հավելված N 2'!G153</f>
        <v>-41968.4</v>
      </c>
      <c r="E143" s="111"/>
    </row>
    <row r="144" spans="1:5" ht="17.649999999999999" customHeight="1">
      <c r="A144" s="392"/>
      <c r="B144" s="398"/>
      <c r="C144" s="107" t="s">
        <v>97</v>
      </c>
      <c r="D144" s="93"/>
    </row>
    <row r="145" spans="1:5" ht="86.25">
      <c r="A145" s="392"/>
      <c r="B145" s="398"/>
      <c r="C145" s="108" t="s">
        <v>107</v>
      </c>
      <c r="D145" s="93"/>
    </row>
    <row r="146" spans="1:5" ht="17.649999999999999" customHeight="1">
      <c r="A146" s="392"/>
      <c r="B146" s="398"/>
      <c r="C146" s="107" t="s">
        <v>98</v>
      </c>
      <c r="D146" s="93"/>
    </row>
    <row r="147" spans="1:5" ht="51.75">
      <c r="A147" s="393"/>
      <c r="B147" s="399"/>
      <c r="C147" s="108" t="s">
        <v>99</v>
      </c>
      <c r="D147" s="93"/>
    </row>
    <row r="148" spans="1:5" ht="8.65" customHeight="1"/>
    <row r="149" spans="1:5" s="14" customFormat="1" ht="32.450000000000003" customHeight="1">
      <c r="A149" s="195"/>
      <c r="B149" s="102"/>
      <c r="C149" s="98" t="s">
        <v>206</v>
      </c>
      <c r="D149" s="202">
        <f>+D151</f>
        <v>0</v>
      </c>
    </row>
    <row r="150" spans="1:5" ht="17.850000000000001" customHeight="1">
      <c r="A150" s="407">
        <v>1139</v>
      </c>
      <c r="B150" s="408"/>
      <c r="C150" s="103" t="s">
        <v>93</v>
      </c>
      <c r="D150" s="110"/>
    </row>
    <row r="151" spans="1:5" ht="19.350000000000001" customHeight="1">
      <c r="A151" s="407"/>
      <c r="B151" s="408"/>
      <c r="C151" s="104" t="s">
        <v>199</v>
      </c>
      <c r="D151" s="94">
        <f t="shared" ref="D151" si="1">+D158+D164</f>
        <v>0</v>
      </c>
      <c r="E151" s="111"/>
    </row>
    <row r="152" spans="1:5" ht="17.850000000000001" customHeight="1">
      <c r="A152" s="407"/>
      <c r="B152" s="408"/>
      <c r="C152" s="103" t="s">
        <v>94</v>
      </c>
      <c r="D152" s="112"/>
    </row>
    <row r="153" spans="1:5" ht="51.75">
      <c r="A153" s="407"/>
      <c r="B153" s="408"/>
      <c r="C153" s="109" t="s">
        <v>207</v>
      </c>
      <c r="D153" s="112"/>
    </row>
    <row r="154" spans="1:5" ht="17.850000000000001" customHeight="1">
      <c r="A154" s="407"/>
      <c r="B154" s="408"/>
      <c r="C154" s="103" t="s">
        <v>95</v>
      </c>
      <c r="D154" s="112"/>
    </row>
    <row r="155" spans="1:5" ht="34.5">
      <c r="A155" s="407"/>
      <c r="B155" s="408"/>
      <c r="C155" s="109" t="s">
        <v>208</v>
      </c>
      <c r="D155" s="112"/>
    </row>
    <row r="156" spans="1:5" ht="24" customHeight="1">
      <c r="A156" s="407"/>
      <c r="B156" s="122"/>
      <c r="C156" s="113" t="s">
        <v>100</v>
      </c>
      <c r="D156" s="106"/>
    </row>
    <row r="157" spans="1:5" ht="17.850000000000001" customHeight="1">
      <c r="A157" s="407"/>
      <c r="B157" s="409">
        <v>11001</v>
      </c>
      <c r="C157" s="107" t="s">
        <v>96</v>
      </c>
      <c r="D157" s="114"/>
    </row>
    <row r="158" spans="1:5">
      <c r="A158" s="407"/>
      <c r="B158" s="409"/>
      <c r="C158" s="115" t="s">
        <v>199</v>
      </c>
      <c r="D158" s="105">
        <f>+'Հավելված N 2'!G245</f>
        <v>4100.8</v>
      </c>
      <c r="E158" s="111"/>
    </row>
    <row r="159" spans="1:5" ht="17.649999999999999" customHeight="1">
      <c r="A159" s="407"/>
      <c r="B159" s="409"/>
      <c r="C159" s="107" t="s">
        <v>97</v>
      </c>
      <c r="D159" s="93"/>
    </row>
    <row r="160" spans="1:5" ht="86.25">
      <c r="A160" s="407"/>
      <c r="B160" s="409"/>
      <c r="C160" s="108" t="s">
        <v>209</v>
      </c>
      <c r="D160" s="93"/>
    </row>
    <row r="161" spans="1:5" ht="17.649999999999999" customHeight="1">
      <c r="A161" s="407"/>
      <c r="B161" s="409"/>
      <c r="C161" s="107" t="s">
        <v>98</v>
      </c>
      <c r="D161" s="93"/>
    </row>
    <row r="162" spans="1:5">
      <c r="A162" s="407"/>
      <c r="B162" s="409"/>
      <c r="C162" s="108" t="s">
        <v>205</v>
      </c>
      <c r="D162" s="93"/>
    </row>
    <row r="163" spans="1:5" ht="17.850000000000001" customHeight="1">
      <c r="A163" s="407"/>
      <c r="B163" s="409">
        <v>11001</v>
      </c>
      <c r="C163" s="107" t="s">
        <v>96</v>
      </c>
      <c r="D163" s="114"/>
    </row>
    <row r="164" spans="1:5">
      <c r="A164" s="407"/>
      <c r="B164" s="409"/>
      <c r="C164" s="115" t="s">
        <v>199</v>
      </c>
      <c r="D164" s="105">
        <f>+'Հավելված N 2'!G253</f>
        <v>-4100.8</v>
      </c>
      <c r="E164" s="111"/>
    </row>
    <row r="165" spans="1:5" ht="17.649999999999999" customHeight="1">
      <c r="A165" s="407"/>
      <c r="B165" s="409"/>
      <c r="C165" s="107" t="s">
        <v>97</v>
      </c>
      <c r="D165" s="93"/>
    </row>
    <row r="166" spans="1:5" ht="86.25">
      <c r="A166" s="407"/>
      <c r="B166" s="409"/>
      <c r="C166" s="108" t="s">
        <v>209</v>
      </c>
      <c r="D166" s="93"/>
    </row>
    <row r="167" spans="1:5" ht="17.649999999999999" customHeight="1">
      <c r="A167" s="407"/>
      <c r="B167" s="409"/>
      <c r="C167" s="107" t="s">
        <v>98</v>
      </c>
      <c r="D167" s="93"/>
    </row>
    <row r="168" spans="1:5">
      <c r="A168" s="407"/>
      <c r="B168" s="409"/>
      <c r="C168" s="108" t="s">
        <v>205</v>
      </c>
      <c r="D168" s="93"/>
    </row>
  </sheetData>
  <mergeCells count="38">
    <mergeCell ref="B60:B65"/>
    <mergeCell ref="A47:A59"/>
    <mergeCell ref="B47:B52"/>
    <mergeCell ref="B54:B59"/>
    <mergeCell ref="A104:A116"/>
    <mergeCell ref="B104:B109"/>
    <mergeCell ref="B111:B116"/>
    <mergeCell ref="B67:B72"/>
    <mergeCell ref="B73:B78"/>
    <mergeCell ref="B79:B84"/>
    <mergeCell ref="B86:B91"/>
    <mergeCell ref="A60:A78"/>
    <mergeCell ref="B98:B103"/>
    <mergeCell ref="A79:A103"/>
    <mergeCell ref="B92:B97"/>
    <mergeCell ref="B117:B122"/>
    <mergeCell ref="A117:A147"/>
    <mergeCell ref="B142:B147"/>
    <mergeCell ref="B130:B135"/>
    <mergeCell ref="B136:B141"/>
    <mergeCell ref="A150:A168"/>
    <mergeCell ref="B150:B155"/>
    <mergeCell ref="B157:B162"/>
    <mergeCell ref="B163:B168"/>
    <mergeCell ref="B124:B129"/>
    <mergeCell ref="C1:D1"/>
    <mergeCell ref="C2:D2"/>
    <mergeCell ref="C3:D3"/>
    <mergeCell ref="A6:D6"/>
    <mergeCell ref="A10:B10"/>
    <mergeCell ref="C10:C11"/>
    <mergeCell ref="A15:A27"/>
    <mergeCell ref="B15:B20"/>
    <mergeCell ref="B22:B27"/>
    <mergeCell ref="B28:B33"/>
    <mergeCell ref="B41:B46"/>
    <mergeCell ref="B35:B40"/>
    <mergeCell ref="A28:A46"/>
  </mergeCells>
  <pageMargins left="0" right="0" top="0" bottom="0" header="0.3" footer="0.3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0"/>
  <sheetViews>
    <sheetView topLeftCell="A104" zoomScale="74" zoomScaleNormal="74" zoomScaleSheetLayoutView="100" workbookViewId="0">
      <selection activeCell="G110" sqref="G110"/>
    </sheetView>
  </sheetViews>
  <sheetFormatPr defaultColWidth="9.140625" defaultRowHeight="17.25"/>
  <cols>
    <col min="1" max="3" width="8.140625" style="3" customWidth="1"/>
    <col min="4" max="4" width="11.5703125" style="3" customWidth="1"/>
    <col min="5" max="5" width="13.85546875" style="3" customWidth="1"/>
    <col min="6" max="6" width="62.140625" style="3" customWidth="1"/>
    <col min="7" max="7" width="38.28515625" style="3" customWidth="1"/>
    <col min="8" max="8" width="15" style="3" customWidth="1"/>
    <col min="9" max="16384" width="9.140625" style="3"/>
  </cols>
  <sheetData>
    <row r="1" spans="1:7" s="34" customFormat="1" ht="37.5" customHeight="1">
      <c r="F1" s="400" t="s">
        <v>25</v>
      </c>
      <c r="G1" s="400"/>
    </row>
    <row r="2" spans="1:7" s="32" customFormat="1" ht="17.649999999999999" customHeight="1">
      <c r="F2" s="401" t="s">
        <v>71</v>
      </c>
      <c r="G2" s="401"/>
    </row>
    <row r="3" spans="1:7" s="32" customFormat="1">
      <c r="F3" s="401" t="s">
        <v>6</v>
      </c>
      <c r="G3" s="401"/>
    </row>
    <row r="4" spans="1:7" ht="13.7" customHeight="1"/>
    <row r="5" spans="1:7" ht="13.7" customHeight="1"/>
    <row r="6" spans="1:7" ht="13.7" customHeight="1"/>
    <row r="7" spans="1:7" ht="52.5" customHeight="1">
      <c r="A7" s="402" t="s">
        <v>84</v>
      </c>
      <c r="B7" s="402"/>
      <c r="C7" s="402"/>
      <c r="D7" s="402"/>
      <c r="E7" s="402"/>
      <c r="F7" s="402"/>
      <c r="G7" s="402"/>
    </row>
    <row r="8" spans="1:7">
      <c r="A8" s="82"/>
      <c r="B8" s="82"/>
      <c r="C8" s="82"/>
      <c r="D8" s="82"/>
      <c r="E8" s="82"/>
      <c r="F8" s="82"/>
      <c r="G8" s="82"/>
    </row>
    <row r="10" spans="1:7">
      <c r="G10" s="32" t="s">
        <v>15</v>
      </c>
    </row>
    <row r="11" spans="1:7" s="14" customFormat="1" ht="73.150000000000006" customHeight="1">
      <c r="A11" s="410" t="s">
        <v>16</v>
      </c>
      <c r="B11" s="410"/>
      <c r="C11" s="410"/>
      <c r="D11" s="410" t="s">
        <v>8</v>
      </c>
      <c r="E11" s="410"/>
      <c r="F11" s="410" t="s">
        <v>11</v>
      </c>
      <c r="G11" s="92" t="s">
        <v>31</v>
      </c>
    </row>
    <row r="12" spans="1:7" s="14" customFormat="1" ht="34.5">
      <c r="A12" s="33" t="s">
        <v>29</v>
      </c>
      <c r="B12" s="33" t="s">
        <v>30</v>
      </c>
      <c r="C12" s="33" t="s">
        <v>17</v>
      </c>
      <c r="D12" s="33" t="s">
        <v>10</v>
      </c>
      <c r="E12" s="33" t="s">
        <v>21</v>
      </c>
      <c r="F12" s="410"/>
      <c r="G12" s="33" t="s">
        <v>9</v>
      </c>
    </row>
    <row r="13" spans="1:7" s="14" customFormat="1" ht="34.9" customHeight="1">
      <c r="A13" s="13"/>
      <c r="B13" s="13"/>
      <c r="C13" s="13"/>
      <c r="D13" s="33"/>
      <c r="E13" s="33"/>
      <c r="F13" s="17" t="s">
        <v>14</v>
      </c>
      <c r="G13" s="12">
        <f>+G15+G234</f>
        <v>0</v>
      </c>
    </row>
    <row r="14" spans="1:7" s="14" customFormat="1">
      <c r="A14" s="13"/>
      <c r="B14" s="13"/>
      <c r="C14" s="13"/>
      <c r="D14" s="33"/>
      <c r="E14" s="33"/>
      <c r="F14" s="13" t="s">
        <v>65</v>
      </c>
      <c r="G14" s="2"/>
    </row>
    <row r="15" spans="1:7" s="14" customFormat="1" ht="34.5">
      <c r="A15" s="13"/>
      <c r="B15" s="13"/>
      <c r="C15" s="13"/>
      <c r="D15" s="33"/>
      <c r="E15" s="33"/>
      <c r="F15" s="4" t="s">
        <v>23</v>
      </c>
      <c r="G15" s="2">
        <f>+G16+G86</f>
        <v>0</v>
      </c>
    </row>
    <row r="16" spans="1:7" s="14" customFormat="1" ht="17.649999999999999" customHeight="1">
      <c r="A16" s="411" t="s">
        <v>166</v>
      </c>
      <c r="B16" s="418"/>
      <c r="C16" s="394"/>
      <c r="D16" s="69"/>
      <c r="E16" s="394"/>
      <c r="F16" s="98" t="s">
        <v>167</v>
      </c>
      <c r="G16" s="197">
        <f>+G18</f>
        <v>-419149.9</v>
      </c>
    </row>
    <row r="17" spans="1:7" s="14" customFormat="1" ht="16.899999999999999" customHeight="1">
      <c r="A17" s="412"/>
      <c r="B17" s="418"/>
      <c r="C17" s="395"/>
      <c r="D17" s="70"/>
      <c r="E17" s="395"/>
      <c r="F17" s="93" t="s">
        <v>12</v>
      </c>
      <c r="G17" s="5"/>
    </row>
    <row r="18" spans="1:7" s="14" customFormat="1">
      <c r="A18" s="412"/>
      <c r="B18" s="411" t="s">
        <v>62</v>
      </c>
      <c r="C18" s="121"/>
      <c r="D18" s="120"/>
      <c r="E18" s="395"/>
      <c r="F18" s="190" t="s">
        <v>174</v>
      </c>
      <c r="G18" s="194">
        <f>+G20+G41+G69</f>
        <v>-419149.9</v>
      </c>
    </row>
    <row r="19" spans="1:7" s="14" customFormat="1" ht="16.899999999999999" customHeight="1">
      <c r="A19" s="412"/>
      <c r="B19" s="412"/>
      <c r="C19" s="121"/>
      <c r="D19" s="120"/>
      <c r="E19" s="395"/>
      <c r="F19" s="160" t="s">
        <v>12</v>
      </c>
      <c r="G19" s="118"/>
    </row>
    <row r="20" spans="1:7" s="14" customFormat="1">
      <c r="A20" s="412"/>
      <c r="B20" s="412"/>
      <c r="C20" s="411" t="s">
        <v>62</v>
      </c>
      <c r="D20" s="120"/>
      <c r="E20" s="395"/>
      <c r="F20" s="190" t="s">
        <v>158</v>
      </c>
      <c r="G20" s="118">
        <f t="shared" ref="G20" si="0">+G22</f>
        <v>-159184.5</v>
      </c>
    </row>
    <row r="21" spans="1:7" s="14" customFormat="1" ht="16.899999999999999" customHeight="1">
      <c r="A21" s="412"/>
      <c r="B21" s="412"/>
      <c r="C21" s="412"/>
      <c r="D21" s="120"/>
      <c r="E21" s="395"/>
      <c r="F21" s="93" t="s">
        <v>12</v>
      </c>
      <c r="G21" s="118"/>
    </row>
    <row r="22" spans="1:7" s="14" customFormat="1" ht="34.5">
      <c r="A22" s="412"/>
      <c r="B22" s="412"/>
      <c r="C22" s="412"/>
      <c r="D22" s="120"/>
      <c r="E22" s="395"/>
      <c r="F22" s="116" t="s">
        <v>18</v>
      </c>
      <c r="G22" s="118">
        <f>+G24</f>
        <v>-159184.5</v>
      </c>
    </row>
    <row r="23" spans="1:7" s="14" customFormat="1" ht="16.899999999999999" customHeight="1">
      <c r="A23" s="412"/>
      <c r="B23" s="412"/>
      <c r="C23" s="412"/>
      <c r="D23" s="120"/>
      <c r="E23" s="396"/>
      <c r="F23" s="93" t="s">
        <v>12</v>
      </c>
      <c r="G23" s="118"/>
    </row>
    <row r="24" spans="1:7" s="14" customFormat="1">
      <c r="A24" s="412"/>
      <c r="B24" s="412"/>
      <c r="C24" s="412"/>
      <c r="D24" s="191">
        <v>1075</v>
      </c>
      <c r="E24" s="415" t="s">
        <v>176</v>
      </c>
      <c r="F24" s="415"/>
      <c r="G24" s="2">
        <f>+G26</f>
        <v>-159184.5</v>
      </c>
    </row>
    <row r="25" spans="1:7" s="14" customFormat="1" ht="16.899999999999999" customHeight="1">
      <c r="A25" s="412"/>
      <c r="B25" s="412"/>
      <c r="C25" s="412"/>
      <c r="D25" s="169"/>
      <c r="E25" s="19"/>
      <c r="F25" s="124" t="s">
        <v>12</v>
      </c>
      <c r="G25" s="2"/>
    </row>
    <row r="26" spans="1:7" s="14" customFormat="1" ht="34.5">
      <c r="A26" s="412"/>
      <c r="B26" s="412"/>
      <c r="C26" s="412"/>
      <c r="D26" s="434"/>
      <c r="E26" s="83">
        <v>32001</v>
      </c>
      <c r="F26" s="175" t="s">
        <v>156</v>
      </c>
      <c r="G26" s="15">
        <f>+G28</f>
        <v>-159184.5</v>
      </c>
    </row>
    <row r="27" spans="1:7" s="14" customFormat="1" ht="15.6" customHeight="1">
      <c r="A27" s="412"/>
      <c r="B27" s="412"/>
      <c r="C27" s="412"/>
      <c r="D27" s="434"/>
      <c r="E27" s="417"/>
      <c r="F27" s="124" t="s">
        <v>22</v>
      </c>
      <c r="G27" s="5"/>
    </row>
    <row r="28" spans="1:7" s="16" customFormat="1" ht="36.6" customHeight="1">
      <c r="A28" s="412"/>
      <c r="B28" s="412"/>
      <c r="C28" s="412"/>
      <c r="D28" s="434"/>
      <c r="E28" s="417"/>
      <c r="F28" s="20" t="s">
        <v>18</v>
      </c>
      <c r="G28" s="73">
        <f>+G30</f>
        <v>-159184.5</v>
      </c>
    </row>
    <row r="29" spans="1:7" s="14" customFormat="1" ht="51.75">
      <c r="A29" s="412"/>
      <c r="B29" s="412"/>
      <c r="C29" s="412"/>
      <c r="D29" s="434"/>
      <c r="E29" s="417"/>
      <c r="F29" s="124" t="s">
        <v>19</v>
      </c>
      <c r="G29" s="5"/>
    </row>
    <row r="30" spans="1:7" s="14" customFormat="1" ht="16.899999999999999" customHeight="1">
      <c r="A30" s="412"/>
      <c r="B30" s="412"/>
      <c r="C30" s="412"/>
      <c r="D30" s="434"/>
      <c r="E30" s="417"/>
      <c r="F30" s="123" t="s">
        <v>13</v>
      </c>
      <c r="G30" s="6">
        <f>G31+G37</f>
        <v>-159184.5</v>
      </c>
    </row>
    <row r="31" spans="1:7" s="14" customFormat="1" ht="16.899999999999999" customHeight="1">
      <c r="A31" s="412"/>
      <c r="B31" s="412"/>
      <c r="C31" s="412"/>
      <c r="D31" s="434"/>
      <c r="E31" s="417"/>
      <c r="F31" s="160" t="s">
        <v>63</v>
      </c>
      <c r="G31" s="7">
        <f>+G32+G35</f>
        <v>45888.3</v>
      </c>
    </row>
    <row r="32" spans="1:7" s="14" customFormat="1" ht="15.6" customHeight="1">
      <c r="A32" s="412"/>
      <c r="B32" s="412"/>
      <c r="C32" s="412"/>
      <c r="D32" s="434"/>
      <c r="E32" s="417"/>
      <c r="F32" s="160" t="s">
        <v>64</v>
      </c>
      <c r="G32" s="7">
        <f t="shared" ref="G32:G33" si="1">+G33</f>
        <v>3888.3</v>
      </c>
    </row>
    <row r="33" spans="1:7" s="14" customFormat="1" ht="34.5">
      <c r="A33" s="412"/>
      <c r="B33" s="412"/>
      <c r="C33" s="412"/>
      <c r="D33" s="434"/>
      <c r="E33" s="417"/>
      <c r="F33" s="160" t="s">
        <v>182</v>
      </c>
      <c r="G33" s="57">
        <f t="shared" si="1"/>
        <v>3888.3</v>
      </c>
    </row>
    <row r="34" spans="1:7" s="14" customFormat="1" ht="51.75">
      <c r="A34" s="412"/>
      <c r="B34" s="412"/>
      <c r="C34" s="412"/>
      <c r="D34" s="434"/>
      <c r="E34" s="417"/>
      <c r="F34" s="160" t="s">
        <v>183</v>
      </c>
      <c r="G34" s="57">
        <f>+'Հավելված N 6'!G16</f>
        <v>3888.3</v>
      </c>
    </row>
    <row r="35" spans="1:7" s="14" customFormat="1" ht="15.6" customHeight="1">
      <c r="A35" s="412"/>
      <c r="B35" s="412"/>
      <c r="C35" s="412"/>
      <c r="D35" s="434"/>
      <c r="E35" s="417"/>
      <c r="F35" s="160" t="s">
        <v>428</v>
      </c>
      <c r="G35" s="7">
        <f>+G36</f>
        <v>42000</v>
      </c>
    </row>
    <row r="36" spans="1:7" s="14" customFormat="1" ht="51.75">
      <c r="A36" s="412"/>
      <c r="B36" s="412"/>
      <c r="C36" s="412"/>
      <c r="D36" s="434"/>
      <c r="E36" s="417"/>
      <c r="F36" s="160" t="s">
        <v>429</v>
      </c>
      <c r="G36" s="57">
        <v>42000</v>
      </c>
    </row>
    <row r="37" spans="1:7" s="14" customFormat="1" ht="16.899999999999999" customHeight="1">
      <c r="A37" s="412"/>
      <c r="B37" s="412"/>
      <c r="C37" s="412"/>
      <c r="D37" s="434"/>
      <c r="E37" s="417"/>
      <c r="F37" s="124" t="s">
        <v>52</v>
      </c>
      <c r="G37" s="7">
        <f t="shared" ref="G37:G39" si="2">+G38</f>
        <v>-205072.8</v>
      </c>
    </row>
    <row r="38" spans="1:7" s="14" customFormat="1" ht="15.6" customHeight="1">
      <c r="A38" s="412"/>
      <c r="B38" s="412"/>
      <c r="C38" s="412"/>
      <c r="D38" s="434"/>
      <c r="E38" s="417"/>
      <c r="F38" s="124" t="s">
        <v>53</v>
      </c>
      <c r="G38" s="7">
        <f t="shared" si="2"/>
        <v>-205072.8</v>
      </c>
    </row>
    <row r="39" spans="1:7" s="14" customFormat="1" ht="15.6" customHeight="1">
      <c r="A39" s="412"/>
      <c r="B39" s="412"/>
      <c r="C39" s="412"/>
      <c r="D39" s="434"/>
      <c r="E39" s="417"/>
      <c r="F39" s="90" t="s">
        <v>54</v>
      </c>
      <c r="G39" s="57">
        <f t="shared" si="2"/>
        <v>-205072.8</v>
      </c>
    </row>
    <row r="40" spans="1:7" s="14" customFormat="1">
      <c r="A40" s="412"/>
      <c r="B40" s="412"/>
      <c r="C40" s="412"/>
      <c r="D40" s="434"/>
      <c r="E40" s="417"/>
      <c r="F40" s="90" t="s">
        <v>175</v>
      </c>
      <c r="G40" s="57">
        <f>+'Հավելված N 4'!E53</f>
        <v>-205072.8</v>
      </c>
    </row>
    <row r="41" spans="1:7" s="14" customFormat="1">
      <c r="A41" s="412"/>
      <c r="B41" s="412"/>
      <c r="C41" s="411" t="s">
        <v>177</v>
      </c>
      <c r="D41" s="120"/>
      <c r="E41" s="56"/>
      <c r="F41" s="190" t="s">
        <v>155</v>
      </c>
      <c r="G41" s="118">
        <f t="shared" ref="G41" si="3">+G43</f>
        <v>-127946.2</v>
      </c>
    </row>
    <row r="42" spans="1:7" s="14" customFormat="1" ht="16.899999999999999" customHeight="1">
      <c r="A42" s="412"/>
      <c r="B42" s="412"/>
      <c r="C42" s="412"/>
      <c r="D42" s="120"/>
      <c r="E42" s="56"/>
      <c r="F42" s="93" t="s">
        <v>12</v>
      </c>
      <c r="G42" s="118"/>
    </row>
    <row r="43" spans="1:7" s="14" customFormat="1" ht="34.5">
      <c r="A43" s="412"/>
      <c r="B43" s="412"/>
      <c r="C43" s="412"/>
      <c r="D43" s="120"/>
      <c r="E43" s="56"/>
      <c r="F43" s="116" t="s">
        <v>18</v>
      </c>
      <c r="G43" s="118">
        <f>+G45</f>
        <v>-127946.2</v>
      </c>
    </row>
    <row r="44" spans="1:7" s="14" customFormat="1" ht="16.899999999999999" customHeight="1">
      <c r="A44" s="412"/>
      <c r="B44" s="412"/>
      <c r="C44" s="412"/>
      <c r="D44" s="120"/>
      <c r="E44" s="71"/>
      <c r="F44" s="93" t="s">
        <v>12</v>
      </c>
      <c r="G44" s="118"/>
    </row>
    <row r="45" spans="1:7" s="14" customFormat="1">
      <c r="A45" s="412"/>
      <c r="B45" s="412"/>
      <c r="C45" s="412"/>
      <c r="D45" s="191">
        <v>1168</v>
      </c>
      <c r="E45" s="415" t="s">
        <v>178</v>
      </c>
      <c r="F45" s="415"/>
      <c r="G45" s="2">
        <f>+G47+G60</f>
        <v>-127946.2</v>
      </c>
    </row>
    <row r="46" spans="1:7" s="14" customFormat="1" ht="16.899999999999999" customHeight="1">
      <c r="A46" s="412"/>
      <c r="B46" s="412"/>
      <c r="C46" s="412"/>
      <c r="D46" s="169"/>
      <c r="E46" s="19"/>
      <c r="F46" s="124" t="s">
        <v>12</v>
      </c>
      <c r="G46" s="2"/>
    </row>
    <row r="47" spans="1:7" s="14" customFormat="1" ht="51.75">
      <c r="A47" s="412"/>
      <c r="B47" s="412"/>
      <c r="C47" s="412"/>
      <c r="D47" s="405"/>
      <c r="E47" s="83">
        <v>32001</v>
      </c>
      <c r="F47" s="175" t="s">
        <v>179</v>
      </c>
      <c r="G47" s="15">
        <f t="shared" ref="G47" si="4">+G49</f>
        <v>-82696.2</v>
      </c>
    </row>
    <row r="48" spans="1:7" s="14" customFormat="1" ht="15.6" customHeight="1">
      <c r="A48" s="412"/>
      <c r="B48" s="412"/>
      <c r="C48" s="412"/>
      <c r="D48" s="416"/>
      <c r="E48" s="405"/>
      <c r="F48" s="124" t="s">
        <v>22</v>
      </c>
      <c r="G48" s="5"/>
    </row>
    <row r="49" spans="1:7" s="16" customFormat="1" ht="36.6" customHeight="1">
      <c r="A49" s="412"/>
      <c r="B49" s="412"/>
      <c r="C49" s="412"/>
      <c r="D49" s="416"/>
      <c r="E49" s="416"/>
      <c r="F49" s="20" t="s">
        <v>18</v>
      </c>
      <c r="G49" s="73">
        <f t="shared" ref="G49" si="5">+G51</f>
        <v>-82696.2</v>
      </c>
    </row>
    <row r="50" spans="1:7" s="14" customFormat="1" ht="51.75">
      <c r="A50" s="412"/>
      <c r="B50" s="412"/>
      <c r="C50" s="412"/>
      <c r="D50" s="416"/>
      <c r="E50" s="416"/>
      <c r="F50" s="124" t="s">
        <v>19</v>
      </c>
      <c r="G50" s="5"/>
    </row>
    <row r="51" spans="1:7" s="14" customFormat="1" ht="16.899999999999999" customHeight="1">
      <c r="A51" s="412"/>
      <c r="B51" s="412"/>
      <c r="C51" s="412"/>
      <c r="D51" s="416"/>
      <c r="E51" s="416"/>
      <c r="F51" s="123" t="s">
        <v>13</v>
      </c>
      <c r="G51" s="6">
        <f>G52+G56</f>
        <v>-82696.2</v>
      </c>
    </row>
    <row r="52" spans="1:7" s="14" customFormat="1" ht="16.899999999999999" customHeight="1">
      <c r="A52" s="412"/>
      <c r="B52" s="412"/>
      <c r="C52" s="412"/>
      <c r="D52" s="416"/>
      <c r="E52" s="416"/>
      <c r="F52" s="160" t="s">
        <v>63</v>
      </c>
      <c r="G52" s="7">
        <f t="shared" ref="G52:G53" si="6">+G53</f>
        <v>10047.4</v>
      </c>
    </row>
    <row r="53" spans="1:7" s="14" customFormat="1" ht="15.6" customHeight="1">
      <c r="A53" s="412"/>
      <c r="B53" s="412"/>
      <c r="C53" s="412"/>
      <c r="D53" s="416"/>
      <c r="E53" s="416"/>
      <c r="F53" s="160" t="s">
        <v>64</v>
      </c>
      <c r="G53" s="7">
        <f t="shared" si="6"/>
        <v>10047.4</v>
      </c>
    </row>
    <row r="54" spans="1:7" s="14" customFormat="1" ht="34.5">
      <c r="A54" s="412"/>
      <c r="B54" s="412"/>
      <c r="C54" s="412"/>
      <c r="D54" s="416"/>
      <c r="E54" s="416"/>
      <c r="F54" s="160" t="s">
        <v>182</v>
      </c>
      <c r="G54" s="57">
        <f>+G55</f>
        <v>10047.4</v>
      </c>
    </row>
    <row r="55" spans="1:7" s="14" customFormat="1" ht="51.75">
      <c r="A55" s="412"/>
      <c r="B55" s="412"/>
      <c r="C55" s="412"/>
      <c r="D55" s="416"/>
      <c r="E55" s="416"/>
      <c r="F55" s="160" t="s">
        <v>183</v>
      </c>
      <c r="G55" s="57">
        <f>+'Հավելված N 6'!G20</f>
        <v>10047.4</v>
      </c>
    </row>
    <row r="56" spans="1:7" s="14" customFormat="1" ht="16.899999999999999" customHeight="1">
      <c r="A56" s="412"/>
      <c r="B56" s="412"/>
      <c r="C56" s="412"/>
      <c r="D56" s="416"/>
      <c r="E56" s="416"/>
      <c r="F56" s="124" t="s">
        <v>52</v>
      </c>
      <c r="G56" s="7">
        <f t="shared" ref="G56:G58" si="7">+G57</f>
        <v>-92743.599999999991</v>
      </c>
    </row>
    <row r="57" spans="1:7" s="14" customFormat="1" ht="15.6" customHeight="1">
      <c r="A57" s="412"/>
      <c r="B57" s="412"/>
      <c r="C57" s="412"/>
      <c r="D57" s="416"/>
      <c r="E57" s="416"/>
      <c r="F57" s="124" t="s">
        <v>53</v>
      </c>
      <c r="G57" s="7">
        <f t="shared" si="7"/>
        <v>-92743.599999999991</v>
      </c>
    </row>
    <row r="58" spans="1:7" s="14" customFormat="1" ht="15.6" customHeight="1">
      <c r="A58" s="412"/>
      <c r="B58" s="412"/>
      <c r="C58" s="412"/>
      <c r="D58" s="416"/>
      <c r="E58" s="416"/>
      <c r="F58" s="90" t="s">
        <v>54</v>
      </c>
      <c r="G58" s="57">
        <f t="shared" si="7"/>
        <v>-92743.599999999991</v>
      </c>
    </row>
    <row r="59" spans="1:7" s="14" customFormat="1">
      <c r="A59" s="412"/>
      <c r="B59" s="412"/>
      <c r="C59" s="412"/>
      <c r="D59" s="416"/>
      <c r="E59" s="416"/>
      <c r="F59" s="90" t="s">
        <v>175</v>
      </c>
      <c r="G59" s="57">
        <f>+'Հավելված N 4'!E65</f>
        <v>-92743.599999999991</v>
      </c>
    </row>
    <row r="60" spans="1:7" s="14" customFormat="1">
      <c r="A60" s="412"/>
      <c r="B60" s="412"/>
      <c r="C60" s="412"/>
      <c r="D60" s="280"/>
      <c r="E60" s="83">
        <v>32008</v>
      </c>
      <c r="F60" s="168" t="s">
        <v>411</v>
      </c>
      <c r="G60" s="15">
        <f t="shared" ref="G60" si="8">+G62</f>
        <v>-45250</v>
      </c>
    </row>
    <row r="61" spans="1:7" s="14" customFormat="1" ht="15.6" customHeight="1">
      <c r="A61" s="412"/>
      <c r="B61" s="412"/>
      <c r="C61" s="412"/>
      <c r="D61" s="280"/>
      <c r="E61" s="417"/>
      <c r="F61" s="124" t="s">
        <v>22</v>
      </c>
      <c r="G61" s="5"/>
    </row>
    <row r="62" spans="1:7" s="16" customFormat="1" ht="36.6" customHeight="1">
      <c r="A62" s="412"/>
      <c r="B62" s="412"/>
      <c r="C62" s="412"/>
      <c r="D62" s="280"/>
      <c r="E62" s="417"/>
      <c r="F62" s="20" t="s">
        <v>18</v>
      </c>
      <c r="G62" s="73">
        <f>+G64</f>
        <v>-45250</v>
      </c>
    </row>
    <row r="63" spans="1:7" s="14" customFormat="1" ht="51.75">
      <c r="A63" s="412"/>
      <c r="B63" s="412"/>
      <c r="C63" s="412"/>
      <c r="D63" s="280"/>
      <c r="E63" s="417"/>
      <c r="F63" s="124" t="s">
        <v>19</v>
      </c>
      <c r="G63" s="5"/>
    </row>
    <row r="64" spans="1:7" s="14" customFormat="1" ht="16.899999999999999" customHeight="1">
      <c r="A64" s="412"/>
      <c r="B64" s="412"/>
      <c r="C64" s="412"/>
      <c r="D64" s="280"/>
      <c r="E64" s="417"/>
      <c r="F64" s="123" t="s">
        <v>13</v>
      </c>
      <c r="G64" s="6">
        <f>+G65</f>
        <v>-45250</v>
      </c>
    </row>
    <row r="65" spans="1:7" s="14" customFormat="1" ht="16.899999999999999" customHeight="1">
      <c r="A65" s="412"/>
      <c r="B65" s="412"/>
      <c r="C65" s="412"/>
      <c r="D65" s="280"/>
      <c r="E65" s="417"/>
      <c r="F65" s="124" t="s">
        <v>52</v>
      </c>
      <c r="G65" s="7">
        <f t="shared" ref="G65:G67" si="9">+G66</f>
        <v>-45250</v>
      </c>
    </row>
    <row r="66" spans="1:7" s="14" customFormat="1" ht="15.6" customHeight="1">
      <c r="A66" s="412"/>
      <c r="B66" s="412"/>
      <c r="C66" s="412"/>
      <c r="D66" s="280"/>
      <c r="E66" s="417"/>
      <c r="F66" s="124" t="s">
        <v>53</v>
      </c>
      <c r="G66" s="7">
        <f t="shared" si="9"/>
        <v>-45250</v>
      </c>
    </row>
    <row r="67" spans="1:7" s="14" customFormat="1" ht="16.149999999999999" customHeight="1">
      <c r="A67" s="412"/>
      <c r="B67" s="412"/>
      <c r="C67" s="412"/>
      <c r="D67" s="280"/>
      <c r="E67" s="417"/>
      <c r="F67" s="228" t="s">
        <v>170</v>
      </c>
      <c r="G67" s="57">
        <f t="shared" si="9"/>
        <v>-45250</v>
      </c>
    </row>
    <row r="68" spans="1:7" s="14" customFormat="1" ht="16.149999999999999" customHeight="1">
      <c r="A68" s="412"/>
      <c r="B68" s="412"/>
      <c r="C68" s="413"/>
      <c r="D68" s="280"/>
      <c r="E68" s="417"/>
      <c r="F68" s="228" t="s">
        <v>171</v>
      </c>
      <c r="G68" s="57">
        <f>+'Հավելված N 4'!E71</f>
        <v>-45250</v>
      </c>
    </row>
    <row r="69" spans="1:7" s="14" customFormat="1" ht="34.5">
      <c r="A69" s="412"/>
      <c r="B69" s="412"/>
      <c r="C69" s="414" t="s">
        <v>181</v>
      </c>
      <c r="D69" s="407"/>
      <c r="E69" s="408"/>
      <c r="F69" s="190" t="s">
        <v>142</v>
      </c>
      <c r="G69" s="118">
        <f t="shared" ref="G69" si="10">+G71</f>
        <v>-132019.19999999998</v>
      </c>
    </row>
    <row r="70" spans="1:7" s="14" customFormat="1" ht="16.899999999999999" customHeight="1">
      <c r="A70" s="412"/>
      <c r="B70" s="412"/>
      <c r="C70" s="414"/>
      <c r="D70" s="407"/>
      <c r="E70" s="408"/>
      <c r="F70" s="93" t="s">
        <v>12</v>
      </c>
      <c r="G70" s="118"/>
    </row>
    <row r="71" spans="1:7" s="14" customFormat="1" ht="34.5">
      <c r="A71" s="412"/>
      <c r="B71" s="412"/>
      <c r="C71" s="414"/>
      <c r="D71" s="407"/>
      <c r="E71" s="408"/>
      <c r="F71" s="116" t="s">
        <v>18</v>
      </c>
      <c r="G71" s="118">
        <f t="shared" ref="G71" si="11">+G73</f>
        <v>-132019.19999999998</v>
      </c>
    </row>
    <row r="72" spans="1:7" s="14" customFormat="1" ht="16.899999999999999" customHeight="1">
      <c r="A72" s="412"/>
      <c r="B72" s="412"/>
      <c r="C72" s="414"/>
      <c r="D72" s="407"/>
      <c r="E72" s="408"/>
      <c r="F72" s="93" t="s">
        <v>12</v>
      </c>
      <c r="G72" s="118"/>
    </row>
    <row r="73" spans="1:7" s="14" customFormat="1">
      <c r="A73" s="412"/>
      <c r="B73" s="412"/>
      <c r="C73" s="414"/>
      <c r="D73" s="191">
        <v>1075</v>
      </c>
      <c r="E73" s="415" t="s">
        <v>176</v>
      </c>
      <c r="F73" s="415"/>
      <c r="G73" s="2">
        <f t="shared" ref="G73" si="12">+G75</f>
        <v>-132019.19999999998</v>
      </c>
    </row>
    <row r="74" spans="1:7" s="14" customFormat="1" ht="16.899999999999999" customHeight="1">
      <c r="A74" s="412"/>
      <c r="B74" s="412"/>
      <c r="C74" s="414"/>
      <c r="D74" s="169"/>
      <c r="E74" s="19"/>
      <c r="F74" s="124" t="s">
        <v>12</v>
      </c>
      <c r="G74" s="2"/>
    </row>
    <row r="75" spans="1:7" s="14" customFormat="1" ht="34.5">
      <c r="A75" s="412"/>
      <c r="B75" s="412"/>
      <c r="C75" s="414"/>
      <c r="D75" s="405"/>
      <c r="E75" s="83">
        <v>21001</v>
      </c>
      <c r="F75" s="175" t="s">
        <v>137</v>
      </c>
      <c r="G75" s="15">
        <f>+G77</f>
        <v>-132019.19999999998</v>
      </c>
    </row>
    <row r="76" spans="1:7" s="14" customFormat="1">
      <c r="A76" s="412"/>
      <c r="B76" s="412"/>
      <c r="C76" s="414"/>
      <c r="D76" s="416"/>
      <c r="E76" s="405"/>
      <c r="F76" s="124" t="s">
        <v>22</v>
      </c>
      <c r="G76" s="5"/>
    </row>
    <row r="77" spans="1:7" s="16" customFormat="1" ht="36.6" customHeight="1">
      <c r="A77" s="412"/>
      <c r="B77" s="412"/>
      <c r="C77" s="414"/>
      <c r="D77" s="416"/>
      <c r="E77" s="416"/>
      <c r="F77" s="20" t="s">
        <v>18</v>
      </c>
      <c r="G77" s="73">
        <f>+G79</f>
        <v>-132019.19999999998</v>
      </c>
    </row>
    <row r="78" spans="1:7" s="14" customFormat="1" ht="51.75">
      <c r="A78" s="412"/>
      <c r="B78" s="412"/>
      <c r="C78" s="414"/>
      <c r="D78" s="416"/>
      <c r="E78" s="416"/>
      <c r="F78" s="124" t="s">
        <v>19</v>
      </c>
      <c r="G78" s="5"/>
    </row>
    <row r="79" spans="1:7" s="14" customFormat="1" ht="16.899999999999999" customHeight="1">
      <c r="A79" s="412"/>
      <c r="B79" s="412"/>
      <c r="C79" s="414"/>
      <c r="D79" s="416"/>
      <c r="E79" s="416"/>
      <c r="F79" s="123" t="s">
        <v>13</v>
      </c>
      <c r="G79" s="6">
        <f>+G80</f>
        <v>-132019.19999999998</v>
      </c>
    </row>
    <row r="80" spans="1:7" s="14" customFormat="1" ht="16.899999999999999" customHeight="1">
      <c r="A80" s="412"/>
      <c r="B80" s="412"/>
      <c r="C80" s="414"/>
      <c r="D80" s="416"/>
      <c r="E80" s="416"/>
      <c r="F80" s="124" t="s">
        <v>52</v>
      </c>
      <c r="G80" s="7">
        <f t="shared" ref="G80:G82" si="13">+G81</f>
        <v>-132019.19999999998</v>
      </c>
    </row>
    <row r="81" spans="1:7" s="14" customFormat="1">
      <c r="A81" s="412"/>
      <c r="B81" s="412"/>
      <c r="C81" s="414"/>
      <c r="D81" s="416"/>
      <c r="E81" s="416"/>
      <c r="F81" s="124" t="s">
        <v>53</v>
      </c>
      <c r="G81" s="7">
        <f t="shared" ref="G81" si="14">+G82+G84</f>
        <v>-132019.19999999998</v>
      </c>
    </row>
    <row r="82" spans="1:7" s="14" customFormat="1">
      <c r="A82" s="412"/>
      <c r="B82" s="412"/>
      <c r="C82" s="414"/>
      <c r="D82" s="416"/>
      <c r="E82" s="416"/>
      <c r="F82" s="90" t="s">
        <v>54</v>
      </c>
      <c r="G82" s="57">
        <f t="shared" si="13"/>
        <v>-133899.19999999998</v>
      </c>
    </row>
    <row r="83" spans="1:7" s="14" customFormat="1">
      <c r="A83" s="412"/>
      <c r="B83" s="412"/>
      <c r="C83" s="414"/>
      <c r="D83" s="416"/>
      <c r="E83" s="416"/>
      <c r="F83" s="90" t="s">
        <v>175</v>
      </c>
      <c r="G83" s="57">
        <f>+'Հավելված N 4'!E30</f>
        <v>-133899.19999999998</v>
      </c>
    </row>
    <row r="84" spans="1:7" s="14" customFormat="1">
      <c r="A84" s="412"/>
      <c r="B84" s="412"/>
      <c r="C84" s="414"/>
      <c r="D84" s="416"/>
      <c r="E84" s="416"/>
      <c r="F84" s="90" t="s">
        <v>172</v>
      </c>
      <c r="G84" s="57">
        <f>+G85</f>
        <v>1880</v>
      </c>
    </row>
    <row r="85" spans="1:7" s="14" customFormat="1">
      <c r="A85" s="413"/>
      <c r="B85" s="413"/>
      <c r="C85" s="414"/>
      <c r="D85" s="416"/>
      <c r="E85" s="416"/>
      <c r="F85" s="90" t="s">
        <v>173</v>
      </c>
      <c r="G85" s="57">
        <f>+'Հավելված N 4'!E47</f>
        <v>1880</v>
      </c>
    </row>
    <row r="86" spans="1:7" s="14" customFormat="1" ht="17.649999999999999" customHeight="1">
      <c r="A86" s="433" t="s">
        <v>80</v>
      </c>
      <c r="B86" s="408"/>
      <c r="C86" s="394"/>
      <c r="D86" s="69"/>
      <c r="E86" s="55"/>
      <c r="F86" s="98" t="s">
        <v>82</v>
      </c>
      <c r="G86" s="2">
        <f>+G88+G125+G162+G179</f>
        <v>419149.9</v>
      </c>
    </row>
    <row r="87" spans="1:7" s="14" customFormat="1" ht="16.899999999999999" customHeight="1">
      <c r="A87" s="433"/>
      <c r="B87" s="408"/>
      <c r="C87" s="395"/>
      <c r="D87" s="70"/>
      <c r="E87" s="56"/>
      <c r="F87" s="93" t="s">
        <v>12</v>
      </c>
      <c r="G87" s="5"/>
    </row>
    <row r="88" spans="1:7" s="14" customFormat="1" ht="34.5">
      <c r="A88" s="433"/>
      <c r="B88" s="411" t="s">
        <v>81</v>
      </c>
      <c r="C88" s="395"/>
      <c r="D88" s="70"/>
      <c r="E88" s="56"/>
      <c r="F88" s="98" t="s">
        <v>418</v>
      </c>
      <c r="G88" s="118">
        <f>+G90</f>
        <v>495669.6</v>
      </c>
    </row>
    <row r="89" spans="1:7" s="14" customFormat="1" ht="16.899999999999999" customHeight="1">
      <c r="A89" s="433"/>
      <c r="B89" s="412"/>
      <c r="C89" s="396"/>
      <c r="D89" s="70"/>
      <c r="E89" s="56"/>
      <c r="F89" s="93" t="s">
        <v>12</v>
      </c>
      <c r="G89" s="193"/>
    </row>
    <row r="90" spans="1:7" s="14" customFormat="1">
      <c r="A90" s="433"/>
      <c r="B90" s="412"/>
      <c r="C90" s="411" t="s">
        <v>81</v>
      </c>
      <c r="D90" s="70"/>
      <c r="E90" s="56"/>
      <c r="F90" s="98" t="s">
        <v>360</v>
      </c>
      <c r="G90" s="118">
        <f>+G92</f>
        <v>495669.6</v>
      </c>
    </row>
    <row r="91" spans="1:7" s="14" customFormat="1" ht="16.899999999999999" customHeight="1">
      <c r="A91" s="433"/>
      <c r="B91" s="412"/>
      <c r="C91" s="412"/>
      <c r="D91" s="70"/>
      <c r="E91" s="56"/>
      <c r="F91" s="93" t="s">
        <v>12</v>
      </c>
      <c r="G91" s="198"/>
    </row>
    <row r="92" spans="1:7" s="14" customFormat="1" ht="34.5">
      <c r="A92" s="433"/>
      <c r="B92" s="412"/>
      <c r="C92" s="412"/>
      <c r="D92" s="70"/>
      <c r="E92" s="56"/>
      <c r="F92" s="116" t="s">
        <v>18</v>
      </c>
      <c r="G92" s="118">
        <f>+G94</f>
        <v>495669.6</v>
      </c>
    </row>
    <row r="93" spans="1:7" s="14" customFormat="1" ht="16.899999999999999" customHeight="1">
      <c r="A93" s="433"/>
      <c r="B93" s="412"/>
      <c r="C93" s="412"/>
      <c r="D93" s="322"/>
      <c r="E93" s="71"/>
      <c r="F93" s="93" t="s">
        <v>12</v>
      </c>
      <c r="G93" s="118"/>
    </row>
    <row r="94" spans="1:7" s="14" customFormat="1" ht="39.4" customHeight="1">
      <c r="A94" s="433"/>
      <c r="B94" s="412"/>
      <c r="C94" s="412"/>
      <c r="D94" s="227">
        <v>1236</v>
      </c>
      <c r="E94" s="423" t="s">
        <v>83</v>
      </c>
      <c r="F94" s="423"/>
      <c r="G94" s="94">
        <f>+G96+G109</f>
        <v>495669.6</v>
      </c>
    </row>
    <row r="95" spans="1:7" s="14" customFormat="1" ht="16.899999999999999" customHeight="1">
      <c r="A95" s="433"/>
      <c r="B95" s="412"/>
      <c r="C95" s="412"/>
      <c r="D95" s="195"/>
      <c r="E95" s="128"/>
      <c r="F95" s="93" t="s">
        <v>12</v>
      </c>
      <c r="G95" s="94"/>
    </row>
    <row r="96" spans="1:7" s="14" customFormat="1">
      <c r="A96" s="433"/>
      <c r="B96" s="412"/>
      <c r="C96" s="412"/>
      <c r="D96" s="391"/>
      <c r="E96" s="119">
        <v>32001</v>
      </c>
      <c r="F96" s="104" t="s">
        <v>362</v>
      </c>
      <c r="G96" s="105">
        <f>+G98</f>
        <v>262552.3</v>
      </c>
    </row>
    <row r="97" spans="1:7" s="14" customFormat="1" ht="15.6" customHeight="1">
      <c r="A97" s="433"/>
      <c r="B97" s="412"/>
      <c r="C97" s="412"/>
      <c r="D97" s="392"/>
      <c r="E97" s="427"/>
      <c r="F97" s="93" t="s">
        <v>22</v>
      </c>
      <c r="G97" s="193"/>
    </row>
    <row r="98" spans="1:7" s="16" customFormat="1" ht="36.6" customHeight="1">
      <c r="A98" s="433"/>
      <c r="B98" s="412"/>
      <c r="C98" s="412"/>
      <c r="D98" s="392"/>
      <c r="E98" s="428"/>
      <c r="F98" s="129" t="s">
        <v>353</v>
      </c>
      <c r="G98" s="199">
        <f>+G100</f>
        <v>262552.3</v>
      </c>
    </row>
    <row r="99" spans="1:7" s="14" customFormat="1" ht="51.75">
      <c r="A99" s="433"/>
      <c r="B99" s="412"/>
      <c r="C99" s="412"/>
      <c r="D99" s="392"/>
      <c r="E99" s="428"/>
      <c r="F99" s="93" t="s">
        <v>19</v>
      </c>
      <c r="G99" s="193"/>
    </row>
    <row r="100" spans="1:7" s="14" customFormat="1" ht="16.899999999999999" customHeight="1">
      <c r="A100" s="433"/>
      <c r="B100" s="412"/>
      <c r="C100" s="412"/>
      <c r="D100" s="392"/>
      <c r="E100" s="428"/>
      <c r="F100" s="122" t="s">
        <v>13</v>
      </c>
      <c r="G100" s="118">
        <f>+G101+G105</f>
        <v>262552.3</v>
      </c>
    </row>
    <row r="101" spans="1:7" s="14" customFormat="1" ht="16.899999999999999" customHeight="1">
      <c r="A101" s="433"/>
      <c r="B101" s="412"/>
      <c r="C101" s="412"/>
      <c r="D101" s="392"/>
      <c r="E101" s="428"/>
      <c r="F101" s="93" t="s">
        <v>419</v>
      </c>
      <c r="G101" s="192">
        <f t="shared" ref="G101:G103" si="15">+G102</f>
        <v>309.60000000000002</v>
      </c>
    </row>
    <row r="102" spans="1:7" s="14" customFormat="1" ht="15.6" customHeight="1">
      <c r="A102" s="433"/>
      <c r="B102" s="412"/>
      <c r="C102" s="412"/>
      <c r="D102" s="392"/>
      <c r="E102" s="428"/>
      <c r="F102" s="93" t="s">
        <v>420</v>
      </c>
      <c r="G102" s="192">
        <f t="shared" si="15"/>
        <v>309.60000000000002</v>
      </c>
    </row>
    <row r="103" spans="1:7" s="14" customFormat="1" ht="17.45" customHeight="1">
      <c r="A103" s="433"/>
      <c r="B103" s="412"/>
      <c r="C103" s="412"/>
      <c r="D103" s="392"/>
      <c r="E103" s="428"/>
      <c r="F103" s="160" t="s">
        <v>421</v>
      </c>
      <c r="G103" s="192">
        <f t="shared" si="15"/>
        <v>309.60000000000002</v>
      </c>
    </row>
    <row r="104" spans="1:7" s="14" customFormat="1" ht="15.6" customHeight="1">
      <c r="A104" s="433"/>
      <c r="B104" s="412"/>
      <c r="C104" s="412"/>
      <c r="D104" s="392"/>
      <c r="E104" s="428"/>
      <c r="F104" s="160" t="s">
        <v>422</v>
      </c>
      <c r="G104" s="192">
        <f>+'Հավելված N 10'!I123</f>
        <v>309.60000000000002</v>
      </c>
    </row>
    <row r="105" spans="1:7" s="14" customFormat="1" ht="16.899999999999999" customHeight="1">
      <c r="A105" s="433"/>
      <c r="B105" s="412"/>
      <c r="C105" s="412"/>
      <c r="D105" s="392"/>
      <c r="E105" s="428"/>
      <c r="F105" s="93" t="s">
        <v>52</v>
      </c>
      <c r="G105" s="7">
        <f t="shared" ref="G105:G107" si="16">+G106</f>
        <v>262242.7</v>
      </c>
    </row>
    <row r="106" spans="1:7" s="14" customFormat="1" ht="15.6" customHeight="1">
      <c r="A106" s="433"/>
      <c r="B106" s="412"/>
      <c r="C106" s="412"/>
      <c r="D106" s="392"/>
      <c r="E106" s="428"/>
      <c r="F106" s="93" t="s">
        <v>53</v>
      </c>
      <c r="G106" s="7">
        <f t="shared" si="16"/>
        <v>262242.7</v>
      </c>
    </row>
    <row r="107" spans="1:7" s="14" customFormat="1" ht="15.6" customHeight="1">
      <c r="A107" s="433"/>
      <c r="B107" s="412"/>
      <c r="C107" s="412"/>
      <c r="D107" s="392"/>
      <c r="E107" s="428"/>
      <c r="F107" s="228" t="s">
        <v>54</v>
      </c>
      <c r="G107" s="57">
        <f t="shared" si="16"/>
        <v>262242.7</v>
      </c>
    </row>
    <row r="108" spans="1:7" s="14" customFormat="1" ht="15.6" customHeight="1">
      <c r="A108" s="433"/>
      <c r="B108" s="412"/>
      <c r="C108" s="412"/>
      <c r="D108" s="392"/>
      <c r="E108" s="429"/>
      <c r="F108" s="228" t="s">
        <v>46</v>
      </c>
      <c r="G108" s="57">
        <f>+'Հավելված N 4'!E83</f>
        <v>262242.7</v>
      </c>
    </row>
    <row r="109" spans="1:7" s="14" customFormat="1" ht="34.5">
      <c r="A109" s="433"/>
      <c r="B109" s="412"/>
      <c r="C109" s="412"/>
      <c r="D109" s="392"/>
      <c r="E109" s="119">
        <v>32002</v>
      </c>
      <c r="F109" s="229" t="s">
        <v>416</v>
      </c>
      <c r="G109" s="105">
        <f>+G111+G118</f>
        <v>233117.30000000002</v>
      </c>
    </row>
    <row r="110" spans="1:7" s="14" customFormat="1" ht="15.6" customHeight="1">
      <c r="A110" s="433"/>
      <c r="B110" s="412"/>
      <c r="C110" s="412"/>
      <c r="D110" s="392"/>
      <c r="E110" s="427"/>
      <c r="F110" s="93" t="s">
        <v>22</v>
      </c>
      <c r="G110" s="193"/>
    </row>
    <row r="111" spans="1:7" s="16" customFormat="1" ht="36.6" customHeight="1">
      <c r="A111" s="433"/>
      <c r="B111" s="412"/>
      <c r="C111" s="412"/>
      <c r="D111" s="392"/>
      <c r="E111" s="428"/>
      <c r="F111" s="129" t="s">
        <v>424</v>
      </c>
      <c r="G111" s="199">
        <f>+'Հավելված N 4'!E89</f>
        <v>-41378.400000000001</v>
      </c>
    </row>
    <row r="112" spans="1:7" s="14" customFormat="1" ht="51.75">
      <c r="A112" s="433"/>
      <c r="B112" s="412"/>
      <c r="C112" s="412"/>
      <c r="D112" s="392"/>
      <c r="E112" s="428"/>
      <c r="F112" s="93" t="s">
        <v>19</v>
      </c>
      <c r="G112" s="193"/>
    </row>
    <row r="113" spans="1:7" s="14" customFormat="1" ht="16.899999999999999" customHeight="1">
      <c r="A113" s="433"/>
      <c r="B113" s="412"/>
      <c r="C113" s="412"/>
      <c r="D113" s="392"/>
      <c r="E113" s="428"/>
      <c r="F113" s="122" t="s">
        <v>13</v>
      </c>
      <c r="G113" s="118">
        <f>+G114</f>
        <v>-41378.400000000001</v>
      </c>
    </row>
    <row r="114" spans="1:7" s="14" customFormat="1" ht="16.899999999999999" customHeight="1">
      <c r="A114" s="433"/>
      <c r="B114" s="412"/>
      <c r="C114" s="412"/>
      <c r="D114" s="392"/>
      <c r="E114" s="428"/>
      <c r="F114" s="93" t="s">
        <v>168</v>
      </c>
      <c r="G114" s="192">
        <f t="shared" ref="G114:G116" si="17">+G115</f>
        <v>-41378.400000000001</v>
      </c>
    </row>
    <row r="115" spans="1:7" s="14" customFormat="1" ht="15.6" customHeight="1">
      <c r="A115" s="433"/>
      <c r="B115" s="412"/>
      <c r="C115" s="412"/>
      <c r="D115" s="392"/>
      <c r="E115" s="428"/>
      <c r="F115" s="93" t="s">
        <v>169</v>
      </c>
      <c r="G115" s="192">
        <f t="shared" si="17"/>
        <v>-41378.400000000001</v>
      </c>
    </row>
    <row r="116" spans="1:7" s="14" customFormat="1" ht="15.6" customHeight="1">
      <c r="A116" s="433"/>
      <c r="B116" s="412"/>
      <c r="C116" s="412"/>
      <c r="D116" s="392"/>
      <c r="E116" s="428"/>
      <c r="F116" s="160" t="s">
        <v>180</v>
      </c>
      <c r="G116" s="192">
        <f t="shared" si="17"/>
        <v>-41378.400000000001</v>
      </c>
    </row>
    <row r="117" spans="1:7" s="14" customFormat="1">
      <c r="A117" s="433"/>
      <c r="B117" s="412"/>
      <c r="C117" s="412"/>
      <c r="D117" s="392"/>
      <c r="E117" s="428"/>
      <c r="F117" s="160" t="s">
        <v>175</v>
      </c>
      <c r="G117" s="192">
        <f>+'Հավելված N 4'!E89</f>
        <v>-41378.400000000001</v>
      </c>
    </row>
    <row r="118" spans="1:7" s="16" customFormat="1" ht="36.6" customHeight="1">
      <c r="A118" s="414"/>
      <c r="B118" s="412"/>
      <c r="C118" s="412"/>
      <c r="D118" s="392"/>
      <c r="E118" s="428"/>
      <c r="F118" s="129" t="s">
        <v>200</v>
      </c>
      <c r="G118" s="199">
        <f>+G120</f>
        <v>274495.7</v>
      </c>
    </row>
    <row r="119" spans="1:7" s="14" customFormat="1" ht="51.75">
      <c r="A119" s="414"/>
      <c r="B119" s="412"/>
      <c r="C119" s="412"/>
      <c r="D119" s="392"/>
      <c r="E119" s="428"/>
      <c r="F119" s="93" t="s">
        <v>19</v>
      </c>
      <c r="G119" s="193"/>
    </row>
    <row r="120" spans="1:7" s="14" customFormat="1" ht="16.899999999999999" customHeight="1">
      <c r="A120" s="414"/>
      <c r="B120" s="412"/>
      <c r="C120" s="412"/>
      <c r="D120" s="392"/>
      <c r="E120" s="428"/>
      <c r="F120" s="122" t="s">
        <v>13</v>
      </c>
      <c r="G120" s="118">
        <f>+G121</f>
        <v>274495.7</v>
      </c>
    </row>
    <row r="121" spans="1:7" s="14" customFormat="1" ht="16.899999999999999" customHeight="1">
      <c r="A121" s="414"/>
      <c r="B121" s="412"/>
      <c r="C121" s="412"/>
      <c r="D121" s="392"/>
      <c r="E121" s="428"/>
      <c r="F121" s="93" t="s">
        <v>168</v>
      </c>
      <c r="G121" s="192">
        <f t="shared" ref="G121:G123" si="18">+G122</f>
        <v>274495.7</v>
      </c>
    </row>
    <row r="122" spans="1:7" s="14" customFormat="1" ht="15.6" customHeight="1">
      <c r="A122" s="414"/>
      <c r="B122" s="412"/>
      <c r="C122" s="412"/>
      <c r="D122" s="392"/>
      <c r="E122" s="428"/>
      <c r="F122" s="93" t="s">
        <v>169</v>
      </c>
      <c r="G122" s="192">
        <f t="shared" si="18"/>
        <v>274495.7</v>
      </c>
    </row>
    <row r="123" spans="1:7" s="14" customFormat="1" ht="15.6" customHeight="1">
      <c r="A123" s="414"/>
      <c r="B123" s="412"/>
      <c r="C123" s="412"/>
      <c r="D123" s="392"/>
      <c r="E123" s="428"/>
      <c r="F123" s="160" t="s">
        <v>180</v>
      </c>
      <c r="G123" s="192">
        <f t="shared" si="18"/>
        <v>274495.7</v>
      </c>
    </row>
    <row r="124" spans="1:7" s="14" customFormat="1">
      <c r="A124" s="414"/>
      <c r="B124" s="413"/>
      <c r="C124" s="413"/>
      <c r="D124" s="393"/>
      <c r="E124" s="429"/>
      <c r="F124" s="160" t="s">
        <v>175</v>
      </c>
      <c r="G124" s="192">
        <f>+'Հավելված N 4'!E94</f>
        <v>274495.7</v>
      </c>
    </row>
    <row r="125" spans="1:7" s="14" customFormat="1">
      <c r="A125" s="433"/>
      <c r="B125" s="414" t="s">
        <v>62</v>
      </c>
      <c r="C125" s="121"/>
      <c r="D125" s="120"/>
      <c r="E125" s="56"/>
      <c r="F125" s="98" t="s">
        <v>104</v>
      </c>
      <c r="G125" s="118">
        <f t="shared" ref="G125" si="19">+G127</f>
        <v>24558.5</v>
      </c>
    </row>
    <row r="126" spans="1:7" s="14" customFormat="1" ht="16.899999999999999" customHeight="1">
      <c r="A126" s="433"/>
      <c r="B126" s="414"/>
      <c r="C126" s="121"/>
      <c r="D126" s="120"/>
      <c r="E126" s="56"/>
      <c r="F126" s="93" t="s">
        <v>12</v>
      </c>
      <c r="G126" s="118"/>
    </row>
    <row r="127" spans="1:7" s="14" customFormat="1">
      <c r="A127" s="433"/>
      <c r="B127" s="414"/>
      <c r="C127" s="414" t="s">
        <v>81</v>
      </c>
      <c r="D127" s="120"/>
      <c r="E127" s="56"/>
      <c r="F127" s="98" t="s">
        <v>103</v>
      </c>
      <c r="G127" s="118">
        <f t="shared" ref="G127" si="20">+G129</f>
        <v>24558.5</v>
      </c>
    </row>
    <row r="128" spans="1:7" s="14" customFormat="1" ht="16.899999999999999" customHeight="1">
      <c r="A128" s="433"/>
      <c r="B128" s="414"/>
      <c r="C128" s="414"/>
      <c r="D128" s="120"/>
      <c r="E128" s="56"/>
      <c r="F128" s="93" t="s">
        <v>12</v>
      </c>
      <c r="G128" s="118"/>
    </row>
    <row r="129" spans="1:7" s="14" customFormat="1" ht="34.5">
      <c r="A129" s="433"/>
      <c r="B129" s="414"/>
      <c r="C129" s="414"/>
      <c r="D129" s="120"/>
      <c r="E129" s="56"/>
      <c r="F129" s="116" t="s">
        <v>18</v>
      </c>
      <c r="G129" s="118">
        <f>+G131+G142</f>
        <v>24558.5</v>
      </c>
    </row>
    <row r="130" spans="1:7" s="14" customFormat="1" ht="16.899999999999999" customHeight="1">
      <c r="A130" s="433"/>
      <c r="B130" s="414"/>
      <c r="C130" s="414"/>
      <c r="D130" s="120"/>
      <c r="E130" s="71"/>
      <c r="F130" s="93" t="s">
        <v>12</v>
      </c>
      <c r="G130" s="118"/>
    </row>
    <row r="131" spans="1:7" s="14" customFormat="1">
      <c r="A131" s="433"/>
      <c r="B131" s="414"/>
      <c r="C131" s="414"/>
      <c r="D131" s="191">
        <v>1183</v>
      </c>
      <c r="E131" s="415" t="s">
        <v>115</v>
      </c>
      <c r="F131" s="415"/>
      <c r="G131" s="2">
        <f t="shared" ref="G131" si="21">+G133</f>
        <v>30000</v>
      </c>
    </row>
    <row r="132" spans="1:7" s="14" customFormat="1" ht="16.899999999999999" customHeight="1">
      <c r="A132" s="433"/>
      <c r="B132" s="414"/>
      <c r="C132" s="414"/>
      <c r="D132" s="169"/>
      <c r="E132" s="19"/>
      <c r="F132" s="124" t="s">
        <v>12</v>
      </c>
      <c r="G132" s="2"/>
    </row>
    <row r="133" spans="1:7" s="14" customFormat="1" ht="51.75">
      <c r="A133" s="433"/>
      <c r="B133" s="414"/>
      <c r="C133" s="414"/>
      <c r="D133" s="120"/>
      <c r="E133" s="83">
        <v>11002</v>
      </c>
      <c r="F133" s="175" t="s">
        <v>430</v>
      </c>
      <c r="G133" s="15">
        <f>+G135</f>
        <v>30000</v>
      </c>
    </row>
    <row r="134" spans="1:7" s="14" customFormat="1">
      <c r="A134" s="433"/>
      <c r="B134" s="414"/>
      <c r="C134" s="414"/>
      <c r="D134" s="120"/>
      <c r="E134" s="71"/>
      <c r="F134" s="124" t="s">
        <v>22</v>
      </c>
      <c r="G134" s="5"/>
    </row>
    <row r="135" spans="1:7" s="16" customFormat="1" ht="36.6" customHeight="1">
      <c r="A135" s="433"/>
      <c r="B135" s="414"/>
      <c r="C135" s="414"/>
      <c r="D135" s="120"/>
      <c r="E135" s="394"/>
      <c r="F135" s="20" t="s">
        <v>18</v>
      </c>
      <c r="G135" s="73">
        <f>+G137</f>
        <v>30000</v>
      </c>
    </row>
    <row r="136" spans="1:7" s="14" customFormat="1" ht="51.75">
      <c r="A136" s="433"/>
      <c r="B136" s="414"/>
      <c r="C136" s="414"/>
      <c r="D136" s="120"/>
      <c r="E136" s="395"/>
      <c r="F136" s="124" t="s">
        <v>19</v>
      </c>
      <c r="G136" s="5"/>
    </row>
    <row r="137" spans="1:7" s="14" customFormat="1" ht="16.899999999999999" customHeight="1">
      <c r="A137" s="433"/>
      <c r="B137" s="414"/>
      <c r="C137" s="414"/>
      <c r="D137" s="120"/>
      <c r="E137" s="395"/>
      <c r="F137" s="123" t="s">
        <v>13</v>
      </c>
      <c r="G137" s="6">
        <f>+G138</f>
        <v>30000</v>
      </c>
    </row>
    <row r="138" spans="1:7" s="14" customFormat="1" ht="16.899999999999999" customHeight="1">
      <c r="A138" s="433"/>
      <c r="B138" s="414"/>
      <c r="C138" s="414"/>
      <c r="D138" s="120"/>
      <c r="E138" s="395"/>
      <c r="F138" s="160" t="s">
        <v>63</v>
      </c>
      <c r="G138" s="7">
        <f t="shared" ref="G138:G139" si="22">+G139</f>
        <v>30000</v>
      </c>
    </row>
    <row r="139" spans="1:7" s="14" customFormat="1">
      <c r="A139" s="433"/>
      <c r="B139" s="414"/>
      <c r="C139" s="414"/>
      <c r="D139" s="120"/>
      <c r="E139" s="395"/>
      <c r="F139" s="160" t="s">
        <v>64</v>
      </c>
      <c r="G139" s="7">
        <f t="shared" si="22"/>
        <v>30000</v>
      </c>
    </row>
    <row r="140" spans="1:7" s="14" customFormat="1" ht="34.5">
      <c r="A140" s="433"/>
      <c r="B140" s="414"/>
      <c r="C140" s="414"/>
      <c r="D140" s="120"/>
      <c r="E140" s="395"/>
      <c r="F140" s="160" t="s">
        <v>182</v>
      </c>
      <c r="G140" s="57">
        <f>+G141</f>
        <v>30000</v>
      </c>
    </row>
    <row r="141" spans="1:7" s="14" customFormat="1" ht="51.75">
      <c r="A141" s="433"/>
      <c r="B141" s="414"/>
      <c r="C141" s="414"/>
      <c r="D141" s="120"/>
      <c r="E141" s="396"/>
      <c r="F141" s="160" t="s">
        <v>183</v>
      </c>
      <c r="G141" s="57">
        <f>+'Հավելված N 6'!G24</f>
        <v>30000</v>
      </c>
    </row>
    <row r="142" spans="1:7" s="14" customFormat="1" ht="39.4" customHeight="1">
      <c r="A142" s="433"/>
      <c r="B142" s="414"/>
      <c r="C142" s="414"/>
      <c r="D142" s="227">
        <v>1236</v>
      </c>
      <c r="E142" s="423" t="s">
        <v>83</v>
      </c>
      <c r="F142" s="423"/>
      <c r="G142" s="2">
        <f>+G144+G153</f>
        <v>-5441.5</v>
      </c>
    </row>
    <row r="143" spans="1:7" s="14" customFormat="1" ht="16.899999999999999" customHeight="1">
      <c r="A143" s="433"/>
      <c r="B143" s="414"/>
      <c r="C143" s="414"/>
      <c r="D143" s="195"/>
      <c r="E143" s="128"/>
      <c r="F143" s="93" t="s">
        <v>12</v>
      </c>
      <c r="G143" s="2"/>
    </row>
    <row r="144" spans="1:7" s="14" customFormat="1">
      <c r="A144" s="433"/>
      <c r="B144" s="414"/>
      <c r="C144" s="414"/>
      <c r="D144" s="391"/>
      <c r="E144" s="119">
        <v>32003</v>
      </c>
      <c r="F144" s="104" t="s">
        <v>352</v>
      </c>
      <c r="G144" s="15">
        <f t="shared" ref="G144" si="23">+G146</f>
        <v>36526.9</v>
      </c>
    </row>
    <row r="145" spans="1:7" s="14" customFormat="1" ht="15.6" customHeight="1">
      <c r="A145" s="433"/>
      <c r="B145" s="414"/>
      <c r="C145" s="414"/>
      <c r="D145" s="392"/>
      <c r="E145" s="424"/>
      <c r="F145" s="93" t="s">
        <v>22</v>
      </c>
      <c r="G145" s="5"/>
    </row>
    <row r="146" spans="1:7" s="16" customFormat="1" ht="36.6" customHeight="1">
      <c r="A146" s="433"/>
      <c r="B146" s="414"/>
      <c r="C146" s="414"/>
      <c r="D146" s="392"/>
      <c r="E146" s="425"/>
      <c r="F146" s="129" t="s">
        <v>353</v>
      </c>
      <c r="G146" s="73">
        <f t="shared" ref="G146" si="24">+G148</f>
        <v>36526.9</v>
      </c>
    </row>
    <row r="147" spans="1:7" s="14" customFormat="1" ht="51.75">
      <c r="A147" s="433"/>
      <c r="B147" s="414"/>
      <c r="C147" s="414"/>
      <c r="D147" s="392"/>
      <c r="E147" s="425"/>
      <c r="F147" s="93" t="s">
        <v>19</v>
      </c>
      <c r="G147" s="5"/>
    </row>
    <row r="148" spans="1:7" s="14" customFormat="1" ht="16.899999999999999" customHeight="1">
      <c r="A148" s="433"/>
      <c r="B148" s="414"/>
      <c r="C148" s="414"/>
      <c r="D148" s="392"/>
      <c r="E148" s="425"/>
      <c r="F148" s="122" t="s">
        <v>13</v>
      </c>
      <c r="G148" s="6">
        <f t="shared" ref="G148" si="25">G149</f>
        <v>36526.9</v>
      </c>
    </row>
    <row r="149" spans="1:7" s="14" customFormat="1" ht="16.899999999999999" customHeight="1">
      <c r="A149" s="433"/>
      <c r="B149" s="414"/>
      <c r="C149" s="414"/>
      <c r="D149" s="392"/>
      <c r="E149" s="425"/>
      <c r="F149" s="93" t="s">
        <v>52</v>
      </c>
      <c r="G149" s="7">
        <f t="shared" ref="G149:G151" si="26">+G150</f>
        <v>36526.9</v>
      </c>
    </row>
    <row r="150" spans="1:7" s="14" customFormat="1" ht="15.6" customHeight="1">
      <c r="A150" s="433"/>
      <c r="B150" s="414"/>
      <c r="C150" s="414"/>
      <c r="D150" s="392"/>
      <c r="E150" s="425"/>
      <c r="F150" s="93" t="s">
        <v>53</v>
      </c>
      <c r="G150" s="7">
        <f t="shared" si="26"/>
        <v>36526.9</v>
      </c>
    </row>
    <row r="151" spans="1:7" s="14" customFormat="1" ht="15.6" customHeight="1">
      <c r="A151" s="433"/>
      <c r="B151" s="414"/>
      <c r="C151" s="414"/>
      <c r="D151" s="392"/>
      <c r="E151" s="425"/>
      <c r="F151" s="228" t="s">
        <v>54</v>
      </c>
      <c r="G151" s="57">
        <f t="shared" si="26"/>
        <v>36526.9</v>
      </c>
    </row>
    <row r="152" spans="1:7" s="14" customFormat="1" ht="15.6" customHeight="1">
      <c r="A152" s="433"/>
      <c r="B152" s="414"/>
      <c r="C152" s="414"/>
      <c r="D152" s="392"/>
      <c r="E152" s="425"/>
      <c r="F152" s="228" t="s">
        <v>46</v>
      </c>
      <c r="G152" s="57">
        <f>+'Հավելված N 4'!E97</f>
        <v>36526.9</v>
      </c>
    </row>
    <row r="153" spans="1:7" s="14" customFormat="1" ht="51.75">
      <c r="A153" s="433"/>
      <c r="B153" s="414"/>
      <c r="C153" s="414"/>
      <c r="D153" s="392"/>
      <c r="E153" s="119">
        <v>32006</v>
      </c>
      <c r="F153" s="104" t="s">
        <v>106</v>
      </c>
      <c r="G153" s="15">
        <f t="shared" ref="G153" si="27">+G155</f>
        <v>-41968.4</v>
      </c>
    </row>
    <row r="154" spans="1:7" s="14" customFormat="1" ht="15.6" customHeight="1">
      <c r="A154" s="433"/>
      <c r="B154" s="414"/>
      <c r="C154" s="414"/>
      <c r="D154" s="392"/>
      <c r="E154" s="424"/>
      <c r="F154" s="93" t="s">
        <v>22</v>
      </c>
      <c r="G154" s="5"/>
    </row>
    <row r="155" spans="1:7" s="16" customFormat="1" ht="36.6" customHeight="1">
      <c r="A155" s="433"/>
      <c r="B155" s="414"/>
      <c r="C155" s="414"/>
      <c r="D155" s="392"/>
      <c r="E155" s="425"/>
      <c r="F155" s="129" t="s">
        <v>18</v>
      </c>
      <c r="G155" s="73">
        <f t="shared" ref="G155" si="28">+G157</f>
        <v>-41968.4</v>
      </c>
    </row>
    <row r="156" spans="1:7" s="14" customFormat="1" ht="51.75">
      <c r="A156" s="433"/>
      <c r="B156" s="414"/>
      <c r="C156" s="414"/>
      <c r="D156" s="392"/>
      <c r="E156" s="425"/>
      <c r="F156" s="93" t="s">
        <v>19</v>
      </c>
      <c r="G156" s="5"/>
    </row>
    <row r="157" spans="1:7" s="14" customFormat="1" ht="16.899999999999999" customHeight="1">
      <c r="A157" s="433"/>
      <c r="B157" s="414"/>
      <c r="C157" s="414"/>
      <c r="D157" s="392"/>
      <c r="E157" s="425"/>
      <c r="F157" s="122" t="s">
        <v>13</v>
      </c>
      <c r="G157" s="6">
        <f>+G158</f>
        <v>-41968.4</v>
      </c>
    </row>
    <row r="158" spans="1:7" s="14" customFormat="1" ht="16.899999999999999" customHeight="1">
      <c r="A158" s="433"/>
      <c r="B158" s="414"/>
      <c r="C158" s="414"/>
      <c r="D158" s="392"/>
      <c r="E158" s="425"/>
      <c r="F158" s="93" t="s">
        <v>168</v>
      </c>
      <c r="G158" s="7">
        <f t="shared" ref="G158:G160" si="29">+G159</f>
        <v>-41968.4</v>
      </c>
    </row>
    <row r="159" spans="1:7" s="14" customFormat="1" ht="15.6" customHeight="1">
      <c r="A159" s="433"/>
      <c r="B159" s="414"/>
      <c r="C159" s="414"/>
      <c r="D159" s="392"/>
      <c r="E159" s="425"/>
      <c r="F159" s="93" t="s">
        <v>169</v>
      </c>
      <c r="G159" s="7">
        <f t="shared" si="29"/>
        <v>-41968.4</v>
      </c>
    </row>
    <row r="160" spans="1:7" s="14" customFormat="1" ht="15.6" customHeight="1">
      <c r="A160" s="433"/>
      <c r="B160" s="414"/>
      <c r="C160" s="414"/>
      <c r="D160" s="392"/>
      <c r="E160" s="425"/>
      <c r="F160" s="228" t="s">
        <v>170</v>
      </c>
      <c r="G160" s="57">
        <f t="shared" si="29"/>
        <v>-41968.4</v>
      </c>
    </row>
    <row r="161" spans="1:7" s="14" customFormat="1" ht="15.6" customHeight="1">
      <c r="A161" s="433"/>
      <c r="B161" s="414"/>
      <c r="C161" s="414"/>
      <c r="D161" s="393"/>
      <c r="E161" s="426"/>
      <c r="F161" s="228" t="s">
        <v>171</v>
      </c>
      <c r="G161" s="57">
        <f>+'Հավելված N 4'!E103</f>
        <v>-41968.4</v>
      </c>
    </row>
    <row r="162" spans="1:7" s="14" customFormat="1">
      <c r="A162" s="433"/>
      <c r="B162" s="411" t="s">
        <v>177</v>
      </c>
      <c r="C162" s="411"/>
      <c r="D162" s="391"/>
      <c r="E162" s="394"/>
      <c r="F162" s="98" t="s">
        <v>425</v>
      </c>
      <c r="G162" s="118">
        <f>+G164</f>
        <v>4100.8</v>
      </c>
    </row>
    <row r="163" spans="1:7" s="14" customFormat="1" ht="16.899999999999999" customHeight="1">
      <c r="A163" s="433"/>
      <c r="B163" s="412"/>
      <c r="C163" s="413"/>
      <c r="D163" s="392"/>
      <c r="E163" s="395"/>
      <c r="F163" s="93" t="s">
        <v>12</v>
      </c>
      <c r="G163" s="118"/>
    </row>
    <row r="164" spans="1:7" s="14" customFormat="1">
      <c r="A164" s="433"/>
      <c r="B164" s="412"/>
      <c r="C164" s="411" t="s">
        <v>81</v>
      </c>
      <c r="D164" s="392"/>
      <c r="E164" s="395"/>
      <c r="F164" s="98" t="s">
        <v>338</v>
      </c>
      <c r="G164" s="118">
        <f t="shared" ref="G164" si="30">+G166</f>
        <v>4100.8</v>
      </c>
    </row>
    <row r="165" spans="1:7" s="14" customFormat="1" ht="16.899999999999999" customHeight="1">
      <c r="A165" s="433"/>
      <c r="B165" s="412"/>
      <c r="C165" s="412"/>
      <c r="D165" s="392"/>
      <c r="E165" s="395"/>
      <c r="F165" s="93" t="s">
        <v>12</v>
      </c>
      <c r="G165" s="118"/>
    </row>
    <row r="166" spans="1:7" s="14" customFormat="1" ht="34.5">
      <c r="A166" s="433"/>
      <c r="B166" s="412"/>
      <c r="C166" s="412"/>
      <c r="D166" s="392"/>
      <c r="E166" s="395"/>
      <c r="F166" s="116" t="s">
        <v>18</v>
      </c>
      <c r="G166" s="118">
        <f>+G168</f>
        <v>4100.8</v>
      </c>
    </row>
    <row r="167" spans="1:7" s="14" customFormat="1" ht="16.899999999999999" customHeight="1">
      <c r="A167" s="433"/>
      <c r="B167" s="412"/>
      <c r="C167" s="412"/>
      <c r="D167" s="393"/>
      <c r="E167" s="396"/>
      <c r="F167" s="93" t="s">
        <v>12</v>
      </c>
      <c r="G167" s="118"/>
    </row>
    <row r="168" spans="1:7" s="14" customFormat="1" ht="34.9" customHeight="1">
      <c r="A168" s="433"/>
      <c r="B168" s="412"/>
      <c r="C168" s="412"/>
      <c r="D168" s="196">
        <v>1148</v>
      </c>
      <c r="E168" s="423" t="s">
        <v>426</v>
      </c>
      <c r="F168" s="423"/>
      <c r="G168" s="2">
        <f t="shared" ref="G168" si="31">+G170</f>
        <v>4100.8</v>
      </c>
    </row>
    <row r="169" spans="1:7" s="14" customFormat="1" ht="16.899999999999999" customHeight="1">
      <c r="A169" s="433"/>
      <c r="B169" s="412"/>
      <c r="C169" s="412"/>
      <c r="D169" s="196"/>
      <c r="E169" s="128"/>
      <c r="F169" s="93" t="s">
        <v>12</v>
      </c>
      <c r="G169" s="2"/>
    </row>
    <row r="170" spans="1:7" s="14" customFormat="1" ht="69">
      <c r="A170" s="433"/>
      <c r="B170" s="412"/>
      <c r="C170" s="412"/>
      <c r="D170" s="430"/>
      <c r="E170" s="119">
        <v>32005</v>
      </c>
      <c r="F170" s="229" t="s">
        <v>427</v>
      </c>
      <c r="G170" s="15">
        <f>+G172</f>
        <v>4100.8</v>
      </c>
    </row>
    <row r="171" spans="1:7" s="14" customFormat="1" ht="15.6" customHeight="1">
      <c r="A171" s="433"/>
      <c r="B171" s="412"/>
      <c r="C171" s="412"/>
      <c r="D171" s="431"/>
      <c r="E171" s="424"/>
      <c r="F171" s="93" t="s">
        <v>22</v>
      </c>
      <c r="G171" s="5"/>
    </row>
    <row r="172" spans="1:7" s="16" customFormat="1" ht="36.6" customHeight="1">
      <c r="A172" s="433"/>
      <c r="B172" s="412"/>
      <c r="C172" s="412"/>
      <c r="D172" s="431"/>
      <c r="E172" s="425"/>
      <c r="F172" s="129" t="s">
        <v>18</v>
      </c>
      <c r="G172" s="73">
        <f t="shared" ref="G172" si="32">+G174</f>
        <v>4100.8</v>
      </c>
    </row>
    <row r="173" spans="1:7" s="14" customFormat="1" ht="51.75">
      <c r="A173" s="433"/>
      <c r="B173" s="412"/>
      <c r="C173" s="412"/>
      <c r="D173" s="431"/>
      <c r="E173" s="425"/>
      <c r="F173" s="93" t="s">
        <v>19</v>
      </c>
      <c r="G173" s="5"/>
    </row>
    <row r="174" spans="1:7" s="14" customFormat="1" ht="16.899999999999999" customHeight="1">
      <c r="A174" s="433"/>
      <c r="B174" s="412"/>
      <c r="C174" s="412"/>
      <c r="D174" s="431"/>
      <c r="E174" s="425"/>
      <c r="F174" s="122" t="s">
        <v>13</v>
      </c>
      <c r="G174" s="6">
        <f>+G175</f>
        <v>4100.8</v>
      </c>
    </row>
    <row r="175" spans="1:7" s="14" customFormat="1" ht="16.899999999999999" customHeight="1">
      <c r="A175" s="433"/>
      <c r="B175" s="412"/>
      <c r="C175" s="412"/>
      <c r="D175" s="431"/>
      <c r="E175" s="425"/>
      <c r="F175" s="93" t="s">
        <v>52</v>
      </c>
      <c r="G175" s="7">
        <f t="shared" ref="G175:G177" si="33">+G176</f>
        <v>4100.8</v>
      </c>
    </row>
    <row r="176" spans="1:7" s="14" customFormat="1" ht="15.6" customHeight="1">
      <c r="A176" s="433"/>
      <c r="B176" s="412"/>
      <c r="C176" s="412"/>
      <c r="D176" s="431"/>
      <c r="E176" s="425"/>
      <c r="F176" s="93" t="s">
        <v>53</v>
      </c>
      <c r="G176" s="7">
        <f>+G177</f>
        <v>4100.8</v>
      </c>
    </row>
    <row r="177" spans="1:7" s="14" customFormat="1" ht="16.149999999999999" customHeight="1">
      <c r="A177" s="433"/>
      <c r="B177" s="412"/>
      <c r="C177" s="412"/>
      <c r="D177" s="431"/>
      <c r="E177" s="425"/>
      <c r="F177" s="228" t="s">
        <v>172</v>
      </c>
      <c r="G177" s="57">
        <f t="shared" si="33"/>
        <v>4100.8</v>
      </c>
    </row>
    <row r="178" spans="1:7" s="14" customFormat="1" ht="16.149999999999999" customHeight="1">
      <c r="A178" s="433"/>
      <c r="B178" s="413"/>
      <c r="C178" s="413"/>
      <c r="D178" s="432"/>
      <c r="E178" s="426"/>
      <c r="F178" s="228" t="s">
        <v>173</v>
      </c>
      <c r="G178" s="57">
        <f>+'Հավելված N 4'!E59</f>
        <v>4100.8</v>
      </c>
    </row>
    <row r="179" spans="1:7" s="14" customFormat="1" ht="34.5">
      <c r="A179" s="433"/>
      <c r="B179" s="411" t="s">
        <v>116</v>
      </c>
      <c r="C179" s="411"/>
      <c r="D179" s="391"/>
      <c r="E179" s="394"/>
      <c r="F179" s="98" t="s">
        <v>117</v>
      </c>
      <c r="G179" s="118">
        <f>+G181</f>
        <v>-105178.99999999999</v>
      </c>
    </row>
    <row r="180" spans="1:7" s="14" customFormat="1" ht="16.899999999999999" customHeight="1">
      <c r="A180" s="433"/>
      <c r="B180" s="412"/>
      <c r="C180" s="413"/>
      <c r="D180" s="392"/>
      <c r="E180" s="395"/>
      <c r="F180" s="93" t="s">
        <v>12</v>
      </c>
      <c r="G180" s="118"/>
    </row>
    <row r="181" spans="1:7" s="14" customFormat="1" ht="34.5">
      <c r="A181" s="433"/>
      <c r="B181" s="412"/>
      <c r="C181" s="411" t="s">
        <v>81</v>
      </c>
      <c r="D181" s="392"/>
      <c r="E181" s="395"/>
      <c r="F181" s="98" t="s">
        <v>117</v>
      </c>
      <c r="G181" s="118">
        <f t="shared" ref="G181" si="34">+G183</f>
        <v>-105178.99999999999</v>
      </c>
    </row>
    <row r="182" spans="1:7" s="14" customFormat="1" ht="16.899999999999999" customHeight="1">
      <c r="A182" s="433"/>
      <c r="B182" s="412"/>
      <c r="C182" s="412"/>
      <c r="D182" s="392"/>
      <c r="E182" s="395"/>
      <c r="F182" s="93" t="s">
        <v>12</v>
      </c>
      <c r="G182" s="118"/>
    </row>
    <row r="183" spans="1:7" s="14" customFormat="1" ht="34.5">
      <c r="A183" s="433"/>
      <c r="B183" s="412"/>
      <c r="C183" s="412"/>
      <c r="D183" s="392"/>
      <c r="E183" s="395"/>
      <c r="F183" s="116" t="s">
        <v>18</v>
      </c>
      <c r="G183" s="118">
        <f>+G185+G202+G222</f>
        <v>-105178.99999999999</v>
      </c>
    </row>
    <row r="184" spans="1:7" s="14" customFormat="1" ht="16.899999999999999" customHeight="1">
      <c r="A184" s="433"/>
      <c r="B184" s="412"/>
      <c r="C184" s="412"/>
      <c r="D184" s="393"/>
      <c r="E184" s="396"/>
      <c r="F184" s="93" t="s">
        <v>12</v>
      </c>
      <c r="G184" s="118"/>
    </row>
    <row r="185" spans="1:7" s="14" customFormat="1" ht="34.9" customHeight="1">
      <c r="A185" s="433"/>
      <c r="B185" s="412"/>
      <c r="C185" s="412"/>
      <c r="D185" s="196">
        <v>1045</v>
      </c>
      <c r="E185" s="423" t="s">
        <v>185</v>
      </c>
      <c r="F185" s="423"/>
      <c r="G185" s="2">
        <f t="shared" ref="G185" si="35">+G187</f>
        <v>-115385.99999999999</v>
      </c>
    </row>
    <row r="186" spans="1:7" s="14" customFormat="1" ht="16.899999999999999" customHeight="1">
      <c r="A186" s="433"/>
      <c r="B186" s="412"/>
      <c r="C186" s="412"/>
      <c r="D186" s="196"/>
      <c r="E186" s="128"/>
      <c r="F186" s="93" t="s">
        <v>12</v>
      </c>
      <c r="G186" s="2"/>
    </row>
    <row r="187" spans="1:7" s="14" customFormat="1" ht="69">
      <c r="A187" s="433"/>
      <c r="B187" s="412"/>
      <c r="C187" s="412"/>
      <c r="D187" s="430"/>
      <c r="E187" s="119">
        <v>32001</v>
      </c>
      <c r="F187" s="229" t="s">
        <v>149</v>
      </c>
      <c r="G187" s="15">
        <f>+G189</f>
        <v>-115385.99999999999</v>
      </c>
    </row>
    <row r="188" spans="1:7" s="14" customFormat="1" ht="15.6" customHeight="1">
      <c r="A188" s="433"/>
      <c r="B188" s="412"/>
      <c r="C188" s="412"/>
      <c r="D188" s="431"/>
      <c r="E188" s="424"/>
      <c r="F188" s="93" t="s">
        <v>22</v>
      </c>
      <c r="G188" s="5"/>
    </row>
    <row r="189" spans="1:7" s="16" customFormat="1" ht="36.6" customHeight="1">
      <c r="A189" s="433"/>
      <c r="B189" s="412"/>
      <c r="C189" s="412"/>
      <c r="D189" s="431"/>
      <c r="E189" s="425"/>
      <c r="F189" s="129" t="s">
        <v>18</v>
      </c>
      <c r="G189" s="73">
        <f t="shared" ref="G189" si="36">+G191</f>
        <v>-115385.99999999999</v>
      </c>
    </row>
    <row r="190" spans="1:7" s="14" customFormat="1" ht="51.75">
      <c r="A190" s="433"/>
      <c r="B190" s="412"/>
      <c r="C190" s="412"/>
      <c r="D190" s="431"/>
      <c r="E190" s="425"/>
      <c r="F190" s="93" t="s">
        <v>19</v>
      </c>
      <c r="G190" s="5"/>
    </row>
    <row r="191" spans="1:7" s="14" customFormat="1" ht="16.899999999999999" customHeight="1">
      <c r="A191" s="433"/>
      <c r="B191" s="412"/>
      <c r="C191" s="412"/>
      <c r="D191" s="431"/>
      <c r="E191" s="425"/>
      <c r="F191" s="122" t="s">
        <v>13</v>
      </c>
      <c r="G191" s="6">
        <f>+G192+G196</f>
        <v>-115385.99999999999</v>
      </c>
    </row>
    <row r="192" spans="1:7" s="14" customFormat="1" ht="16.899999999999999" customHeight="1">
      <c r="A192" s="433"/>
      <c r="B192" s="412"/>
      <c r="C192" s="412"/>
      <c r="D192" s="431"/>
      <c r="E192" s="425"/>
      <c r="F192" s="160" t="s">
        <v>63</v>
      </c>
      <c r="G192" s="7">
        <f t="shared" ref="G192:G193" si="37">+G193</f>
        <v>10078.200000000001</v>
      </c>
    </row>
    <row r="193" spans="1:7" s="14" customFormat="1" ht="15.6" customHeight="1">
      <c r="A193" s="433"/>
      <c r="B193" s="412"/>
      <c r="C193" s="412"/>
      <c r="D193" s="431"/>
      <c r="E193" s="425"/>
      <c r="F193" s="160" t="s">
        <v>64</v>
      </c>
      <c r="G193" s="7">
        <f t="shared" si="37"/>
        <v>10078.200000000001</v>
      </c>
    </row>
    <row r="194" spans="1:7" s="14" customFormat="1" ht="34.5">
      <c r="A194" s="433"/>
      <c r="B194" s="412"/>
      <c r="C194" s="412"/>
      <c r="D194" s="431"/>
      <c r="E194" s="425"/>
      <c r="F194" s="160" t="s">
        <v>182</v>
      </c>
      <c r="G194" s="57">
        <f>+G195</f>
        <v>10078.200000000001</v>
      </c>
    </row>
    <row r="195" spans="1:7" s="14" customFormat="1" ht="51.75">
      <c r="A195" s="433"/>
      <c r="B195" s="412"/>
      <c r="C195" s="412"/>
      <c r="D195" s="431"/>
      <c r="E195" s="425"/>
      <c r="F195" s="160" t="s">
        <v>183</v>
      </c>
      <c r="G195" s="57">
        <f>+'Հավելված N 6'!G13</f>
        <v>10078.200000000001</v>
      </c>
    </row>
    <row r="196" spans="1:7" s="14" customFormat="1" ht="16.899999999999999" customHeight="1">
      <c r="A196" s="433"/>
      <c r="B196" s="412"/>
      <c r="C196" s="412"/>
      <c r="D196" s="431"/>
      <c r="E196" s="425"/>
      <c r="F196" s="93" t="s">
        <v>52</v>
      </c>
      <c r="G196" s="7">
        <f t="shared" ref="G196:G200" si="38">+G197</f>
        <v>-125464.19999999998</v>
      </c>
    </row>
    <row r="197" spans="1:7" s="14" customFormat="1" ht="15.6" customHeight="1">
      <c r="A197" s="433"/>
      <c r="B197" s="412"/>
      <c r="C197" s="412"/>
      <c r="D197" s="431"/>
      <c r="E197" s="425"/>
      <c r="F197" s="93" t="s">
        <v>53</v>
      </c>
      <c r="G197" s="7">
        <f>+G198+G200</f>
        <v>-125464.19999999998</v>
      </c>
    </row>
    <row r="198" spans="1:7" s="14" customFormat="1" ht="15.6" customHeight="1">
      <c r="A198" s="433"/>
      <c r="B198" s="412"/>
      <c r="C198" s="412"/>
      <c r="D198" s="431"/>
      <c r="E198" s="425"/>
      <c r="F198" s="228" t="s">
        <v>54</v>
      </c>
      <c r="G198" s="57">
        <f t="shared" si="38"/>
        <v>-90003.499999999971</v>
      </c>
    </row>
    <row r="199" spans="1:7" s="14" customFormat="1">
      <c r="A199" s="433"/>
      <c r="B199" s="412"/>
      <c r="C199" s="412"/>
      <c r="D199" s="431"/>
      <c r="E199" s="425"/>
      <c r="F199" s="228" t="s">
        <v>175</v>
      </c>
      <c r="G199" s="57">
        <f>+'Հավելված N 4'!E18+'Հավելված N 4'!E22</f>
        <v>-90003.499999999971</v>
      </c>
    </row>
    <row r="200" spans="1:7" s="14" customFormat="1" ht="16.149999999999999" customHeight="1">
      <c r="A200" s="433"/>
      <c r="B200" s="412"/>
      <c r="C200" s="412"/>
      <c r="D200" s="431"/>
      <c r="E200" s="425"/>
      <c r="F200" s="228" t="s">
        <v>172</v>
      </c>
      <c r="G200" s="57">
        <f t="shared" si="38"/>
        <v>-35460.700000000004</v>
      </c>
    </row>
    <row r="201" spans="1:7" s="14" customFormat="1" ht="16.149999999999999" customHeight="1">
      <c r="A201" s="433"/>
      <c r="B201" s="412"/>
      <c r="C201" s="412"/>
      <c r="D201" s="432"/>
      <c r="E201" s="426"/>
      <c r="F201" s="228" t="s">
        <v>173</v>
      </c>
      <c r="G201" s="57">
        <f>+'Հավելված N 4'!E19+'Հավելված N 4'!E20+'Հավելված N 4'!E24+'Հավելված N 4'!E25</f>
        <v>-35460.700000000004</v>
      </c>
    </row>
    <row r="202" spans="1:7" s="14" customFormat="1">
      <c r="A202" s="433"/>
      <c r="B202" s="412"/>
      <c r="C202" s="412"/>
      <c r="D202" s="196">
        <v>1183</v>
      </c>
      <c r="E202" s="423" t="s">
        <v>115</v>
      </c>
      <c r="F202" s="423"/>
      <c r="G202" s="2">
        <f>+G204+G213</f>
        <v>-14220.000000000002</v>
      </c>
    </row>
    <row r="203" spans="1:7" s="14" customFormat="1" ht="16.899999999999999" customHeight="1">
      <c r="A203" s="433"/>
      <c r="B203" s="412"/>
      <c r="C203" s="412"/>
      <c r="D203" s="196"/>
      <c r="E203" s="128"/>
      <c r="F203" s="93" t="s">
        <v>12</v>
      </c>
      <c r="G203" s="2"/>
    </row>
    <row r="204" spans="1:7" s="14" customFormat="1" ht="34.5">
      <c r="A204" s="433"/>
      <c r="B204" s="412"/>
      <c r="C204" s="412"/>
      <c r="D204" s="430"/>
      <c r="E204" s="119">
        <v>32001</v>
      </c>
      <c r="F204" s="229" t="s">
        <v>510</v>
      </c>
      <c r="G204" s="15">
        <f>+G206</f>
        <v>1939.8</v>
      </c>
    </row>
    <row r="205" spans="1:7" s="14" customFormat="1" ht="15.6" customHeight="1">
      <c r="A205" s="433"/>
      <c r="B205" s="412"/>
      <c r="C205" s="412"/>
      <c r="D205" s="431"/>
      <c r="E205" s="424"/>
      <c r="F205" s="93" t="s">
        <v>22</v>
      </c>
      <c r="G205" s="5"/>
    </row>
    <row r="206" spans="1:7" s="16" customFormat="1" ht="36.6" customHeight="1">
      <c r="A206" s="433"/>
      <c r="B206" s="412"/>
      <c r="C206" s="412"/>
      <c r="D206" s="431"/>
      <c r="E206" s="425"/>
      <c r="F206" s="129" t="s">
        <v>424</v>
      </c>
      <c r="G206" s="73">
        <f t="shared" ref="G206" si="39">+G208</f>
        <v>1939.8</v>
      </c>
    </row>
    <row r="207" spans="1:7" s="14" customFormat="1" ht="51.75">
      <c r="A207" s="433"/>
      <c r="B207" s="412"/>
      <c r="C207" s="412"/>
      <c r="D207" s="431"/>
      <c r="E207" s="425"/>
      <c r="F207" s="93" t="s">
        <v>19</v>
      </c>
      <c r="G207" s="5"/>
    </row>
    <row r="208" spans="1:7" s="14" customFormat="1" ht="16.899999999999999" customHeight="1">
      <c r="A208" s="433"/>
      <c r="B208" s="412"/>
      <c r="C208" s="412"/>
      <c r="D208" s="431"/>
      <c r="E208" s="425"/>
      <c r="F208" s="122" t="s">
        <v>13</v>
      </c>
      <c r="G208" s="6">
        <f>+G209</f>
        <v>1939.8</v>
      </c>
    </row>
    <row r="209" spans="1:7" s="14" customFormat="1" ht="16.899999999999999" customHeight="1">
      <c r="A209" s="433"/>
      <c r="B209" s="412"/>
      <c r="C209" s="412"/>
      <c r="D209" s="431"/>
      <c r="E209" s="425"/>
      <c r="F209" s="160" t="s">
        <v>63</v>
      </c>
      <c r="G209" s="7">
        <f t="shared" ref="G209:G211" si="40">+G210</f>
        <v>1939.8</v>
      </c>
    </row>
    <row r="210" spans="1:7" s="14" customFormat="1" ht="15.6" customHeight="1">
      <c r="A210" s="433"/>
      <c r="B210" s="412"/>
      <c r="C210" s="412"/>
      <c r="D210" s="431"/>
      <c r="E210" s="425"/>
      <c r="F210" s="160" t="s">
        <v>64</v>
      </c>
      <c r="G210" s="7">
        <f t="shared" si="40"/>
        <v>1939.8</v>
      </c>
    </row>
    <row r="211" spans="1:7" s="14" customFormat="1" ht="15.6" customHeight="1">
      <c r="A211" s="433"/>
      <c r="B211" s="412"/>
      <c r="C211" s="412"/>
      <c r="D211" s="431"/>
      <c r="E211" s="425"/>
      <c r="F211" s="160" t="s">
        <v>182</v>
      </c>
      <c r="G211" s="57">
        <f t="shared" si="40"/>
        <v>1939.8</v>
      </c>
    </row>
    <row r="212" spans="1:7" s="14" customFormat="1" ht="51.75">
      <c r="A212" s="433"/>
      <c r="B212" s="412"/>
      <c r="C212" s="412"/>
      <c r="D212" s="431"/>
      <c r="E212" s="426"/>
      <c r="F212" s="160" t="s">
        <v>183</v>
      </c>
      <c r="G212" s="57">
        <f>+'Հավելված N 6'!G27</f>
        <v>1939.8</v>
      </c>
    </row>
    <row r="213" spans="1:7" s="14" customFormat="1" ht="51.75">
      <c r="A213" s="433"/>
      <c r="B213" s="412"/>
      <c r="C213" s="412"/>
      <c r="D213" s="431"/>
      <c r="E213" s="119">
        <v>32004</v>
      </c>
      <c r="F213" s="229" t="s">
        <v>266</v>
      </c>
      <c r="G213" s="15">
        <f>+G215</f>
        <v>-16159.800000000001</v>
      </c>
    </row>
    <row r="214" spans="1:7" s="14" customFormat="1" ht="15.6" customHeight="1">
      <c r="A214" s="433"/>
      <c r="B214" s="412"/>
      <c r="C214" s="412"/>
      <c r="D214" s="431"/>
      <c r="E214" s="424"/>
      <c r="F214" s="93" t="s">
        <v>22</v>
      </c>
      <c r="G214" s="5"/>
    </row>
    <row r="215" spans="1:7" s="16" customFormat="1" ht="36.6" customHeight="1">
      <c r="A215" s="433"/>
      <c r="B215" s="412"/>
      <c r="C215" s="412"/>
      <c r="D215" s="431"/>
      <c r="E215" s="425"/>
      <c r="F215" s="129" t="s">
        <v>18</v>
      </c>
      <c r="G215" s="73">
        <f t="shared" ref="G215" si="41">+G217</f>
        <v>-16159.800000000001</v>
      </c>
    </row>
    <row r="216" spans="1:7" s="14" customFormat="1" ht="51.75">
      <c r="A216" s="433"/>
      <c r="B216" s="412"/>
      <c r="C216" s="412"/>
      <c r="D216" s="431"/>
      <c r="E216" s="425"/>
      <c r="F216" s="93" t="s">
        <v>19</v>
      </c>
      <c r="G216" s="5"/>
    </row>
    <row r="217" spans="1:7" s="14" customFormat="1" ht="16.899999999999999" customHeight="1">
      <c r="A217" s="433"/>
      <c r="B217" s="412"/>
      <c r="C217" s="412"/>
      <c r="D217" s="431"/>
      <c r="E217" s="425"/>
      <c r="F217" s="122" t="s">
        <v>13</v>
      </c>
      <c r="G217" s="6">
        <f>+G218</f>
        <v>-16159.800000000001</v>
      </c>
    </row>
    <row r="218" spans="1:7" s="14" customFormat="1" ht="16.899999999999999" customHeight="1">
      <c r="A218" s="433"/>
      <c r="B218" s="412"/>
      <c r="C218" s="412"/>
      <c r="D218" s="431"/>
      <c r="E218" s="425"/>
      <c r="F218" s="93" t="s">
        <v>168</v>
      </c>
      <c r="G218" s="7">
        <f t="shared" ref="G218:G220" si="42">+G219</f>
        <v>-16159.800000000001</v>
      </c>
    </row>
    <row r="219" spans="1:7" s="14" customFormat="1" ht="15.6" customHeight="1">
      <c r="A219" s="433"/>
      <c r="B219" s="412"/>
      <c r="C219" s="412"/>
      <c r="D219" s="431"/>
      <c r="E219" s="425"/>
      <c r="F219" s="93" t="s">
        <v>169</v>
      </c>
      <c r="G219" s="7">
        <f t="shared" si="42"/>
        <v>-16159.800000000001</v>
      </c>
    </row>
    <row r="220" spans="1:7" s="14" customFormat="1" ht="15.6" customHeight="1">
      <c r="A220" s="433"/>
      <c r="B220" s="412"/>
      <c r="C220" s="412"/>
      <c r="D220" s="431"/>
      <c r="E220" s="425"/>
      <c r="F220" s="228" t="s">
        <v>54</v>
      </c>
      <c r="G220" s="57">
        <f t="shared" si="42"/>
        <v>-16159.800000000001</v>
      </c>
    </row>
    <row r="221" spans="1:7" s="14" customFormat="1">
      <c r="A221" s="433"/>
      <c r="B221" s="412"/>
      <c r="C221" s="412"/>
      <c r="D221" s="432"/>
      <c r="E221" s="426"/>
      <c r="F221" s="228" t="s">
        <v>175</v>
      </c>
      <c r="G221" s="57">
        <f>+'Հավելված N 4'!E77</f>
        <v>-16159.800000000001</v>
      </c>
    </row>
    <row r="222" spans="1:7" s="14" customFormat="1">
      <c r="A222" s="433"/>
      <c r="B222" s="412"/>
      <c r="C222" s="412"/>
      <c r="D222" s="196">
        <v>1192</v>
      </c>
      <c r="E222" s="423" t="s">
        <v>484</v>
      </c>
      <c r="F222" s="423"/>
      <c r="G222" s="2">
        <f>+G224</f>
        <v>24427</v>
      </c>
    </row>
    <row r="223" spans="1:7" s="14" customFormat="1" ht="16.899999999999999" customHeight="1">
      <c r="A223" s="433"/>
      <c r="B223" s="412"/>
      <c r="C223" s="412"/>
      <c r="D223" s="196"/>
      <c r="E223" s="128"/>
      <c r="F223" s="93" t="s">
        <v>12</v>
      </c>
      <c r="G223" s="2"/>
    </row>
    <row r="224" spans="1:7" s="14" customFormat="1" ht="51.75">
      <c r="A224" s="433"/>
      <c r="B224" s="412"/>
      <c r="C224" s="412"/>
      <c r="D224" s="430"/>
      <c r="E224" s="119">
        <v>11023</v>
      </c>
      <c r="F224" s="229" t="s">
        <v>486</v>
      </c>
      <c r="G224" s="15">
        <f>+G226</f>
        <v>24427</v>
      </c>
    </row>
    <row r="225" spans="1:7" s="14" customFormat="1" ht="15.6" customHeight="1">
      <c r="A225" s="433"/>
      <c r="B225" s="412"/>
      <c r="C225" s="412"/>
      <c r="D225" s="431"/>
      <c r="E225" s="424"/>
      <c r="F225" s="93" t="s">
        <v>22</v>
      </c>
      <c r="G225" s="5"/>
    </row>
    <row r="226" spans="1:7" s="16" customFormat="1" ht="36.6" customHeight="1">
      <c r="A226" s="433"/>
      <c r="B226" s="412"/>
      <c r="C226" s="412"/>
      <c r="D226" s="431"/>
      <c r="E226" s="425"/>
      <c r="F226" s="129" t="s">
        <v>487</v>
      </c>
      <c r="G226" s="73">
        <f>+G228</f>
        <v>24427</v>
      </c>
    </row>
    <row r="227" spans="1:7" s="14" customFormat="1" ht="34.5">
      <c r="A227" s="433"/>
      <c r="B227" s="412"/>
      <c r="C227" s="412"/>
      <c r="D227" s="431"/>
      <c r="E227" s="425"/>
      <c r="F227" s="93" t="s">
        <v>482</v>
      </c>
      <c r="G227" s="5"/>
    </row>
    <row r="228" spans="1:7" s="14" customFormat="1" ht="16.899999999999999" customHeight="1">
      <c r="A228" s="433"/>
      <c r="B228" s="412"/>
      <c r="C228" s="412"/>
      <c r="D228" s="431"/>
      <c r="E228" s="425"/>
      <c r="F228" s="122" t="s">
        <v>13</v>
      </c>
      <c r="G228" s="6">
        <f>+G229</f>
        <v>24427</v>
      </c>
    </row>
    <row r="229" spans="1:7" s="14" customFormat="1" ht="16.899999999999999" customHeight="1">
      <c r="A229" s="433"/>
      <c r="B229" s="412"/>
      <c r="C229" s="412"/>
      <c r="D229" s="431"/>
      <c r="E229" s="425"/>
      <c r="F229" s="93" t="s">
        <v>63</v>
      </c>
      <c r="G229" s="7">
        <f t="shared" ref="G229:G231" si="43">+G230</f>
        <v>24427</v>
      </c>
    </row>
    <row r="230" spans="1:7" s="14" customFormat="1" ht="15.6" customHeight="1">
      <c r="A230" s="433"/>
      <c r="B230" s="412"/>
      <c r="C230" s="412"/>
      <c r="D230" s="431"/>
      <c r="E230" s="425"/>
      <c r="F230" s="93" t="s">
        <v>64</v>
      </c>
      <c r="G230" s="7">
        <f t="shared" si="43"/>
        <v>24427</v>
      </c>
    </row>
    <row r="231" spans="1:7" s="14" customFormat="1" ht="15.6" customHeight="1">
      <c r="A231" s="433"/>
      <c r="B231" s="412"/>
      <c r="C231" s="412"/>
      <c r="D231" s="431"/>
      <c r="E231" s="425"/>
      <c r="F231" s="228" t="s">
        <v>488</v>
      </c>
      <c r="G231" s="57">
        <f t="shared" si="43"/>
        <v>24427</v>
      </c>
    </row>
    <row r="232" spans="1:7" s="14" customFormat="1">
      <c r="A232" s="433"/>
      <c r="B232" s="413"/>
      <c r="C232" s="413"/>
      <c r="D232" s="432"/>
      <c r="E232" s="426"/>
      <c r="F232" s="228" t="s">
        <v>489</v>
      </c>
      <c r="G232" s="57">
        <f>+'Հավելված N 5'!D28</f>
        <v>24427</v>
      </c>
    </row>
    <row r="233" spans="1:7" ht="8.1" customHeight="1"/>
    <row r="234" spans="1:7" s="14" customFormat="1" ht="32.450000000000003" customHeight="1">
      <c r="A234" s="93"/>
      <c r="B234" s="93"/>
      <c r="C234" s="93"/>
      <c r="D234" s="92"/>
      <c r="E234" s="92"/>
      <c r="F234" s="98" t="s">
        <v>195</v>
      </c>
      <c r="G234" s="94">
        <f>+G235</f>
        <v>0</v>
      </c>
    </row>
    <row r="235" spans="1:7" s="14" customFormat="1" ht="17.649999999999999" customHeight="1">
      <c r="A235" s="419" t="s">
        <v>196</v>
      </c>
      <c r="B235" s="408"/>
      <c r="C235" s="408"/>
      <c r="D235" s="420"/>
      <c r="E235" s="55"/>
      <c r="F235" s="98" t="s">
        <v>197</v>
      </c>
      <c r="G235" s="94">
        <f t="shared" ref="G235" si="44">+G237</f>
        <v>0</v>
      </c>
    </row>
    <row r="236" spans="1:7" s="14" customFormat="1" ht="16.899999999999999" customHeight="1">
      <c r="A236" s="419"/>
      <c r="B236" s="408"/>
      <c r="C236" s="408"/>
      <c r="D236" s="421"/>
      <c r="E236" s="56"/>
      <c r="F236" s="93" t="s">
        <v>12</v>
      </c>
      <c r="G236" s="193"/>
    </row>
    <row r="237" spans="1:7" s="14" customFormat="1" ht="34.5">
      <c r="A237" s="419"/>
      <c r="B237" s="414" t="s">
        <v>81</v>
      </c>
      <c r="C237" s="408"/>
      <c r="D237" s="421"/>
      <c r="E237" s="56"/>
      <c r="F237" s="98" t="s">
        <v>198</v>
      </c>
      <c r="G237" s="118">
        <f t="shared" ref="G237" si="45">+G239</f>
        <v>0</v>
      </c>
    </row>
    <row r="238" spans="1:7" s="14" customFormat="1" ht="16.899999999999999" customHeight="1">
      <c r="A238" s="419"/>
      <c r="B238" s="414"/>
      <c r="C238" s="408"/>
      <c r="D238" s="421"/>
      <c r="E238" s="56"/>
      <c r="F238" s="93" t="s">
        <v>12</v>
      </c>
      <c r="G238" s="193"/>
    </row>
    <row r="239" spans="1:7" s="14" customFormat="1">
      <c r="A239" s="419"/>
      <c r="B239" s="414"/>
      <c r="C239" s="414" t="s">
        <v>81</v>
      </c>
      <c r="D239" s="421"/>
      <c r="E239" s="56"/>
      <c r="F239" s="98" t="s">
        <v>199</v>
      </c>
      <c r="G239" s="118">
        <f t="shared" ref="G239" si="46">+G241</f>
        <v>0</v>
      </c>
    </row>
    <row r="240" spans="1:7" s="14" customFormat="1" ht="16.899999999999999" customHeight="1">
      <c r="A240" s="419"/>
      <c r="B240" s="414"/>
      <c r="C240" s="414"/>
      <c r="D240" s="421"/>
      <c r="E240" s="56"/>
      <c r="F240" s="93" t="s">
        <v>12</v>
      </c>
      <c r="G240" s="198"/>
    </row>
    <row r="241" spans="1:7" s="14" customFormat="1" ht="34.5">
      <c r="A241" s="419"/>
      <c r="B241" s="414"/>
      <c r="C241" s="414"/>
      <c r="D241" s="421"/>
      <c r="E241" s="56"/>
      <c r="F241" s="116" t="s">
        <v>18</v>
      </c>
      <c r="G241" s="118">
        <f t="shared" ref="G241" si="47">+G243</f>
        <v>0</v>
      </c>
    </row>
    <row r="242" spans="1:7" s="14" customFormat="1" ht="16.899999999999999" customHeight="1">
      <c r="A242" s="419"/>
      <c r="B242" s="414"/>
      <c r="C242" s="414"/>
      <c r="D242" s="422"/>
      <c r="E242" s="71"/>
      <c r="F242" s="93" t="s">
        <v>12</v>
      </c>
      <c r="G242" s="198"/>
    </row>
    <row r="243" spans="1:7" s="14" customFormat="1" ht="18" customHeight="1">
      <c r="A243" s="419"/>
      <c r="B243" s="414"/>
      <c r="C243" s="414"/>
      <c r="D243" s="407">
        <v>1139</v>
      </c>
      <c r="E243" s="423" t="s">
        <v>199</v>
      </c>
      <c r="F243" s="423"/>
      <c r="G243" s="94">
        <f>+G245+G253</f>
        <v>0</v>
      </c>
    </row>
    <row r="244" spans="1:7" s="14" customFormat="1" ht="16.899999999999999" customHeight="1">
      <c r="A244" s="419"/>
      <c r="B244" s="414"/>
      <c r="C244" s="414"/>
      <c r="D244" s="407"/>
      <c r="E244" s="128"/>
      <c r="F244" s="93" t="s">
        <v>12</v>
      </c>
      <c r="G244" s="94"/>
    </row>
    <row r="245" spans="1:7" s="14" customFormat="1">
      <c r="A245" s="419"/>
      <c r="B245" s="414"/>
      <c r="C245" s="414"/>
      <c r="D245" s="407"/>
      <c r="E245" s="119">
        <v>11001</v>
      </c>
      <c r="F245" s="104" t="s">
        <v>199</v>
      </c>
      <c r="G245" s="105">
        <f t="shared" ref="G245" si="48">+G247</f>
        <v>4100.8</v>
      </c>
    </row>
    <row r="246" spans="1:7" s="14" customFormat="1" ht="15.6" customHeight="1">
      <c r="A246" s="419"/>
      <c r="B246" s="414"/>
      <c r="C246" s="414"/>
      <c r="D246" s="407"/>
      <c r="E246" s="424"/>
      <c r="F246" s="93" t="s">
        <v>22</v>
      </c>
      <c r="G246" s="193"/>
    </row>
    <row r="247" spans="1:7" s="16" customFormat="1" ht="36.6" customHeight="1">
      <c r="A247" s="419"/>
      <c r="B247" s="414"/>
      <c r="C247" s="414"/>
      <c r="D247" s="407"/>
      <c r="E247" s="425"/>
      <c r="F247" s="129" t="s">
        <v>200</v>
      </c>
      <c r="G247" s="199">
        <f t="shared" ref="G247" si="49">+G249</f>
        <v>4100.8</v>
      </c>
    </row>
    <row r="248" spans="1:7" s="14" customFormat="1" ht="51.75">
      <c r="A248" s="419"/>
      <c r="B248" s="414"/>
      <c r="C248" s="414"/>
      <c r="D248" s="407"/>
      <c r="E248" s="425"/>
      <c r="F248" s="93" t="s">
        <v>19</v>
      </c>
      <c r="G248" s="193"/>
    </row>
    <row r="249" spans="1:7" s="14" customFormat="1" ht="16.899999999999999" customHeight="1">
      <c r="A249" s="419"/>
      <c r="B249" s="414"/>
      <c r="C249" s="414"/>
      <c r="D249" s="407"/>
      <c r="E249" s="425"/>
      <c r="F249" s="122" t="s">
        <v>13</v>
      </c>
      <c r="G249" s="118">
        <f t="shared" ref="G249:G251" si="50">+G250</f>
        <v>4100.8</v>
      </c>
    </row>
    <row r="250" spans="1:7" s="14" customFormat="1" ht="16.899999999999999" customHeight="1">
      <c r="A250" s="419"/>
      <c r="B250" s="414"/>
      <c r="C250" s="414"/>
      <c r="D250" s="407"/>
      <c r="E250" s="425"/>
      <c r="F250" s="93" t="s">
        <v>63</v>
      </c>
      <c r="G250" s="200">
        <f>+G251</f>
        <v>4100.8</v>
      </c>
    </row>
    <row r="251" spans="1:7" s="14" customFormat="1" ht="15.6" customHeight="1">
      <c r="A251" s="419"/>
      <c r="B251" s="414"/>
      <c r="C251" s="414"/>
      <c r="D251" s="407"/>
      <c r="E251" s="425"/>
      <c r="F251" s="201" t="s">
        <v>184</v>
      </c>
      <c r="G251" s="192">
        <f t="shared" si="50"/>
        <v>4100.8</v>
      </c>
    </row>
    <row r="252" spans="1:7" s="14" customFormat="1" ht="15.6" customHeight="1">
      <c r="A252" s="419"/>
      <c r="B252" s="414"/>
      <c r="C252" s="414"/>
      <c r="D252" s="407"/>
      <c r="E252" s="426"/>
      <c r="F252" s="201" t="s">
        <v>246</v>
      </c>
      <c r="G252" s="192">
        <f>+G170</f>
        <v>4100.8</v>
      </c>
    </row>
    <row r="253" spans="1:7" s="14" customFormat="1">
      <c r="A253" s="419"/>
      <c r="B253" s="414"/>
      <c r="C253" s="414"/>
      <c r="D253" s="407"/>
      <c r="E253" s="119">
        <v>11001</v>
      </c>
      <c r="F253" s="104" t="s">
        <v>199</v>
      </c>
      <c r="G253" s="105">
        <f t="shared" ref="G253" si="51">+G255</f>
        <v>-4100.8</v>
      </c>
    </row>
    <row r="254" spans="1:7" s="14" customFormat="1">
      <c r="A254" s="419"/>
      <c r="B254" s="414"/>
      <c r="C254" s="414"/>
      <c r="D254" s="407"/>
      <c r="E254" s="424"/>
      <c r="F254" s="93" t="s">
        <v>22</v>
      </c>
      <c r="G254" s="193"/>
    </row>
    <row r="255" spans="1:7" s="16" customFormat="1" ht="36.6" customHeight="1">
      <c r="A255" s="419"/>
      <c r="B255" s="414"/>
      <c r="C255" s="414"/>
      <c r="D255" s="407"/>
      <c r="E255" s="425"/>
      <c r="F255" s="129" t="s">
        <v>200</v>
      </c>
      <c r="G255" s="199">
        <f t="shared" ref="G255" si="52">+G257</f>
        <v>-4100.8</v>
      </c>
    </row>
    <row r="256" spans="1:7" s="14" customFormat="1" ht="51.75">
      <c r="A256" s="419"/>
      <c r="B256" s="414"/>
      <c r="C256" s="414"/>
      <c r="D256" s="407"/>
      <c r="E256" s="425"/>
      <c r="F256" s="93" t="s">
        <v>19</v>
      </c>
      <c r="G256" s="193"/>
    </row>
    <row r="257" spans="1:7" s="14" customFormat="1" ht="16.899999999999999" customHeight="1">
      <c r="A257" s="419"/>
      <c r="B257" s="414"/>
      <c r="C257" s="414"/>
      <c r="D257" s="407"/>
      <c r="E257" s="425"/>
      <c r="F257" s="122" t="s">
        <v>13</v>
      </c>
      <c r="G257" s="118">
        <f t="shared" ref="G257:G259" si="53">+G258</f>
        <v>-4100.8</v>
      </c>
    </row>
    <row r="258" spans="1:7" s="14" customFormat="1" ht="16.899999999999999" customHeight="1">
      <c r="A258" s="419"/>
      <c r="B258" s="414"/>
      <c r="C258" s="414"/>
      <c r="D258" s="407"/>
      <c r="E258" s="425"/>
      <c r="F258" s="93" t="s">
        <v>63</v>
      </c>
      <c r="G258" s="200">
        <f>+G259</f>
        <v>-4100.8</v>
      </c>
    </row>
    <row r="259" spans="1:7" s="14" customFormat="1">
      <c r="A259" s="419"/>
      <c r="B259" s="414"/>
      <c r="C259" s="414"/>
      <c r="D259" s="407"/>
      <c r="E259" s="425"/>
      <c r="F259" s="201" t="s">
        <v>184</v>
      </c>
      <c r="G259" s="192">
        <f t="shared" si="53"/>
        <v>-4100.8</v>
      </c>
    </row>
    <row r="260" spans="1:7" s="14" customFormat="1">
      <c r="A260" s="419"/>
      <c r="B260" s="414"/>
      <c r="C260" s="414"/>
      <c r="D260" s="407"/>
      <c r="E260" s="426"/>
      <c r="F260" s="201" t="s">
        <v>246</v>
      </c>
      <c r="G260" s="192">
        <f>-G170</f>
        <v>-4100.8</v>
      </c>
    </row>
  </sheetData>
  <mergeCells count="78">
    <mergeCell ref="C86:C87"/>
    <mergeCell ref="C41:C68"/>
    <mergeCell ref="E97:E108"/>
    <mergeCell ref="C179:C180"/>
    <mergeCell ref="E145:E152"/>
    <mergeCell ref="E142:F142"/>
    <mergeCell ref="A86:A232"/>
    <mergeCell ref="B162:B178"/>
    <mergeCell ref="B86:B87"/>
    <mergeCell ref="B125:B161"/>
    <mergeCell ref="B88:B124"/>
    <mergeCell ref="B179:B232"/>
    <mergeCell ref="C164:C178"/>
    <mergeCell ref="E222:F222"/>
    <mergeCell ref="E16:E23"/>
    <mergeCell ref="C90:C124"/>
    <mergeCell ref="E135:E141"/>
    <mergeCell ref="C162:C163"/>
    <mergeCell ref="D162:D167"/>
    <mergeCell ref="E162:E167"/>
    <mergeCell ref="E168:F168"/>
    <mergeCell ref="E205:E212"/>
    <mergeCell ref="D204:D221"/>
    <mergeCell ref="D26:D40"/>
    <mergeCell ref="C181:C232"/>
    <mergeCell ref="E131:F131"/>
    <mergeCell ref="C127:C161"/>
    <mergeCell ref="C88:C89"/>
    <mergeCell ref="E225:E232"/>
    <mergeCell ref="E188:E201"/>
    <mergeCell ref="D187:D201"/>
    <mergeCell ref="E61:E68"/>
    <mergeCell ref="D179:D184"/>
    <mergeCell ref="D170:D178"/>
    <mergeCell ref="E171:E178"/>
    <mergeCell ref="E243:F243"/>
    <mergeCell ref="E246:E252"/>
    <mergeCell ref="E254:E260"/>
    <mergeCell ref="E45:F45"/>
    <mergeCell ref="D47:D59"/>
    <mergeCell ref="E48:E59"/>
    <mergeCell ref="E202:F202"/>
    <mergeCell ref="E214:E221"/>
    <mergeCell ref="E185:F185"/>
    <mergeCell ref="E154:E161"/>
    <mergeCell ref="D144:D161"/>
    <mergeCell ref="E94:F94"/>
    <mergeCell ref="E179:E184"/>
    <mergeCell ref="D96:D124"/>
    <mergeCell ref="E110:E124"/>
    <mergeCell ref="D224:D232"/>
    <mergeCell ref="A235:A260"/>
    <mergeCell ref="B235:B236"/>
    <mergeCell ref="C235:C238"/>
    <mergeCell ref="D235:D242"/>
    <mergeCell ref="B237:B260"/>
    <mergeCell ref="C239:C260"/>
    <mergeCell ref="D243:D260"/>
    <mergeCell ref="A16:A85"/>
    <mergeCell ref="E69:E72"/>
    <mergeCell ref="D69:D72"/>
    <mergeCell ref="C69:C85"/>
    <mergeCell ref="E73:F73"/>
    <mergeCell ref="D75:D85"/>
    <mergeCell ref="E76:E85"/>
    <mergeCell ref="B18:B85"/>
    <mergeCell ref="E24:F24"/>
    <mergeCell ref="E27:E40"/>
    <mergeCell ref="B16:B17"/>
    <mergeCell ref="C16:C17"/>
    <mergeCell ref="C20:C40"/>
    <mergeCell ref="F1:G1"/>
    <mergeCell ref="F3:G3"/>
    <mergeCell ref="A7:G7"/>
    <mergeCell ref="A11:C11"/>
    <mergeCell ref="D11:E11"/>
    <mergeCell ref="F2:G2"/>
    <mergeCell ref="F11:F12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3"/>
  <sheetViews>
    <sheetView topLeftCell="A5" zoomScale="85" zoomScaleNormal="85" workbookViewId="0">
      <selection activeCell="E7" sqref="E7:G7"/>
    </sheetView>
  </sheetViews>
  <sheetFormatPr defaultColWidth="9.140625" defaultRowHeight="17.25"/>
  <cols>
    <col min="1" max="1" width="9.140625" style="140"/>
    <col min="2" max="2" width="9.140625" style="140" customWidth="1"/>
    <col min="3" max="3" width="54.28515625" style="140" customWidth="1"/>
    <col min="4" max="4" width="23.140625" style="140" customWidth="1"/>
    <col min="5" max="8" width="20.42578125" style="140" customWidth="1"/>
    <col min="9" max="9" width="23.42578125" style="379" customWidth="1"/>
    <col min="10" max="10" width="15.7109375" style="379" bestFit="1" customWidth="1"/>
    <col min="11" max="16384" width="9.140625" style="140"/>
  </cols>
  <sheetData>
    <row r="1" spans="1:10" s="137" customFormat="1" ht="26.65" customHeight="1">
      <c r="A1" s="135"/>
      <c r="B1" s="136"/>
      <c r="C1" s="136"/>
      <c r="D1" s="136"/>
      <c r="E1" s="135"/>
      <c r="F1" s="445" t="s">
        <v>114</v>
      </c>
      <c r="G1" s="445"/>
      <c r="H1" s="445"/>
      <c r="I1" s="378"/>
      <c r="J1" s="378"/>
    </row>
    <row r="2" spans="1:10">
      <c r="A2" s="138"/>
      <c r="B2" s="138"/>
      <c r="C2" s="138"/>
      <c r="D2" s="138"/>
      <c r="E2" s="139"/>
      <c r="F2" s="446" t="s">
        <v>78</v>
      </c>
      <c r="G2" s="446"/>
      <c r="H2" s="446"/>
    </row>
    <row r="3" spans="1:10">
      <c r="A3" s="138"/>
      <c r="B3" s="138"/>
      <c r="C3" s="138"/>
      <c r="D3" s="138"/>
      <c r="E3" s="139"/>
      <c r="F3" s="446" t="s">
        <v>26</v>
      </c>
      <c r="G3" s="446"/>
      <c r="H3" s="446"/>
    </row>
    <row r="4" spans="1:10">
      <c r="A4" s="141"/>
      <c r="B4" s="141"/>
      <c r="C4" s="142"/>
      <c r="D4" s="139"/>
      <c r="E4" s="139"/>
      <c r="F4" s="139"/>
      <c r="G4" s="139"/>
      <c r="H4" s="139"/>
    </row>
    <row r="5" spans="1:10" ht="37.5" customHeight="1">
      <c r="A5" s="447" t="s">
        <v>134</v>
      </c>
      <c r="B5" s="448"/>
      <c r="C5" s="448"/>
      <c r="D5" s="448"/>
      <c r="E5" s="448"/>
      <c r="F5" s="448"/>
      <c r="G5" s="448"/>
      <c r="H5" s="448"/>
    </row>
    <row r="6" spans="1:10" ht="37.5" customHeight="1">
      <c r="A6" s="448"/>
      <c r="B6" s="448"/>
      <c r="C6" s="448"/>
      <c r="D6" s="448"/>
      <c r="E6" s="448"/>
      <c r="F6" s="448"/>
      <c r="G6" s="448"/>
      <c r="H6" s="448"/>
    </row>
    <row r="7" spans="1:10">
      <c r="D7" s="317"/>
      <c r="E7" s="323"/>
      <c r="F7" s="316"/>
      <c r="G7" s="377"/>
      <c r="H7" s="148"/>
    </row>
    <row r="8" spans="1:10">
      <c r="A8" s="143"/>
      <c r="B8" s="143"/>
      <c r="C8" s="143"/>
      <c r="D8" s="189"/>
      <c r="E8" s="316"/>
      <c r="F8" s="139"/>
      <c r="G8" s="449" t="s">
        <v>15</v>
      </c>
      <c r="H8" s="449"/>
    </row>
    <row r="9" spans="1:10" ht="45" customHeight="1">
      <c r="A9" s="450" t="s">
        <v>43</v>
      </c>
      <c r="B9" s="451"/>
      <c r="C9" s="452" t="s">
        <v>44</v>
      </c>
      <c r="D9" s="454" t="s">
        <v>108</v>
      </c>
      <c r="E9" s="442" t="s">
        <v>51</v>
      </c>
      <c r="F9" s="443"/>
      <c r="G9" s="443"/>
      <c r="H9" s="444"/>
    </row>
    <row r="10" spans="1:10" ht="103.5">
      <c r="A10" s="144" t="s">
        <v>20</v>
      </c>
      <c r="B10" s="144" t="s">
        <v>21</v>
      </c>
      <c r="C10" s="453"/>
      <c r="D10" s="455"/>
      <c r="E10" s="145" t="s">
        <v>127</v>
      </c>
      <c r="F10" s="145" t="s">
        <v>128</v>
      </c>
      <c r="G10" s="145" t="s">
        <v>129</v>
      </c>
      <c r="H10" s="145" t="s">
        <v>130</v>
      </c>
    </row>
    <row r="11" spans="1:10">
      <c r="A11" s="144"/>
      <c r="B11" s="144"/>
      <c r="C11" s="146" t="s">
        <v>131</v>
      </c>
      <c r="D11" s="150">
        <f>SUM(E11:H11)</f>
        <v>-122690.29999999989</v>
      </c>
      <c r="E11" s="147">
        <f>+E13</f>
        <v>298769.60000000003</v>
      </c>
      <c r="F11" s="147">
        <f>+F13</f>
        <v>-317858.29999999993</v>
      </c>
      <c r="G11" s="147">
        <f>+G13</f>
        <v>-16383.2</v>
      </c>
      <c r="H11" s="147">
        <f>+H13</f>
        <v>-87218.4</v>
      </c>
    </row>
    <row r="12" spans="1:10">
      <c r="A12" s="144"/>
      <c r="B12" s="144"/>
      <c r="C12" s="146" t="s">
        <v>132</v>
      </c>
      <c r="D12" s="150"/>
      <c r="E12" s="147"/>
      <c r="F12" s="147"/>
      <c r="G12" s="147"/>
      <c r="H12" s="147"/>
    </row>
    <row r="13" spans="1:10" ht="51.75">
      <c r="A13" s="132"/>
      <c r="B13" s="149"/>
      <c r="C13" s="149" t="s">
        <v>23</v>
      </c>
      <c r="D13" s="150">
        <f>SUM(E13:H13)</f>
        <v>-122690.29999999989</v>
      </c>
      <c r="E13" s="150">
        <f>+E15+E26+E49+E53+E57+E61+E65+E69+E73+E79+E83</f>
        <v>298769.60000000003</v>
      </c>
      <c r="F13" s="150">
        <f>+F15+F26+F49+F53+F57+F61+F65+F69+F73+F79+F83</f>
        <v>-317858.29999999993</v>
      </c>
      <c r="G13" s="150">
        <f>+G15+G26+G49+G53+G57+G61+G65+G69+G73+G79+G83</f>
        <v>-16383.2</v>
      </c>
      <c r="H13" s="150">
        <f>+H15+H26+H49+H53+H57+H61+H65+H69+H73+H79+H83</f>
        <v>-87218.4</v>
      </c>
    </row>
    <row r="14" spans="1:10">
      <c r="A14" s="132"/>
      <c r="B14" s="132"/>
      <c r="C14" s="132" t="s">
        <v>133</v>
      </c>
      <c r="D14" s="151"/>
      <c r="E14" s="151"/>
      <c r="F14" s="151"/>
      <c r="G14" s="151"/>
      <c r="H14" s="151"/>
    </row>
    <row r="15" spans="1:10" s="35" customFormat="1" ht="71.650000000000006" customHeight="1">
      <c r="A15" s="146">
        <v>1045</v>
      </c>
      <c r="B15" s="146">
        <v>32001</v>
      </c>
      <c r="C15" s="168" t="s">
        <v>149</v>
      </c>
      <c r="D15" s="247">
        <f>SUM(E15:H15)</f>
        <v>-125464.19999999997</v>
      </c>
      <c r="E15" s="247">
        <f>+E17+E21+E23</f>
        <v>0</v>
      </c>
      <c r="F15" s="247">
        <f t="shared" ref="F15:H15" si="0">+F17+F21+F23</f>
        <v>-103100.19999999997</v>
      </c>
      <c r="G15" s="247">
        <f t="shared" si="0"/>
        <v>-22364</v>
      </c>
      <c r="H15" s="247">
        <f t="shared" si="0"/>
        <v>0</v>
      </c>
      <c r="I15" s="294"/>
      <c r="J15" s="294"/>
    </row>
    <row r="16" spans="1:10" s="3" customFormat="1">
      <c r="A16" s="292"/>
      <c r="B16" s="292"/>
      <c r="C16" s="293" t="s">
        <v>12</v>
      </c>
      <c r="D16" s="106"/>
      <c r="E16" s="250"/>
      <c r="F16" s="250"/>
      <c r="G16" s="250"/>
      <c r="H16" s="250"/>
      <c r="I16" s="294"/>
      <c r="J16" s="294"/>
    </row>
    <row r="17" spans="1:10" s="245" customFormat="1" ht="16.899999999999999" customHeight="1">
      <c r="A17" s="106"/>
      <c r="B17" s="106"/>
      <c r="C17" s="295" t="s">
        <v>123</v>
      </c>
      <c r="D17" s="244">
        <f>SUM(E17:H17)</f>
        <v>-214917.59999999998</v>
      </c>
      <c r="E17" s="244">
        <f>+E18+E19+E20</f>
        <v>0</v>
      </c>
      <c r="F17" s="244">
        <f t="shared" ref="F17:H17" si="1">+F18+F19+F20</f>
        <v>-194894.69999999998</v>
      </c>
      <c r="G17" s="244">
        <f t="shared" si="1"/>
        <v>-20022.900000000001</v>
      </c>
      <c r="H17" s="244">
        <f t="shared" si="1"/>
        <v>0</v>
      </c>
      <c r="I17" s="380"/>
      <c r="J17" s="380"/>
    </row>
    <row r="18" spans="1:10" s="242" customFormat="1" ht="34.5">
      <c r="A18" s="435"/>
      <c r="B18" s="435"/>
      <c r="C18" s="127" t="s">
        <v>277</v>
      </c>
      <c r="D18" s="241">
        <f t="shared" ref="D18" si="2">+E18+F18+G18+H18</f>
        <v>-194894.69999999998</v>
      </c>
      <c r="E18" s="241"/>
      <c r="F18" s="241">
        <f>+'Հավելված N 10'!I93+'Հավելված N 10'!I97+'Հավելված N 10'!I101</f>
        <v>-194894.69999999998</v>
      </c>
      <c r="G18" s="241"/>
      <c r="H18" s="241"/>
      <c r="I18" s="381"/>
      <c r="J18" s="381"/>
    </row>
    <row r="19" spans="1:10" s="242" customFormat="1" ht="32.450000000000003" customHeight="1">
      <c r="A19" s="439"/>
      <c r="B19" s="439"/>
      <c r="C19" s="127" t="s">
        <v>414</v>
      </c>
      <c r="D19" s="241">
        <f t="shared" ref="D19" si="3">+E19+F19+G19+H19</f>
        <v>-7298.9</v>
      </c>
      <c r="E19" s="241"/>
      <c r="F19" s="241"/>
      <c r="G19" s="241">
        <f>+'Հավելված N 10'!I104+'Հավելված N 10'!I107</f>
        <v>-7298.9</v>
      </c>
      <c r="H19" s="241"/>
      <c r="I19" s="381"/>
      <c r="J19" s="381"/>
    </row>
    <row r="20" spans="1:10" s="242" customFormat="1" ht="34.5">
      <c r="A20" s="436"/>
      <c r="B20" s="436"/>
      <c r="C20" s="127" t="s">
        <v>273</v>
      </c>
      <c r="D20" s="241">
        <f t="shared" ref="D20" si="4">+E20+F20+G20+H20</f>
        <v>-12724</v>
      </c>
      <c r="E20" s="241"/>
      <c r="F20" s="241"/>
      <c r="G20" s="241">
        <f>+'Հավելված N 10'!I105+'Հավելված N 10'!I108</f>
        <v>-12724</v>
      </c>
      <c r="H20" s="241"/>
      <c r="I20" s="381"/>
      <c r="J20" s="381"/>
    </row>
    <row r="21" spans="1:10" s="245" customFormat="1" ht="16.899999999999999" customHeight="1">
      <c r="A21" s="106"/>
      <c r="B21" s="106"/>
      <c r="C21" s="295" t="s">
        <v>59</v>
      </c>
      <c r="D21" s="244">
        <f>SUM(E21:H21)</f>
        <v>104891.20000000001</v>
      </c>
      <c r="E21" s="244">
        <f>+E22</f>
        <v>0</v>
      </c>
      <c r="F21" s="244">
        <f t="shared" ref="F21" si="5">+F22</f>
        <v>104891.20000000001</v>
      </c>
      <c r="G21" s="244">
        <f t="shared" ref="G21" si="6">+G22</f>
        <v>0</v>
      </c>
      <c r="H21" s="244">
        <f t="shared" ref="H21" si="7">+H22</f>
        <v>0</v>
      </c>
      <c r="I21" s="380"/>
      <c r="J21" s="380"/>
    </row>
    <row r="22" spans="1:10" s="242" customFormat="1" ht="51.75">
      <c r="A22" s="106"/>
      <c r="B22" s="106"/>
      <c r="C22" s="127" t="s">
        <v>268</v>
      </c>
      <c r="D22" s="241">
        <f t="shared" ref="D22" si="8">+E22+F22+G22+H22</f>
        <v>104891.20000000001</v>
      </c>
      <c r="E22" s="241"/>
      <c r="F22" s="241">
        <f>+'Հավելված N 10'!I94+'Հավելված N 10'!I98+'Հավելված N 10'!I100+'Հավելված N 10'!I102</f>
        <v>104891.20000000001</v>
      </c>
      <c r="G22" s="241"/>
      <c r="H22" s="241"/>
      <c r="I22" s="381"/>
      <c r="J22" s="381"/>
    </row>
    <row r="23" spans="1:10" s="245" customFormat="1" ht="16.899999999999999" customHeight="1">
      <c r="A23" s="106"/>
      <c r="B23" s="106"/>
      <c r="C23" s="295" t="s">
        <v>264</v>
      </c>
      <c r="D23" s="244">
        <f>SUM(E23:H23)</f>
        <v>-15437.800000000001</v>
      </c>
      <c r="E23" s="244">
        <f>+E24+E25</f>
        <v>0</v>
      </c>
      <c r="F23" s="244">
        <f t="shared" ref="F23:H23" si="9">+F24+F25</f>
        <v>-13096.7</v>
      </c>
      <c r="G23" s="244">
        <f t="shared" si="9"/>
        <v>-2341.1</v>
      </c>
      <c r="H23" s="244">
        <f t="shared" si="9"/>
        <v>0</v>
      </c>
      <c r="I23" s="380"/>
      <c r="J23" s="380"/>
    </row>
    <row r="24" spans="1:10" s="242" customFormat="1">
      <c r="A24" s="435"/>
      <c r="B24" s="435"/>
      <c r="C24" s="127" t="s">
        <v>286</v>
      </c>
      <c r="D24" s="241">
        <f t="shared" ref="D24" si="10">+E24+F24+G24+H24</f>
        <v>-13096.7</v>
      </c>
      <c r="E24" s="241"/>
      <c r="F24" s="241">
        <f>+'Հավելված N 10'!I95+'Հավելված N 10'!I99+'Հավելված N 10'!I103</f>
        <v>-13096.7</v>
      </c>
      <c r="G24" s="241"/>
      <c r="H24" s="241"/>
      <c r="I24" s="381"/>
      <c r="J24" s="381"/>
    </row>
    <row r="25" spans="1:10" s="242" customFormat="1">
      <c r="A25" s="436"/>
      <c r="B25" s="436"/>
      <c r="C25" s="127" t="s">
        <v>283</v>
      </c>
      <c r="D25" s="241">
        <f t="shared" ref="D25" si="11">+E25+F25+G25+H25</f>
        <v>-2341.1</v>
      </c>
      <c r="E25" s="241"/>
      <c r="F25" s="241"/>
      <c r="G25" s="241">
        <f>+'Հավելված N 10'!I106+'Հավելված N 10'!I109</f>
        <v>-2341.1</v>
      </c>
      <c r="H25" s="241"/>
      <c r="I25" s="381"/>
      <c r="J25" s="381"/>
    </row>
    <row r="26" spans="1:10" s="35" customFormat="1" ht="34.5">
      <c r="A26" s="146">
        <v>1075</v>
      </c>
      <c r="B26" s="119">
        <v>21001</v>
      </c>
      <c r="C26" s="229" t="s">
        <v>137</v>
      </c>
      <c r="D26" s="247">
        <f>SUM(E26:H26)</f>
        <v>-132019.19999999998</v>
      </c>
      <c r="E26" s="247">
        <f>+E28+E45</f>
        <v>0</v>
      </c>
      <c r="F26" s="247">
        <f t="shared" ref="F26:G26" si="12">+F28+F45</f>
        <v>-133899.19999999998</v>
      </c>
      <c r="G26" s="247">
        <f t="shared" si="12"/>
        <v>1880</v>
      </c>
      <c r="H26" s="247">
        <f>+H28+H45</f>
        <v>0</v>
      </c>
      <c r="I26" s="294"/>
      <c r="J26" s="294"/>
    </row>
    <row r="27" spans="1:10" s="3" customFormat="1">
      <c r="A27" s="248"/>
      <c r="B27" s="248"/>
      <c r="C27" s="249" t="s">
        <v>12</v>
      </c>
      <c r="D27" s="106"/>
      <c r="E27" s="250"/>
      <c r="F27" s="251"/>
      <c r="G27" s="106"/>
      <c r="H27" s="106"/>
      <c r="I27" s="294"/>
      <c r="J27" s="294"/>
    </row>
    <row r="28" spans="1:10" s="245" customFormat="1">
      <c r="A28" s="243"/>
      <c r="B28" s="243"/>
      <c r="C28" s="133" t="s">
        <v>146</v>
      </c>
      <c r="D28" s="252">
        <f>SUM(E28:H28)</f>
        <v>-133899.19999999998</v>
      </c>
      <c r="E28" s="252">
        <f>+E30+E32+E36+E38+E40</f>
        <v>0</v>
      </c>
      <c r="F28" s="252">
        <f t="shared" ref="F28:H28" si="13">+F30+F32+F36+F38+F40</f>
        <v>-133899.19999999998</v>
      </c>
      <c r="G28" s="252">
        <f t="shared" si="13"/>
        <v>0</v>
      </c>
      <c r="H28" s="252">
        <f t="shared" si="13"/>
        <v>0</v>
      </c>
      <c r="I28" s="380"/>
      <c r="J28" s="380"/>
    </row>
    <row r="29" spans="1:10" s="3" customFormat="1">
      <c r="A29" s="248"/>
      <c r="B29" s="248"/>
      <c r="C29" s="132" t="s">
        <v>139</v>
      </c>
      <c r="D29" s="251"/>
      <c r="E29" s="250"/>
      <c r="F29" s="251"/>
      <c r="G29" s="106"/>
      <c r="H29" s="106"/>
      <c r="I29" s="294"/>
      <c r="J29" s="294"/>
    </row>
    <row r="30" spans="1:10" s="245" customFormat="1" ht="16.899999999999999" customHeight="1">
      <c r="A30" s="243"/>
      <c r="B30" s="243"/>
      <c r="C30" s="153" t="s">
        <v>123</v>
      </c>
      <c r="D30" s="244">
        <f>SUM(E30:H30)</f>
        <v>37296.800000000003</v>
      </c>
      <c r="E30" s="244">
        <f>+E31</f>
        <v>0</v>
      </c>
      <c r="F30" s="244">
        <f t="shared" ref="F30:H30" si="14">+F31</f>
        <v>37296.800000000003</v>
      </c>
      <c r="G30" s="244">
        <f t="shared" si="14"/>
        <v>0</v>
      </c>
      <c r="H30" s="244">
        <f t="shared" si="14"/>
        <v>0</v>
      </c>
      <c r="I30" s="380"/>
      <c r="J30" s="380"/>
    </row>
    <row r="31" spans="1:10" s="242" customFormat="1" ht="34.5">
      <c r="A31" s="246"/>
      <c r="B31" s="246"/>
      <c r="C31" s="240" t="s">
        <v>293</v>
      </c>
      <c r="D31" s="241">
        <f t="shared" ref="D31" si="15">+E31+F31+G31+H31</f>
        <v>37296.800000000003</v>
      </c>
      <c r="E31" s="241"/>
      <c r="F31" s="241">
        <f>+'Հավելված N 10'!I46+'Հավելված N 10'!I61+'Հավելված N 10'!I70</f>
        <v>37296.800000000003</v>
      </c>
      <c r="G31" s="241"/>
      <c r="H31" s="241"/>
      <c r="I31" s="381"/>
      <c r="J31" s="381"/>
    </row>
    <row r="32" spans="1:10" s="245" customFormat="1" ht="16.899999999999999" customHeight="1">
      <c r="A32" s="243"/>
      <c r="B32" s="243"/>
      <c r="C32" s="153" t="s">
        <v>70</v>
      </c>
      <c r="D32" s="244">
        <f>SUM(E32:H32)</f>
        <v>-17732.000000000004</v>
      </c>
      <c r="E32" s="244">
        <f>+E33+E34+E35</f>
        <v>0</v>
      </c>
      <c r="F32" s="244">
        <f t="shared" ref="F32" si="16">+F33+F34+F35</f>
        <v>-17732.000000000004</v>
      </c>
      <c r="G32" s="244">
        <f t="shared" ref="G32" si="17">+G33+G34+G35</f>
        <v>0</v>
      </c>
      <c r="H32" s="244">
        <f t="shared" ref="H32" si="18">+H33+H34+H35</f>
        <v>0</v>
      </c>
      <c r="I32" s="380"/>
      <c r="J32" s="380"/>
    </row>
    <row r="33" spans="1:10" s="242" customFormat="1" ht="51.75">
      <c r="A33" s="435"/>
      <c r="B33" s="435"/>
      <c r="C33" s="240" t="s">
        <v>294</v>
      </c>
      <c r="D33" s="241">
        <f t="shared" ref="D33" si="19">+E33+F33+G33+H33</f>
        <v>-9340.4</v>
      </c>
      <c r="E33" s="241"/>
      <c r="F33" s="241">
        <f>+'Հավելված N 10'!I41+'Հավելված N 10'!I54+'Հավելված N 10'!I71</f>
        <v>-9340.4</v>
      </c>
      <c r="G33" s="241"/>
      <c r="H33" s="241"/>
      <c r="I33" s="381"/>
      <c r="J33" s="381"/>
    </row>
    <row r="34" spans="1:10" s="242" customFormat="1" ht="51.75">
      <c r="A34" s="439"/>
      <c r="B34" s="439"/>
      <c r="C34" s="240" t="s">
        <v>295</v>
      </c>
      <c r="D34" s="241">
        <f t="shared" ref="D34:D35" si="20">+E34+F34+G34+H34</f>
        <v>-40309.700000000004</v>
      </c>
      <c r="E34" s="241"/>
      <c r="F34" s="241">
        <f>+'Հավելված N 10'!I42+'Հավելված N 10'!I55+'Հավելված N 10'!I64+'Հավելված N 10'!I66+'Հավելված N 10'!I73</f>
        <v>-40309.700000000004</v>
      </c>
      <c r="G34" s="241"/>
      <c r="H34" s="241"/>
      <c r="I34" s="381"/>
      <c r="J34" s="381"/>
    </row>
    <row r="35" spans="1:10" s="242" customFormat="1" ht="86.25">
      <c r="A35" s="436"/>
      <c r="B35" s="436"/>
      <c r="C35" s="240" t="s">
        <v>296</v>
      </c>
      <c r="D35" s="241">
        <f t="shared" si="20"/>
        <v>31918.100000000002</v>
      </c>
      <c r="E35" s="241"/>
      <c r="F35" s="241">
        <f>+'Հավելված N 10'!I48+'Հավելված N 10'!I62+'Հավելված N 10'!I65</f>
        <v>31918.100000000002</v>
      </c>
      <c r="G35" s="241"/>
      <c r="H35" s="241"/>
      <c r="I35" s="381"/>
      <c r="J35" s="381"/>
    </row>
    <row r="36" spans="1:10" s="245" customFormat="1" ht="16.899999999999999" customHeight="1">
      <c r="A36" s="243"/>
      <c r="B36" s="243"/>
      <c r="C36" s="153" t="s">
        <v>250</v>
      </c>
      <c r="D36" s="244">
        <f>SUM(E36:H36)</f>
        <v>-17624.900000000001</v>
      </c>
      <c r="E36" s="244">
        <f>+E37</f>
        <v>0</v>
      </c>
      <c r="F36" s="244">
        <f t="shared" ref="F36" si="21">+F37</f>
        <v>-17624.900000000001</v>
      </c>
      <c r="G36" s="244">
        <f t="shared" ref="G36" si="22">+G37</f>
        <v>0</v>
      </c>
      <c r="H36" s="244">
        <f t="shared" ref="H36" si="23">+H37</f>
        <v>0</v>
      </c>
      <c r="I36" s="380"/>
      <c r="J36" s="380"/>
    </row>
    <row r="37" spans="1:10" s="242" customFormat="1" ht="34.5">
      <c r="A37" s="246"/>
      <c r="B37" s="246"/>
      <c r="C37" s="240" t="s">
        <v>297</v>
      </c>
      <c r="D37" s="241">
        <f t="shared" ref="D37" si="24">+E37+F37+G37+H37</f>
        <v>-17624.900000000001</v>
      </c>
      <c r="E37" s="241"/>
      <c r="F37" s="241">
        <f>+'Հավելված N 10'!I47+'Հավելված N 10'!I56+'Հավելված N 10'!I74</f>
        <v>-17624.900000000001</v>
      </c>
      <c r="G37" s="241"/>
      <c r="H37" s="241"/>
      <c r="I37" s="381"/>
      <c r="J37" s="381"/>
    </row>
    <row r="38" spans="1:10" s="245" customFormat="1" ht="16.899999999999999" customHeight="1">
      <c r="A38" s="243"/>
      <c r="B38" s="243"/>
      <c r="C38" s="153" t="s">
        <v>59</v>
      </c>
      <c r="D38" s="244">
        <f>SUM(E38:H38)</f>
        <v>-15615.699999999999</v>
      </c>
      <c r="E38" s="244">
        <f>+E39</f>
        <v>0</v>
      </c>
      <c r="F38" s="244">
        <f t="shared" ref="F38:H38" si="25">+F39</f>
        <v>-15615.699999999999</v>
      </c>
      <c r="G38" s="244">
        <f t="shared" si="25"/>
        <v>0</v>
      </c>
      <c r="H38" s="244">
        <f t="shared" si="25"/>
        <v>0</v>
      </c>
      <c r="I38" s="380"/>
      <c r="J38" s="380"/>
    </row>
    <row r="39" spans="1:10" s="242" customFormat="1" ht="34.5">
      <c r="A39" s="246"/>
      <c r="B39" s="246"/>
      <c r="C39" s="240" t="s">
        <v>298</v>
      </c>
      <c r="D39" s="241">
        <f t="shared" ref="D39" si="26">+E39+F39+G39+H39</f>
        <v>-15615.699999999999</v>
      </c>
      <c r="E39" s="241"/>
      <c r="F39" s="241">
        <f>+'Հավելված N 10'!I43+'Հավելված N 10'!I57+'Հավելված N 10'!I67</f>
        <v>-15615.699999999999</v>
      </c>
      <c r="G39" s="241"/>
      <c r="H39" s="241"/>
      <c r="I39" s="381"/>
      <c r="J39" s="381"/>
    </row>
    <row r="40" spans="1:10" s="245" customFormat="1" ht="16.899999999999999" customHeight="1">
      <c r="A40" s="243"/>
      <c r="B40" s="243"/>
      <c r="C40" s="153" t="s">
        <v>299</v>
      </c>
      <c r="D40" s="244">
        <f>SUM(E40:H40)</f>
        <v>-120223.4</v>
      </c>
      <c r="E40" s="244">
        <f>+E41+E42+E43+E44</f>
        <v>0</v>
      </c>
      <c r="F40" s="244">
        <f t="shared" ref="F40:H40" si="27">+F41+F42+F43+F44</f>
        <v>-120223.4</v>
      </c>
      <c r="G40" s="244">
        <f t="shared" si="27"/>
        <v>0</v>
      </c>
      <c r="H40" s="244">
        <f t="shared" si="27"/>
        <v>0</v>
      </c>
      <c r="I40" s="380"/>
      <c r="J40" s="380"/>
    </row>
    <row r="41" spans="1:10" s="242" customFormat="1" ht="51.75">
      <c r="A41" s="435"/>
      <c r="B41" s="435"/>
      <c r="C41" s="240" t="s">
        <v>300</v>
      </c>
      <c r="D41" s="241">
        <f t="shared" ref="D41" si="28">+E41+F41+G41+H41</f>
        <v>-34530.6</v>
      </c>
      <c r="E41" s="241"/>
      <c r="F41" s="241">
        <f>+'Հավելված N 10'!I44+'Հավելված N 10'!I51+'Հավելված N 10'!I60+'Հավելված N 10'!I68</f>
        <v>-34530.6</v>
      </c>
      <c r="G41" s="241"/>
      <c r="H41" s="241"/>
      <c r="I41" s="381"/>
      <c r="J41" s="381"/>
    </row>
    <row r="42" spans="1:10" s="242" customFormat="1" ht="69">
      <c r="A42" s="439"/>
      <c r="B42" s="439"/>
      <c r="C42" s="240" t="s">
        <v>301</v>
      </c>
      <c r="D42" s="241">
        <f t="shared" ref="D42" si="29">+E42+F42+G42+H42</f>
        <v>-43975.8</v>
      </c>
      <c r="E42" s="241"/>
      <c r="F42" s="241">
        <f>+'Հավելված N 10'!I45+'Հավելված N 10'!I52+'Հավելված N 10'!I58+'Հավելված N 10'!I59+'Հավելված N 10'!I69</f>
        <v>-43975.8</v>
      </c>
      <c r="G42" s="241"/>
      <c r="H42" s="241"/>
      <c r="I42" s="381"/>
      <c r="J42" s="381"/>
    </row>
    <row r="43" spans="1:10" s="242" customFormat="1" ht="51.75">
      <c r="A43" s="439"/>
      <c r="B43" s="439"/>
      <c r="C43" s="240" t="s">
        <v>302</v>
      </c>
      <c r="D43" s="241">
        <f t="shared" ref="D43:D44" si="30">+E43+F43+G43+H43</f>
        <v>2304.8000000000002</v>
      </c>
      <c r="E43" s="241"/>
      <c r="F43" s="241">
        <f>+'Հավելված N 10'!I49</f>
        <v>2304.8000000000002</v>
      </c>
      <c r="G43" s="241"/>
      <c r="H43" s="241"/>
      <c r="I43" s="381"/>
      <c r="J43" s="381"/>
    </row>
    <row r="44" spans="1:10" s="242" customFormat="1" ht="34.5">
      <c r="A44" s="436"/>
      <c r="B44" s="436"/>
      <c r="C44" s="240" t="s">
        <v>327</v>
      </c>
      <c r="D44" s="241">
        <f t="shared" si="30"/>
        <v>-44021.8</v>
      </c>
      <c r="E44" s="241"/>
      <c r="F44" s="241">
        <f>+'Հավելված N 10'!I50+'Հավելված N 10'!I63+'Հավելված N 10'!I72</f>
        <v>-44021.8</v>
      </c>
      <c r="G44" s="241"/>
      <c r="H44" s="241"/>
      <c r="I44" s="381"/>
      <c r="J44" s="381"/>
    </row>
    <row r="45" spans="1:10" s="245" customFormat="1" ht="69">
      <c r="A45" s="243"/>
      <c r="B45" s="243"/>
      <c r="C45" s="133" t="s">
        <v>138</v>
      </c>
      <c r="D45" s="252">
        <f>SUM(E45:H45)</f>
        <v>1880</v>
      </c>
      <c r="E45" s="252">
        <f>+E47</f>
        <v>0</v>
      </c>
      <c r="F45" s="252">
        <f t="shared" ref="F45:H45" si="31">+F47</f>
        <v>0</v>
      </c>
      <c r="G45" s="252">
        <f t="shared" si="31"/>
        <v>1880</v>
      </c>
      <c r="H45" s="252">
        <f t="shared" si="31"/>
        <v>0</v>
      </c>
      <c r="I45" s="380"/>
      <c r="J45" s="380"/>
    </row>
    <row r="46" spans="1:10" s="3" customFormat="1">
      <c r="A46" s="248"/>
      <c r="B46" s="248"/>
      <c r="C46" s="132" t="s">
        <v>139</v>
      </c>
      <c r="D46" s="251"/>
      <c r="E46" s="250"/>
      <c r="F46" s="251"/>
      <c r="G46" s="106"/>
      <c r="H46" s="106"/>
      <c r="I46" s="294"/>
      <c r="J46" s="294"/>
    </row>
    <row r="47" spans="1:10" s="245" customFormat="1" ht="16.899999999999999" customHeight="1">
      <c r="A47" s="243"/>
      <c r="B47" s="243"/>
      <c r="C47" s="153" t="s">
        <v>299</v>
      </c>
      <c r="D47" s="244">
        <f>SUM(E47:H47)</f>
        <v>1880</v>
      </c>
      <c r="E47" s="244">
        <f>+E48</f>
        <v>0</v>
      </c>
      <c r="F47" s="244">
        <f t="shared" ref="F47:H47" si="32">+F48</f>
        <v>0</v>
      </c>
      <c r="G47" s="244">
        <f t="shared" si="32"/>
        <v>1880</v>
      </c>
      <c r="H47" s="244">
        <f t="shared" si="32"/>
        <v>0</v>
      </c>
      <c r="I47" s="380"/>
      <c r="J47" s="380"/>
    </row>
    <row r="48" spans="1:10" s="242" customFormat="1" ht="69">
      <c r="A48" s="246"/>
      <c r="B48" s="246"/>
      <c r="C48" s="240" t="s">
        <v>501</v>
      </c>
      <c r="D48" s="241">
        <f t="shared" ref="D48" si="33">+E48+F48+G48+H48</f>
        <v>1880</v>
      </c>
      <c r="E48" s="241"/>
      <c r="F48" s="241"/>
      <c r="G48" s="241">
        <f>+'Հավելված N 10'!I75+'Հավելված N 10'!I76</f>
        <v>1880</v>
      </c>
      <c r="H48" s="241"/>
      <c r="I48" s="381"/>
      <c r="J48" s="381"/>
    </row>
    <row r="49" spans="1:10" s="35" customFormat="1" ht="34.5">
      <c r="A49" s="146">
        <v>1075</v>
      </c>
      <c r="B49" s="146">
        <v>32001</v>
      </c>
      <c r="C49" s="168" t="s">
        <v>156</v>
      </c>
      <c r="D49" s="247">
        <f>SUM(E49:H49)</f>
        <v>-205072.8</v>
      </c>
      <c r="E49" s="247">
        <f>+E51</f>
        <v>0</v>
      </c>
      <c r="F49" s="247">
        <f>+F51</f>
        <v>-205072.8</v>
      </c>
      <c r="G49" s="247">
        <f t="shared" ref="G49:H49" si="34">+G51</f>
        <v>0</v>
      </c>
      <c r="H49" s="247">
        <f t="shared" si="34"/>
        <v>0</v>
      </c>
      <c r="I49" s="294"/>
      <c r="J49" s="294"/>
    </row>
    <row r="50" spans="1:10" s="3" customFormat="1">
      <c r="A50" s="292"/>
      <c r="B50" s="292"/>
      <c r="C50" s="293" t="s">
        <v>12</v>
      </c>
      <c r="D50" s="106"/>
      <c r="E50" s="250"/>
      <c r="F50" s="250"/>
      <c r="G50" s="250"/>
      <c r="H50" s="250"/>
      <c r="I50" s="294"/>
      <c r="J50" s="294"/>
    </row>
    <row r="51" spans="1:10" s="245" customFormat="1" ht="16.899999999999999" customHeight="1">
      <c r="A51" s="243"/>
      <c r="B51" s="243"/>
      <c r="C51" s="295" t="s">
        <v>123</v>
      </c>
      <c r="D51" s="244">
        <f>SUM(E51:H51)</f>
        <v>-205072.8</v>
      </c>
      <c r="E51" s="244">
        <f>+E52</f>
        <v>0</v>
      </c>
      <c r="F51" s="244">
        <f t="shared" ref="F51:H51" si="35">+F52</f>
        <v>-205072.8</v>
      </c>
      <c r="G51" s="244">
        <f t="shared" si="35"/>
        <v>0</v>
      </c>
      <c r="H51" s="244">
        <f t="shared" si="35"/>
        <v>0</v>
      </c>
      <c r="I51" s="380"/>
      <c r="J51" s="380"/>
    </row>
    <row r="52" spans="1:10" s="242" customFormat="1">
      <c r="A52" s="246"/>
      <c r="B52" s="246"/>
      <c r="C52" s="127" t="s">
        <v>334</v>
      </c>
      <c r="D52" s="241">
        <f t="shared" ref="D52" si="36">+E52+F52+G52+H52</f>
        <v>-205072.8</v>
      </c>
      <c r="E52" s="241"/>
      <c r="F52" s="241">
        <f>+'Հավելված N 10'!I17+'Հավելված N 10'!I19+'Հավելված N 10'!I20</f>
        <v>-205072.8</v>
      </c>
      <c r="G52" s="241"/>
      <c r="H52" s="241"/>
      <c r="I52" s="381"/>
      <c r="J52" s="381"/>
    </row>
    <row r="53" spans="1:10" s="35" customFormat="1" ht="51.75">
      <c r="A53" s="146">
        <v>1148</v>
      </c>
      <c r="B53" s="146">
        <v>32005</v>
      </c>
      <c r="C53" s="168" t="s">
        <v>341</v>
      </c>
      <c r="D53" s="247">
        <f>SUM(E53:H53)</f>
        <v>4100.8</v>
      </c>
      <c r="E53" s="247">
        <f>+E55</f>
        <v>0</v>
      </c>
      <c r="F53" s="247">
        <f>+F55</f>
        <v>0</v>
      </c>
      <c r="G53" s="247">
        <f t="shared" ref="G53:H53" si="37">+G55</f>
        <v>4100.8</v>
      </c>
      <c r="H53" s="247">
        <f t="shared" si="37"/>
        <v>0</v>
      </c>
      <c r="I53" s="294"/>
      <c r="J53" s="294"/>
    </row>
    <row r="54" spans="1:10" s="3" customFormat="1">
      <c r="A54" s="292"/>
      <c r="B54" s="292"/>
      <c r="C54" s="293" t="s">
        <v>12</v>
      </c>
      <c r="D54" s="106"/>
      <c r="E54" s="250"/>
      <c r="F54" s="250"/>
      <c r="G54" s="250"/>
      <c r="H54" s="250"/>
      <c r="I54" s="294"/>
      <c r="J54" s="294"/>
    </row>
    <row r="55" spans="1:10" s="245" customFormat="1" ht="16.899999999999999" customHeight="1">
      <c r="A55" s="243"/>
      <c r="B55" s="243"/>
      <c r="C55" s="295" t="s">
        <v>123</v>
      </c>
      <c r="D55" s="244">
        <f>SUM(E55:H55)</f>
        <v>4100.8</v>
      </c>
      <c r="E55" s="244">
        <f>+E56</f>
        <v>0</v>
      </c>
      <c r="F55" s="244">
        <f t="shared" ref="F55:H55" si="38">+F56</f>
        <v>0</v>
      </c>
      <c r="G55" s="244">
        <f t="shared" si="38"/>
        <v>4100.8</v>
      </c>
      <c r="H55" s="244">
        <f t="shared" si="38"/>
        <v>0</v>
      </c>
      <c r="I55" s="380"/>
      <c r="J55" s="380"/>
    </row>
    <row r="56" spans="1:10" s="242" customFormat="1" ht="34.5">
      <c r="A56" s="249"/>
      <c r="B56" s="249"/>
      <c r="C56" s="127" t="s">
        <v>340</v>
      </c>
      <c r="D56" s="241">
        <f t="shared" ref="D56" si="39">+E56+F56+G56+H56</f>
        <v>4100.8</v>
      </c>
      <c r="E56" s="241"/>
      <c r="F56" s="241"/>
      <c r="G56" s="241">
        <f>+'Հավելված N 10'!I89</f>
        <v>4100.8</v>
      </c>
      <c r="H56" s="241"/>
      <c r="I56" s="381"/>
      <c r="J56" s="381"/>
    </row>
    <row r="57" spans="1:10" s="3" customFormat="1" ht="51.75">
      <c r="A57" s="146">
        <v>1168</v>
      </c>
      <c r="B57" s="146">
        <v>32001</v>
      </c>
      <c r="C57" s="168" t="s">
        <v>291</v>
      </c>
      <c r="D57" s="247">
        <f>+E57+F57+G57+H57</f>
        <v>-92743.599999999991</v>
      </c>
      <c r="E57" s="147">
        <f>+E59</f>
        <v>0</v>
      </c>
      <c r="F57" s="147">
        <f t="shared" ref="F57:H57" si="40">+F59</f>
        <v>-92743.599999999991</v>
      </c>
      <c r="G57" s="147">
        <f t="shared" si="40"/>
        <v>0</v>
      </c>
      <c r="H57" s="147">
        <f t="shared" si="40"/>
        <v>0</v>
      </c>
      <c r="I57" s="294"/>
      <c r="J57" s="294"/>
    </row>
    <row r="58" spans="1:10" s="3" customFormat="1">
      <c r="A58" s="146"/>
      <c r="B58" s="146"/>
      <c r="C58" s="293" t="s">
        <v>12</v>
      </c>
      <c r="D58" s="106"/>
      <c r="E58" s="106"/>
      <c r="F58" s="106"/>
      <c r="G58" s="106"/>
      <c r="H58" s="106"/>
      <c r="I58" s="294"/>
      <c r="J58" s="294"/>
    </row>
    <row r="59" spans="1:10" s="3" customFormat="1">
      <c r="A59" s="132"/>
      <c r="B59" s="132"/>
      <c r="C59" s="295" t="s">
        <v>123</v>
      </c>
      <c r="D59" s="296">
        <f>SUM(E59:H59)</f>
        <v>-92743.599999999991</v>
      </c>
      <c r="E59" s="296">
        <f>+E60</f>
        <v>0</v>
      </c>
      <c r="F59" s="296">
        <f t="shared" ref="F59:H59" si="41">+F60</f>
        <v>-92743.599999999991</v>
      </c>
      <c r="G59" s="296">
        <f t="shared" si="41"/>
        <v>0</v>
      </c>
      <c r="H59" s="296">
        <f t="shared" si="41"/>
        <v>0</v>
      </c>
      <c r="I59" s="294"/>
      <c r="J59" s="294"/>
    </row>
    <row r="60" spans="1:10" s="3" customFormat="1" ht="34.5">
      <c r="A60" s="132"/>
      <c r="B60" s="132"/>
      <c r="C60" s="127" t="s">
        <v>394</v>
      </c>
      <c r="D60" s="297">
        <f t="shared" ref="D60" si="42">+E60+F60+G60+H60</f>
        <v>-92743.599999999991</v>
      </c>
      <c r="E60" s="297"/>
      <c r="F60" s="297">
        <f>+'Հավելված N 10'!I24+'Հավելված N 10'!I26+'Հավելված N 10'!I27</f>
        <v>-92743.599999999991</v>
      </c>
      <c r="G60" s="297"/>
      <c r="H60" s="297"/>
      <c r="I60" s="294"/>
      <c r="J60" s="294"/>
    </row>
    <row r="61" spans="1:10" s="235" customFormat="1">
      <c r="A61" s="146">
        <v>1168</v>
      </c>
      <c r="B61" s="146">
        <v>32008</v>
      </c>
      <c r="C61" s="168" t="s">
        <v>411</v>
      </c>
      <c r="D61" s="247">
        <f>+E61+F61+G61+H61</f>
        <v>-45250</v>
      </c>
      <c r="E61" s="147">
        <f>+E63</f>
        <v>0</v>
      </c>
      <c r="F61" s="147">
        <f t="shared" ref="F61:G61" si="43">+F63</f>
        <v>0</v>
      </c>
      <c r="G61" s="147">
        <f t="shared" si="43"/>
        <v>0</v>
      </c>
      <c r="H61" s="147">
        <f>+H63</f>
        <v>-45250</v>
      </c>
      <c r="I61" s="382"/>
      <c r="J61" s="382"/>
    </row>
    <row r="62" spans="1:10" s="235" customFormat="1">
      <c r="A62" s="146"/>
      <c r="B62" s="146"/>
      <c r="C62" s="293" t="s">
        <v>412</v>
      </c>
      <c r="D62" s="106"/>
      <c r="E62" s="106"/>
      <c r="F62" s="106"/>
      <c r="G62" s="106"/>
      <c r="H62" s="106"/>
      <c r="I62" s="382"/>
      <c r="J62" s="382"/>
    </row>
    <row r="63" spans="1:10" s="235" customFormat="1">
      <c r="A63" s="132"/>
      <c r="B63" s="132"/>
      <c r="C63" s="295" t="s">
        <v>123</v>
      </c>
      <c r="D63" s="296">
        <f>SUM(E63:H63)</f>
        <v>-45250</v>
      </c>
      <c r="E63" s="296">
        <f>+E64</f>
        <v>0</v>
      </c>
      <c r="F63" s="296">
        <f t="shared" ref="F63:H63" si="44">+F64</f>
        <v>0</v>
      </c>
      <c r="G63" s="296">
        <f t="shared" si="44"/>
        <v>0</v>
      </c>
      <c r="H63" s="296">
        <f t="shared" si="44"/>
        <v>-45250</v>
      </c>
      <c r="I63" s="382"/>
      <c r="J63" s="382"/>
    </row>
    <row r="64" spans="1:10" s="3" customFormat="1" ht="34.5">
      <c r="A64" s="298"/>
      <c r="B64" s="298"/>
      <c r="C64" s="127" t="s">
        <v>413</v>
      </c>
      <c r="D64" s="297">
        <f t="shared" ref="D64" si="45">+E64+F64+G64+H64</f>
        <v>-45250</v>
      </c>
      <c r="E64" s="297"/>
      <c r="F64" s="297"/>
      <c r="G64" s="297"/>
      <c r="H64" s="297">
        <f>+'Հավելված N 10'!I29</f>
        <v>-45250</v>
      </c>
      <c r="I64" s="294"/>
      <c r="J64" s="294"/>
    </row>
    <row r="65" spans="1:10" s="3" customFormat="1" ht="51.75">
      <c r="A65" s="292">
        <v>1183</v>
      </c>
      <c r="B65" s="292">
        <v>32004</v>
      </c>
      <c r="C65" s="229" t="s">
        <v>266</v>
      </c>
      <c r="D65" s="247">
        <f>+E65+F65+G65+H65</f>
        <v>-16159.800000000001</v>
      </c>
      <c r="E65" s="147">
        <f>+E67</f>
        <v>0</v>
      </c>
      <c r="F65" s="147">
        <f t="shared" ref="F65:H65" si="46">+F67</f>
        <v>-16159.800000000001</v>
      </c>
      <c r="G65" s="147">
        <f t="shared" si="46"/>
        <v>0</v>
      </c>
      <c r="H65" s="147">
        <f t="shared" si="46"/>
        <v>0</v>
      </c>
      <c r="I65" s="294"/>
      <c r="J65" s="294"/>
    </row>
    <row r="66" spans="1:10" s="3" customFormat="1">
      <c r="A66" s="281"/>
      <c r="B66" s="281"/>
      <c r="C66" s="293" t="s">
        <v>12</v>
      </c>
      <c r="D66" s="106"/>
      <c r="E66" s="106"/>
      <c r="F66" s="106"/>
      <c r="G66" s="106"/>
      <c r="H66" s="106"/>
      <c r="I66" s="294"/>
      <c r="J66" s="294"/>
    </row>
    <row r="67" spans="1:10" s="3" customFormat="1">
      <c r="A67" s="248"/>
      <c r="B67" s="248"/>
      <c r="C67" s="295" t="s">
        <v>264</v>
      </c>
      <c r="D67" s="296">
        <f>SUM(E67:H67)</f>
        <v>-16159.800000000001</v>
      </c>
      <c r="E67" s="296">
        <f>+E68</f>
        <v>0</v>
      </c>
      <c r="F67" s="296">
        <f t="shared" ref="F67:H67" si="47">+F68</f>
        <v>-16159.800000000001</v>
      </c>
      <c r="G67" s="296">
        <f t="shared" si="47"/>
        <v>0</v>
      </c>
      <c r="H67" s="296">
        <f t="shared" si="47"/>
        <v>0</v>
      </c>
      <c r="I67" s="294"/>
      <c r="J67" s="294"/>
    </row>
    <row r="68" spans="1:10" s="3" customFormat="1">
      <c r="A68" s="299"/>
      <c r="B68" s="299"/>
      <c r="C68" s="240" t="s">
        <v>267</v>
      </c>
      <c r="D68" s="297">
        <f t="shared" ref="D68" si="48">+E68+F68+G68+H68</f>
        <v>-16159.800000000001</v>
      </c>
      <c r="E68" s="297"/>
      <c r="F68" s="297">
        <f>+'Հավելված N 10'!I112</f>
        <v>-16159.800000000001</v>
      </c>
      <c r="G68" s="297"/>
      <c r="H68" s="106"/>
      <c r="I68" s="294"/>
      <c r="J68" s="294"/>
    </row>
    <row r="69" spans="1:10" s="35" customFormat="1">
      <c r="A69" s="146">
        <v>1236</v>
      </c>
      <c r="B69" s="119">
        <v>32001</v>
      </c>
      <c r="C69" s="104" t="s">
        <v>362</v>
      </c>
      <c r="D69" s="147">
        <f>SUM(E69:H69)</f>
        <v>262242.7</v>
      </c>
      <c r="E69" s="309">
        <f>+E71</f>
        <v>262242.7</v>
      </c>
      <c r="F69" s="309">
        <f>+F71</f>
        <v>0</v>
      </c>
      <c r="G69" s="309">
        <f t="shared" ref="G69:H69" si="49">+G71</f>
        <v>0</v>
      </c>
      <c r="H69" s="309">
        <f t="shared" si="49"/>
        <v>0</v>
      </c>
      <c r="I69" s="294"/>
      <c r="J69" s="294"/>
    </row>
    <row r="70" spans="1:10" s="305" customFormat="1">
      <c r="A70" s="300"/>
      <c r="B70" s="300"/>
      <c r="C70" s="301" t="s">
        <v>12</v>
      </c>
      <c r="D70" s="302"/>
      <c r="E70" s="303"/>
      <c r="F70" s="304"/>
      <c r="G70" s="304"/>
      <c r="H70" s="304"/>
      <c r="I70" s="381"/>
      <c r="J70" s="381"/>
    </row>
    <row r="71" spans="1:10" s="286" customFormat="1">
      <c r="A71" s="304"/>
      <c r="B71" s="304"/>
      <c r="C71" s="306" t="s">
        <v>250</v>
      </c>
      <c r="D71" s="307">
        <f>SUM(E71:H71)</f>
        <v>262242.7</v>
      </c>
      <c r="E71" s="308">
        <f>+E72</f>
        <v>262242.7</v>
      </c>
      <c r="F71" s="308">
        <f t="shared" ref="F71:H71" si="50">+F72</f>
        <v>0</v>
      </c>
      <c r="G71" s="308">
        <f t="shared" si="50"/>
        <v>0</v>
      </c>
      <c r="H71" s="308">
        <f t="shared" si="50"/>
        <v>0</v>
      </c>
      <c r="I71" s="380"/>
      <c r="J71" s="380"/>
    </row>
    <row r="72" spans="1:10" s="287" customFormat="1" ht="34.5">
      <c r="A72" s="387"/>
      <c r="B72" s="387"/>
      <c r="C72" s="311" t="s">
        <v>507</v>
      </c>
      <c r="D72" s="312">
        <f t="shared" ref="D72" si="51">+E72+F72+G72+H72</f>
        <v>262242.7</v>
      </c>
      <c r="E72" s="313">
        <f>+'Հավելված N 10'!I119+'Հավելված N 10'!I121+'Հավելված N 10'!I122</f>
        <v>262242.7</v>
      </c>
      <c r="F72" s="313"/>
      <c r="G72" s="313"/>
      <c r="H72" s="314"/>
      <c r="I72" s="383"/>
      <c r="J72" s="383"/>
    </row>
    <row r="73" spans="1:10" s="35" customFormat="1" ht="34.5">
      <c r="A73" s="146">
        <v>1236</v>
      </c>
      <c r="B73" s="119">
        <v>32002</v>
      </c>
      <c r="C73" s="229" t="s">
        <v>416</v>
      </c>
      <c r="D73" s="147">
        <f>SUM(E73:H73)</f>
        <v>233117.30000000002</v>
      </c>
      <c r="E73" s="309">
        <f>+E75+E76</f>
        <v>0</v>
      </c>
      <c r="F73" s="309">
        <f t="shared" ref="F73:H73" si="52">+F75+F76</f>
        <v>233117.30000000002</v>
      </c>
      <c r="G73" s="309">
        <f t="shared" si="52"/>
        <v>0</v>
      </c>
      <c r="H73" s="309">
        <f t="shared" si="52"/>
        <v>0</v>
      </c>
      <c r="I73" s="294"/>
      <c r="J73" s="294"/>
    </row>
    <row r="74" spans="1:10" s="305" customFormat="1">
      <c r="A74" s="300"/>
      <c r="B74" s="300"/>
      <c r="C74" s="301" t="s">
        <v>12</v>
      </c>
      <c r="D74" s="302"/>
      <c r="E74" s="303"/>
      <c r="F74" s="304"/>
      <c r="G74" s="304"/>
      <c r="H74" s="304"/>
      <c r="I74" s="381"/>
      <c r="J74" s="381"/>
    </row>
    <row r="75" spans="1:10" s="286" customFormat="1" ht="34.5">
      <c r="A75" s="304"/>
      <c r="B75" s="304"/>
      <c r="C75" s="306" t="s">
        <v>416</v>
      </c>
      <c r="D75" s="307">
        <f>SUM(E75:H75)</f>
        <v>274495.7</v>
      </c>
      <c r="E75" s="308">
        <f>+E76+E77</f>
        <v>0</v>
      </c>
      <c r="F75" s="308">
        <f>274495.7</f>
        <v>274495.7</v>
      </c>
      <c r="G75" s="308">
        <f t="shared" ref="F75:H76" si="53">+G76+G77</f>
        <v>0</v>
      </c>
      <c r="H75" s="308">
        <f t="shared" si="53"/>
        <v>0</v>
      </c>
      <c r="I75" s="380"/>
      <c r="J75" s="380"/>
    </row>
    <row r="76" spans="1:10" s="286" customFormat="1">
      <c r="A76" s="304"/>
      <c r="B76" s="304"/>
      <c r="C76" s="306" t="s">
        <v>123</v>
      </c>
      <c r="D76" s="307">
        <f>SUM(E76:H76)</f>
        <v>-41378.400000000001</v>
      </c>
      <c r="E76" s="308">
        <f>+E77+E78</f>
        <v>0</v>
      </c>
      <c r="F76" s="308">
        <f t="shared" si="53"/>
        <v>-41378.400000000001</v>
      </c>
      <c r="G76" s="308">
        <f t="shared" si="53"/>
        <v>0</v>
      </c>
      <c r="H76" s="308">
        <f t="shared" si="53"/>
        <v>0</v>
      </c>
      <c r="I76" s="380"/>
      <c r="J76" s="380"/>
    </row>
    <row r="77" spans="1:10" s="287" customFormat="1" ht="34.5">
      <c r="A77" s="440"/>
      <c r="B77" s="440"/>
      <c r="C77" s="311" t="s">
        <v>417</v>
      </c>
      <c r="D77" s="312">
        <f t="shared" ref="D77" si="54">+E77+F77+G77+H77</f>
        <v>14343</v>
      </c>
      <c r="E77" s="313"/>
      <c r="F77" s="313">
        <v>14343</v>
      </c>
      <c r="G77" s="313"/>
      <c r="H77" s="314"/>
      <c r="I77" s="383"/>
      <c r="J77" s="383"/>
    </row>
    <row r="78" spans="1:10" s="287" customFormat="1" ht="34.5">
      <c r="A78" s="441"/>
      <c r="B78" s="441"/>
      <c r="C78" s="311" t="s">
        <v>423</v>
      </c>
      <c r="D78" s="312">
        <f t="shared" ref="D78" si="55">+E78+F78+G78+H78</f>
        <v>-55721.4</v>
      </c>
      <c r="E78" s="313"/>
      <c r="F78" s="313">
        <v>-55721.4</v>
      </c>
      <c r="G78" s="313"/>
      <c r="H78" s="314"/>
      <c r="I78" s="383"/>
      <c r="J78" s="383"/>
    </row>
    <row r="79" spans="1:10" s="35" customFormat="1" ht="34.5">
      <c r="A79" s="146">
        <v>1236</v>
      </c>
      <c r="B79" s="119">
        <v>32003</v>
      </c>
      <c r="C79" s="104" t="s">
        <v>352</v>
      </c>
      <c r="D79" s="147">
        <f>SUM(E79:H79)</f>
        <v>36526.9</v>
      </c>
      <c r="E79" s="309">
        <f>+E81</f>
        <v>36526.9</v>
      </c>
      <c r="F79" s="309">
        <f t="shared" ref="F79:H79" si="56">+F81</f>
        <v>0</v>
      </c>
      <c r="G79" s="309">
        <f t="shared" si="56"/>
        <v>0</v>
      </c>
      <c r="H79" s="309">
        <f t="shared" si="56"/>
        <v>0</v>
      </c>
      <c r="I79" s="294"/>
      <c r="J79" s="294"/>
    </row>
    <row r="80" spans="1:10" s="305" customFormat="1">
      <c r="A80" s="300"/>
      <c r="B80" s="300"/>
      <c r="C80" s="301" t="s">
        <v>12</v>
      </c>
      <c r="D80" s="302"/>
      <c r="E80" s="303"/>
      <c r="F80" s="304"/>
      <c r="G80" s="304"/>
      <c r="H80" s="304"/>
      <c r="I80" s="381"/>
      <c r="J80" s="381"/>
    </row>
    <row r="81" spans="1:10" s="286" customFormat="1">
      <c r="A81" s="304"/>
      <c r="B81" s="304"/>
      <c r="C81" s="306" t="s">
        <v>70</v>
      </c>
      <c r="D81" s="307">
        <f>SUM(E81:H81)</f>
        <v>36526.9</v>
      </c>
      <c r="E81" s="308">
        <f>+E82</f>
        <v>36526.9</v>
      </c>
      <c r="F81" s="308">
        <f t="shared" ref="F81:H81" si="57">+F82</f>
        <v>0</v>
      </c>
      <c r="G81" s="308">
        <f t="shared" si="57"/>
        <v>0</v>
      </c>
      <c r="H81" s="308">
        <f t="shared" si="57"/>
        <v>0</v>
      </c>
      <c r="I81" s="380"/>
      <c r="J81" s="380"/>
    </row>
    <row r="82" spans="1:10" s="287" customFormat="1">
      <c r="A82" s="310"/>
      <c r="B82" s="310"/>
      <c r="C82" s="311" t="s">
        <v>502</v>
      </c>
      <c r="D82" s="312">
        <f t="shared" ref="D82" si="58">+E82+F82+G82+H82</f>
        <v>36526.9</v>
      </c>
      <c r="E82" s="313">
        <f>+'Հավելված N 10'!I127</f>
        <v>36526.9</v>
      </c>
      <c r="F82" s="313"/>
      <c r="G82" s="313"/>
      <c r="H82" s="314"/>
      <c r="I82" s="383"/>
      <c r="J82" s="383"/>
    </row>
    <row r="83" spans="1:10" s="3" customFormat="1" ht="51.75">
      <c r="A83" s="292">
        <v>1236</v>
      </c>
      <c r="B83" s="292">
        <v>32006</v>
      </c>
      <c r="C83" s="229" t="s">
        <v>105</v>
      </c>
      <c r="D83" s="247">
        <f>+E83+F83+G83+H83</f>
        <v>-41968.4</v>
      </c>
      <c r="E83" s="147">
        <f>+E85+E97+E100+E112+E117+E127+E130+E132</f>
        <v>0</v>
      </c>
      <c r="F83" s="147">
        <f t="shared" ref="F83:H83" si="59">+F85+F97+F100+F112+F117+F127+F130+F132</f>
        <v>0</v>
      </c>
      <c r="G83" s="147">
        <f t="shared" si="59"/>
        <v>0</v>
      </c>
      <c r="H83" s="147">
        <f t="shared" si="59"/>
        <v>-41968.4</v>
      </c>
      <c r="I83" s="294"/>
      <c r="J83" s="294"/>
    </row>
    <row r="84" spans="1:10" s="3" customFormat="1">
      <c r="A84" s="281"/>
      <c r="B84" s="281"/>
      <c r="C84" s="293" t="s">
        <v>12</v>
      </c>
      <c r="D84" s="106"/>
      <c r="E84" s="106"/>
      <c r="F84" s="106"/>
      <c r="G84" s="106"/>
      <c r="H84" s="106"/>
      <c r="I84" s="294"/>
      <c r="J84" s="294"/>
    </row>
    <row r="85" spans="1:10" s="3" customFormat="1">
      <c r="A85" s="180"/>
      <c r="B85" s="180"/>
      <c r="C85" s="295" t="s">
        <v>123</v>
      </c>
      <c r="D85" s="296">
        <f>SUM(E85:H85)</f>
        <v>60508.4</v>
      </c>
      <c r="E85" s="296">
        <f>+E86+E87+E88+E89+E90+E91+E92+E93+E94+E95+E96</f>
        <v>0</v>
      </c>
      <c r="F85" s="296">
        <f t="shared" ref="F85:G85" si="60">+F86+F87+F88+F89+F90+F91+F92+F93+F94+F95+F96</f>
        <v>0</v>
      </c>
      <c r="G85" s="296">
        <f t="shared" si="60"/>
        <v>0</v>
      </c>
      <c r="H85" s="296">
        <f>+H86+H87+H88+H89+H90+H91+H92+H93+H94+H95+H96</f>
        <v>60508.4</v>
      </c>
      <c r="I85" s="294"/>
      <c r="J85" s="294"/>
    </row>
    <row r="86" spans="1:10" s="3" customFormat="1">
      <c r="A86" s="456"/>
      <c r="B86" s="456"/>
      <c r="C86" s="127" t="s">
        <v>348</v>
      </c>
      <c r="D86" s="297">
        <f t="shared" ref="D86:D87" si="61">+E86+F86+G86+H86</f>
        <v>24944.5</v>
      </c>
      <c r="E86" s="297"/>
      <c r="F86" s="297"/>
      <c r="G86" s="297"/>
      <c r="H86" s="297">
        <v>24944.5</v>
      </c>
      <c r="I86" s="294"/>
      <c r="J86" s="294"/>
    </row>
    <row r="87" spans="1:10" s="3" customFormat="1" ht="34.5">
      <c r="A87" s="437"/>
      <c r="B87" s="437"/>
      <c r="C87" s="127" t="s">
        <v>349</v>
      </c>
      <c r="D87" s="297">
        <f t="shared" si="61"/>
        <v>3696.7</v>
      </c>
      <c r="E87" s="297"/>
      <c r="F87" s="297"/>
      <c r="G87" s="297"/>
      <c r="H87" s="297">
        <v>3696.7</v>
      </c>
      <c r="I87" s="294"/>
      <c r="J87" s="294"/>
    </row>
    <row r="88" spans="1:10" s="3" customFormat="1" ht="34.5">
      <c r="A88" s="437"/>
      <c r="B88" s="437"/>
      <c r="C88" s="127" t="s">
        <v>351</v>
      </c>
      <c r="D88" s="297">
        <f t="shared" ref="D88" si="62">+E88+F88+G88+H88</f>
        <v>25063.200000000001</v>
      </c>
      <c r="E88" s="297"/>
      <c r="F88" s="297"/>
      <c r="G88" s="297"/>
      <c r="H88" s="297">
        <v>25063.200000000001</v>
      </c>
      <c r="I88" s="294"/>
      <c r="J88" s="294"/>
    </row>
    <row r="89" spans="1:10" s="3" customFormat="1" ht="34.5">
      <c r="A89" s="437"/>
      <c r="B89" s="437"/>
      <c r="C89" s="127" t="s">
        <v>364</v>
      </c>
      <c r="D89" s="297">
        <f t="shared" ref="D89:D96" si="63">+E89+F89+G89+H89</f>
        <v>850.5</v>
      </c>
      <c r="E89" s="297"/>
      <c r="F89" s="297"/>
      <c r="G89" s="297"/>
      <c r="H89" s="297">
        <v>850.5</v>
      </c>
      <c r="I89" s="294"/>
      <c r="J89" s="294"/>
    </row>
    <row r="90" spans="1:10" s="3" customFormat="1" ht="34.5">
      <c r="A90" s="437"/>
      <c r="B90" s="437"/>
      <c r="C90" s="127" t="s">
        <v>365</v>
      </c>
      <c r="D90" s="297">
        <f t="shared" ref="D90:D92" si="64">+E90+F90+G90+H90</f>
        <v>850.5</v>
      </c>
      <c r="E90" s="297"/>
      <c r="F90" s="297"/>
      <c r="G90" s="297"/>
      <c r="H90" s="297">
        <v>850.5</v>
      </c>
      <c r="I90" s="294"/>
      <c r="J90" s="294"/>
    </row>
    <row r="91" spans="1:10" s="3" customFormat="1" ht="34.5">
      <c r="A91" s="437"/>
      <c r="B91" s="437"/>
      <c r="C91" s="127" t="s">
        <v>366</v>
      </c>
      <c r="D91" s="297">
        <f t="shared" si="64"/>
        <v>850.5</v>
      </c>
      <c r="E91" s="297"/>
      <c r="F91" s="297"/>
      <c r="G91" s="297"/>
      <c r="H91" s="297">
        <v>850.5</v>
      </c>
      <c r="I91" s="294"/>
      <c r="J91" s="294"/>
    </row>
    <row r="92" spans="1:10" s="3" customFormat="1" ht="34.5">
      <c r="A92" s="437"/>
      <c r="B92" s="437"/>
      <c r="C92" s="127" t="s">
        <v>367</v>
      </c>
      <c r="D92" s="297">
        <f t="shared" si="64"/>
        <v>850.5</v>
      </c>
      <c r="E92" s="297"/>
      <c r="F92" s="297"/>
      <c r="G92" s="297"/>
      <c r="H92" s="297">
        <v>850.5</v>
      </c>
      <c r="I92" s="294"/>
      <c r="J92" s="294"/>
    </row>
    <row r="93" spans="1:10" s="3" customFormat="1" ht="34.5">
      <c r="A93" s="437"/>
      <c r="B93" s="437"/>
      <c r="C93" s="127" t="s">
        <v>368</v>
      </c>
      <c r="D93" s="297">
        <f t="shared" si="63"/>
        <v>850.5</v>
      </c>
      <c r="E93" s="297"/>
      <c r="F93" s="297"/>
      <c r="G93" s="297"/>
      <c r="H93" s="297">
        <v>850.5</v>
      </c>
      <c r="I93" s="294"/>
      <c r="J93" s="294"/>
    </row>
    <row r="94" spans="1:10" s="3" customFormat="1" ht="51.75">
      <c r="A94" s="437"/>
      <c r="B94" s="437"/>
      <c r="C94" s="127" t="s">
        <v>369</v>
      </c>
      <c r="D94" s="297">
        <f t="shared" si="63"/>
        <v>850.5</v>
      </c>
      <c r="E94" s="297"/>
      <c r="F94" s="297"/>
      <c r="G94" s="297"/>
      <c r="H94" s="297">
        <v>850.5</v>
      </c>
      <c r="I94" s="294"/>
      <c r="J94" s="294"/>
    </row>
    <row r="95" spans="1:10" s="3" customFormat="1" ht="34.5">
      <c r="A95" s="437"/>
      <c r="B95" s="437"/>
      <c r="C95" s="127" t="s">
        <v>370</v>
      </c>
      <c r="D95" s="297">
        <f t="shared" si="63"/>
        <v>850.5</v>
      </c>
      <c r="E95" s="297"/>
      <c r="F95" s="297"/>
      <c r="G95" s="297"/>
      <c r="H95" s="297">
        <v>850.5</v>
      </c>
      <c r="I95" s="294"/>
      <c r="J95" s="294"/>
    </row>
    <row r="96" spans="1:10" s="3" customFormat="1" ht="34.5">
      <c r="A96" s="438"/>
      <c r="B96" s="438"/>
      <c r="C96" s="127" t="s">
        <v>371</v>
      </c>
      <c r="D96" s="297">
        <f t="shared" si="63"/>
        <v>850.5</v>
      </c>
      <c r="E96" s="297"/>
      <c r="F96" s="297"/>
      <c r="G96" s="297"/>
      <c r="H96" s="297">
        <v>850.5</v>
      </c>
      <c r="I96" s="294"/>
      <c r="J96" s="294"/>
    </row>
    <row r="97" spans="1:10" s="3" customFormat="1">
      <c r="A97" s="315"/>
      <c r="B97" s="315"/>
      <c r="C97" s="295" t="s">
        <v>124</v>
      </c>
      <c r="D97" s="296">
        <f>SUM(E97:H97)</f>
        <v>-11415.5</v>
      </c>
      <c r="E97" s="296">
        <f>+E98+E99</f>
        <v>0</v>
      </c>
      <c r="F97" s="296">
        <f t="shared" ref="F97:G97" si="65">+F98+F99</f>
        <v>0</v>
      </c>
      <c r="G97" s="296">
        <f t="shared" si="65"/>
        <v>0</v>
      </c>
      <c r="H97" s="296">
        <f>+H98+H99</f>
        <v>-11415.5</v>
      </c>
      <c r="I97" s="294"/>
      <c r="J97" s="294"/>
    </row>
    <row r="98" spans="1:10" s="3" customFormat="1" ht="34.5">
      <c r="A98" s="457"/>
      <c r="B98" s="457"/>
      <c r="C98" s="127" t="s">
        <v>257</v>
      </c>
      <c r="D98" s="297">
        <f t="shared" ref="D98:D99" si="66">+E98+F98+G98+H98</f>
        <v>-12266</v>
      </c>
      <c r="E98" s="297"/>
      <c r="F98" s="297"/>
      <c r="G98" s="297"/>
      <c r="H98" s="297">
        <v>-12266</v>
      </c>
      <c r="I98" s="294"/>
      <c r="J98" s="294"/>
    </row>
    <row r="99" spans="1:10" s="3" customFormat="1">
      <c r="A99" s="457"/>
      <c r="B99" s="457"/>
      <c r="C99" s="127" t="s">
        <v>372</v>
      </c>
      <c r="D99" s="297">
        <f t="shared" si="66"/>
        <v>850.5</v>
      </c>
      <c r="E99" s="297"/>
      <c r="F99" s="297"/>
      <c r="G99" s="297"/>
      <c r="H99" s="297">
        <v>850.5</v>
      </c>
      <c r="I99" s="294"/>
      <c r="J99" s="294"/>
    </row>
    <row r="100" spans="1:10" s="3" customFormat="1">
      <c r="A100" s="180"/>
      <c r="B100" s="180"/>
      <c r="C100" s="295" t="s">
        <v>250</v>
      </c>
      <c r="D100" s="296">
        <f>SUM(E100:H100)</f>
        <v>-3060.5</v>
      </c>
      <c r="E100" s="296">
        <f>+E101+E102+E103+E104+E105+E106+E107+E108+E109+E110+E111</f>
        <v>0</v>
      </c>
      <c r="F100" s="296">
        <f t="shared" ref="F100:G100" si="67">+F101+F102+F103+F104+F105+F106+F107+F108+F109+F110+F111</f>
        <v>0</v>
      </c>
      <c r="G100" s="296">
        <f t="shared" si="67"/>
        <v>0</v>
      </c>
      <c r="H100" s="296">
        <f>+H101+H102+H103+H104+H105+H106+H107+H108+H109+H110+H111</f>
        <v>-3060.5</v>
      </c>
      <c r="I100" s="294"/>
      <c r="J100" s="294"/>
    </row>
    <row r="101" spans="1:10" s="3" customFormat="1">
      <c r="A101" s="457"/>
      <c r="B101" s="457"/>
      <c r="C101" s="127" t="s">
        <v>258</v>
      </c>
      <c r="D101" s="297">
        <f t="shared" ref="D101" si="68">+E101+F101+G101+H101</f>
        <v>-16601.3</v>
      </c>
      <c r="E101" s="297"/>
      <c r="F101" s="297"/>
      <c r="G101" s="297"/>
      <c r="H101" s="297">
        <v>-16601.3</v>
      </c>
      <c r="I101" s="294"/>
      <c r="J101" s="294"/>
    </row>
    <row r="102" spans="1:10" s="3" customFormat="1" ht="34.5">
      <c r="A102" s="457"/>
      <c r="B102" s="457"/>
      <c r="C102" s="127" t="s">
        <v>350</v>
      </c>
      <c r="D102" s="297">
        <f t="shared" ref="D102:D111" si="69">+E102+F102+G102+H102</f>
        <v>5886.3</v>
      </c>
      <c r="E102" s="297"/>
      <c r="F102" s="297"/>
      <c r="G102" s="297"/>
      <c r="H102" s="297">
        <v>5886.3</v>
      </c>
      <c r="I102" s="294"/>
      <c r="J102" s="294"/>
    </row>
    <row r="103" spans="1:10" s="3" customFormat="1">
      <c r="A103" s="457"/>
      <c r="B103" s="457"/>
      <c r="C103" s="127" t="s">
        <v>373</v>
      </c>
      <c r="D103" s="297">
        <f t="shared" si="69"/>
        <v>850.5</v>
      </c>
      <c r="E103" s="297"/>
      <c r="F103" s="297"/>
      <c r="G103" s="297"/>
      <c r="H103" s="297">
        <v>850.5</v>
      </c>
      <c r="I103" s="294"/>
      <c r="J103" s="294"/>
    </row>
    <row r="104" spans="1:10" s="3" customFormat="1" ht="34.5">
      <c r="A104" s="457"/>
      <c r="B104" s="457"/>
      <c r="C104" s="127" t="s">
        <v>374</v>
      </c>
      <c r="D104" s="297">
        <f t="shared" si="69"/>
        <v>850.5</v>
      </c>
      <c r="E104" s="297"/>
      <c r="F104" s="297"/>
      <c r="G104" s="297"/>
      <c r="H104" s="297">
        <v>850.5</v>
      </c>
      <c r="I104" s="294"/>
      <c r="J104" s="294"/>
    </row>
    <row r="105" spans="1:10" s="3" customFormat="1" ht="34.5">
      <c r="A105" s="457"/>
      <c r="B105" s="457"/>
      <c r="C105" s="127" t="s">
        <v>375</v>
      </c>
      <c r="D105" s="297">
        <f t="shared" ref="D105:D107" si="70">+E105+F105+G105+H105</f>
        <v>850.5</v>
      </c>
      <c r="E105" s="297"/>
      <c r="F105" s="297"/>
      <c r="G105" s="297"/>
      <c r="H105" s="297">
        <v>850.5</v>
      </c>
      <c r="I105" s="294"/>
      <c r="J105" s="294"/>
    </row>
    <row r="106" spans="1:10" s="3" customFormat="1" ht="34.5">
      <c r="A106" s="457"/>
      <c r="B106" s="457"/>
      <c r="C106" s="127" t="s">
        <v>376</v>
      </c>
      <c r="D106" s="297">
        <f t="shared" si="70"/>
        <v>850.5</v>
      </c>
      <c r="E106" s="297"/>
      <c r="F106" s="297"/>
      <c r="G106" s="297"/>
      <c r="H106" s="297">
        <v>850.5</v>
      </c>
      <c r="I106" s="294"/>
      <c r="J106" s="294"/>
    </row>
    <row r="107" spans="1:10" s="3" customFormat="1">
      <c r="A107" s="457"/>
      <c r="B107" s="457"/>
      <c r="C107" s="127" t="s">
        <v>377</v>
      </c>
      <c r="D107" s="297">
        <f t="shared" si="70"/>
        <v>850.5</v>
      </c>
      <c r="E107" s="297"/>
      <c r="F107" s="297"/>
      <c r="G107" s="297"/>
      <c r="H107" s="297">
        <v>850.5</v>
      </c>
      <c r="I107" s="294"/>
      <c r="J107" s="294"/>
    </row>
    <row r="108" spans="1:10" s="3" customFormat="1">
      <c r="A108" s="457"/>
      <c r="B108" s="457"/>
      <c r="C108" s="127" t="s">
        <v>378</v>
      </c>
      <c r="D108" s="297">
        <f t="shared" si="69"/>
        <v>850.5</v>
      </c>
      <c r="E108" s="297"/>
      <c r="F108" s="297"/>
      <c r="G108" s="297"/>
      <c r="H108" s="297">
        <v>850.5</v>
      </c>
      <c r="I108" s="294"/>
      <c r="J108" s="294"/>
    </row>
    <row r="109" spans="1:10" s="3" customFormat="1" ht="34.5">
      <c r="A109" s="457"/>
      <c r="B109" s="457"/>
      <c r="C109" s="127" t="s">
        <v>379</v>
      </c>
      <c r="D109" s="297">
        <f t="shared" si="69"/>
        <v>850.5</v>
      </c>
      <c r="E109" s="297"/>
      <c r="F109" s="297"/>
      <c r="G109" s="297"/>
      <c r="H109" s="297">
        <v>850.5</v>
      </c>
      <c r="I109" s="294"/>
      <c r="J109" s="294"/>
    </row>
    <row r="110" spans="1:10" s="3" customFormat="1" ht="34.5">
      <c r="A110" s="457"/>
      <c r="B110" s="457"/>
      <c r="C110" s="127" t="s">
        <v>380</v>
      </c>
      <c r="D110" s="297">
        <f t="shared" si="69"/>
        <v>850.5</v>
      </c>
      <c r="E110" s="297"/>
      <c r="F110" s="297"/>
      <c r="G110" s="297"/>
      <c r="H110" s="297">
        <v>850.5</v>
      </c>
      <c r="I110" s="294"/>
      <c r="J110" s="294"/>
    </row>
    <row r="111" spans="1:10" s="3" customFormat="1" ht="34.5">
      <c r="A111" s="457"/>
      <c r="B111" s="457"/>
      <c r="C111" s="127" t="s">
        <v>381</v>
      </c>
      <c r="D111" s="297">
        <f t="shared" si="69"/>
        <v>850.5</v>
      </c>
      <c r="E111" s="297"/>
      <c r="F111" s="297"/>
      <c r="G111" s="297"/>
      <c r="H111" s="297">
        <v>850.5</v>
      </c>
      <c r="I111" s="294"/>
      <c r="J111" s="294"/>
    </row>
    <row r="112" spans="1:10" s="3" customFormat="1">
      <c r="A112" s="180"/>
      <c r="B112" s="180"/>
      <c r="C112" s="295" t="s">
        <v>251</v>
      </c>
      <c r="D112" s="296">
        <f>SUM(E112:H112)</f>
        <v>-8392.9</v>
      </c>
      <c r="E112" s="296">
        <f>+E113+E114+E115+E116</f>
        <v>0</v>
      </c>
      <c r="F112" s="296">
        <f t="shared" ref="F112:G112" si="71">+F113+F114+F115+F116</f>
        <v>0</v>
      </c>
      <c r="G112" s="296">
        <f t="shared" si="71"/>
        <v>0</v>
      </c>
      <c r="H112" s="296">
        <f>+H113+H114+H115+H116</f>
        <v>-8392.9</v>
      </c>
      <c r="I112" s="294"/>
      <c r="J112" s="294"/>
    </row>
    <row r="113" spans="1:10" s="3" customFormat="1">
      <c r="A113" s="456"/>
      <c r="B113" s="456"/>
      <c r="C113" s="127" t="s">
        <v>259</v>
      </c>
      <c r="D113" s="297">
        <f t="shared" ref="D113:D116" si="72">+E113+F113+G113+H113</f>
        <v>-10944.4</v>
      </c>
      <c r="E113" s="297"/>
      <c r="F113" s="297"/>
      <c r="G113" s="297"/>
      <c r="H113" s="297">
        <v>-10944.4</v>
      </c>
      <c r="I113" s="294"/>
      <c r="J113" s="294"/>
    </row>
    <row r="114" spans="1:10" s="3" customFormat="1">
      <c r="A114" s="437"/>
      <c r="B114" s="437"/>
      <c r="C114" s="127" t="s">
        <v>384</v>
      </c>
      <c r="D114" s="297">
        <f t="shared" si="72"/>
        <v>850.5</v>
      </c>
      <c r="E114" s="297"/>
      <c r="F114" s="297"/>
      <c r="G114" s="297"/>
      <c r="H114" s="297">
        <v>850.5</v>
      </c>
      <c r="I114" s="294"/>
      <c r="J114" s="294"/>
    </row>
    <row r="115" spans="1:10" s="3" customFormat="1">
      <c r="A115" s="437"/>
      <c r="B115" s="437"/>
      <c r="C115" s="127" t="s">
        <v>382</v>
      </c>
      <c r="D115" s="297">
        <f t="shared" si="72"/>
        <v>850.5</v>
      </c>
      <c r="E115" s="297"/>
      <c r="F115" s="297"/>
      <c r="G115" s="297"/>
      <c r="H115" s="297">
        <v>850.5</v>
      </c>
      <c r="I115" s="294"/>
      <c r="J115" s="294"/>
    </row>
    <row r="116" spans="1:10" s="3" customFormat="1" ht="34.5">
      <c r="A116" s="438"/>
      <c r="B116" s="438"/>
      <c r="C116" s="127" t="s">
        <v>383</v>
      </c>
      <c r="D116" s="297">
        <f t="shared" si="72"/>
        <v>850.5</v>
      </c>
      <c r="E116" s="297"/>
      <c r="F116" s="297"/>
      <c r="G116" s="297"/>
      <c r="H116" s="297">
        <v>850.5</v>
      </c>
      <c r="I116" s="294"/>
      <c r="J116" s="294"/>
    </row>
    <row r="117" spans="1:10" s="3" customFormat="1">
      <c r="A117" s="180"/>
      <c r="B117" s="180"/>
      <c r="C117" s="295" t="s">
        <v>59</v>
      </c>
      <c r="D117" s="296">
        <f>SUM(E117:H117)</f>
        <v>-20060.3</v>
      </c>
      <c r="E117" s="296">
        <f>+E118+E119+E120+E121+E122+E123+E124+E125+E126</f>
        <v>0</v>
      </c>
      <c r="F117" s="296">
        <f t="shared" ref="F117:G117" si="73">+F118+F119+F120+F121+F122+F123+F124+F125+F126</f>
        <v>0</v>
      </c>
      <c r="G117" s="296">
        <f t="shared" si="73"/>
        <v>0</v>
      </c>
      <c r="H117" s="296">
        <f>+H118+H119+H120+H121+H122+H123+H124+H125+H126</f>
        <v>-20060.3</v>
      </c>
      <c r="I117" s="294"/>
      <c r="J117" s="294"/>
    </row>
    <row r="118" spans="1:10" s="3" customFormat="1" ht="34.5">
      <c r="A118" s="456"/>
      <c r="B118" s="456"/>
      <c r="C118" s="127" t="s">
        <v>260</v>
      </c>
      <c r="D118" s="297">
        <f t="shared" ref="D118:D126" si="74">+E118+F118+G118+H118</f>
        <v>-13006.9</v>
      </c>
      <c r="E118" s="297"/>
      <c r="F118" s="297"/>
      <c r="G118" s="297"/>
      <c r="H118" s="297">
        <v>-13006.9</v>
      </c>
      <c r="I118" s="294"/>
      <c r="J118" s="294"/>
    </row>
    <row r="119" spans="1:10" s="3" customFormat="1" ht="16.149999999999999" customHeight="1">
      <c r="A119" s="437"/>
      <c r="B119" s="437"/>
      <c r="C119" s="127" t="s">
        <v>261</v>
      </c>
      <c r="D119" s="297">
        <f t="shared" si="74"/>
        <v>-13006.9</v>
      </c>
      <c r="E119" s="297"/>
      <c r="F119" s="297"/>
      <c r="G119" s="297"/>
      <c r="H119" s="297">
        <v>-13006.9</v>
      </c>
      <c r="I119" s="294"/>
      <c r="J119" s="294"/>
    </row>
    <row r="120" spans="1:10" s="3" customFormat="1" ht="34.5">
      <c r="A120" s="437"/>
      <c r="B120" s="437"/>
      <c r="C120" s="127" t="s">
        <v>385</v>
      </c>
      <c r="D120" s="297">
        <f t="shared" si="74"/>
        <v>850.5</v>
      </c>
      <c r="E120" s="297"/>
      <c r="F120" s="297"/>
      <c r="G120" s="297"/>
      <c r="H120" s="297">
        <v>850.5</v>
      </c>
      <c r="I120" s="294"/>
      <c r="J120" s="294"/>
    </row>
    <row r="121" spans="1:10" s="3" customFormat="1" ht="34.5">
      <c r="A121" s="437"/>
      <c r="B121" s="437"/>
      <c r="C121" s="127" t="s">
        <v>386</v>
      </c>
      <c r="D121" s="297">
        <f t="shared" si="74"/>
        <v>850.5</v>
      </c>
      <c r="E121" s="297"/>
      <c r="F121" s="297"/>
      <c r="G121" s="297"/>
      <c r="H121" s="297">
        <v>850.5</v>
      </c>
      <c r="I121" s="294"/>
      <c r="J121" s="294"/>
    </row>
    <row r="122" spans="1:10" s="3" customFormat="1" ht="34.5">
      <c r="A122" s="437"/>
      <c r="B122" s="437"/>
      <c r="C122" s="127" t="s">
        <v>387</v>
      </c>
      <c r="D122" s="297">
        <f t="shared" si="74"/>
        <v>850.5</v>
      </c>
      <c r="E122" s="297"/>
      <c r="F122" s="297"/>
      <c r="G122" s="297"/>
      <c r="H122" s="297">
        <v>850.5</v>
      </c>
      <c r="I122" s="294"/>
      <c r="J122" s="294"/>
    </row>
    <row r="123" spans="1:10" s="3" customFormat="1">
      <c r="A123" s="437"/>
      <c r="B123" s="437"/>
      <c r="C123" s="127" t="s">
        <v>388</v>
      </c>
      <c r="D123" s="297">
        <f t="shared" si="74"/>
        <v>850.5</v>
      </c>
      <c r="E123" s="297"/>
      <c r="F123" s="297"/>
      <c r="G123" s="297"/>
      <c r="H123" s="297">
        <v>850.5</v>
      </c>
      <c r="I123" s="294"/>
      <c r="J123" s="294"/>
    </row>
    <row r="124" spans="1:10" s="3" customFormat="1">
      <c r="A124" s="437"/>
      <c r="B124" s="437"/>
      <c r="C124" s="127" t="s">
        <v>389</v>
      </c>
      <c r="D124" s="297">
        <f t="shared" si="74"/>
        <v>850.5</v>
      </c>
      <c r="E124" s="297"/>
      <c r="F124" s="297"/>
      <c r="G124" s="297"/>
      <c r="H124" s="297">
        <v>850.5</v>
      </c>
      <c r="I124" s="294"/>
      <c r="J124" s="294"/>
    </row>
    <row r="125" spans="1:10" s="3" customFormat="1">
      <c r="A125" s="437"/>
      <c r="B125" s="437"/>
      <c r="C125" s="127" t="s">
        <v>390</v>
      </c>
      <c r="D125" s="297">
        <f t="shared" si="74"/>
        <v>850.5</v>
      </c>
      <c r="E125" s="297"/>
      <c r="F125" s="297"/>
      <c r="G125" s="297"/>
      <c r="H125" s="297">
        <v>850.5</v>
      </c>
      <c r="I125" s="294"/>
      <c r="J125" s="294"/>
    </row>
    <row r="126" spans="1:10" s="3" customFormat="1" ht="34.5">
      <c r="A126" s="438"/>
      <c r="B126" s="438"/>
      <c r="C126" s="127" t="s">
        <v>391</v>
      </c>
      <c r="D126" s="297">
        <f t="shared" si="74"/>
        <v>850.5</v>
      </c>
      <c r="E126" s="297"/>
      <c r="F126" s="297"/>
      <c r="G126" s="297"/>
      <c r="H126" s="297">
        <v>850.5</v>
      </c>
      <c r="I126" s="294"/>
      <c r="J126" s="294"/>
    </row>
    <row r="127" spans="1:10" s="3" customFormat="1">
      <c r="A127" s="180"/>
      <c r="B127" s="180"/>
      <c r="C127" s="295" t="s">
        <v>125</v>
      </c>
      <c r="D127" s="296">
        <f>SUM(E127:H127)</f>
        <v>-38601.300000000003</v>
      </c>
      <c r="E127" s="296">
        <f>+E128+E129</f>
        <v>0</v>
      </c>
      <c r="F127" s="296">
        <f t="shared" ref="F127" si="75">+F128+F129</f>
        <v>0</v>
      </c>
      <c r="G127" s="296">
        <f t="shared" ref="G127" si="76">+G128+G129</f>
        <v>0</v>
      </c>
      <c r="H127" s="296">
        <f>+H128+H129</f>
        <v>-38601.300000000003</v>
      </c>
      <c r="I127" s="294"/>
      <c r="J127" s="294"/>
    </row>
    <row r="128" spans="1:10" s="3" customFormat="1">
      <c r="A128" s="437"/>
      <c r="B128" s="437"/>
      <c r="C128" s="127" t="s">
        <v>262</v>
      </c>
      <c r="D128" s="297">
        <f t="shared" ref="D128:D129" si="77">+E128+F128+G128+H128</f>
        <v>-13482.9</v>
      </c>
      <c r="E128" s="297"/>
      <c r="F128" s="297"/>
      <c r="G128" s="297"/>
      <c r="H128" s="297">
        <v>-13482.9</v>
      </c>
      <c r="I128" s="294"/>
      <c r="J128" s="294"/>
    </row>
    <row r="129" spans="1:10" s="3" customFormat="1">
      <c r="A129" s="438"/>
      <c r="B129" s="438"/>
      <c r="C129" s="127" t="s">
        <v>263</v>
      </c>
      <c r="D129" s="297">
        <f t="shared" si="77"/>
        <v>-25118.400000000001</v>
      </c>
      <c r="E129" s="297"/>
      <c r="F129" s="297"/>
      <c r="G129" s="297"/>
      <c r="H129" s="297">
        <v>-25118.400000000001</v>
      </c>
      <c r="I129" s="294"/>
      <c r="J129" s="294"/>
    </row>
    <row r="130" spans="1:10" s="3" customFormat="1">
      <c r="A130" s="180"/>
      <c r="B130" s="180"/>
      <c r="C130" s="295" t="s">
        <v>264</v>
      </c>
      <c r="D130" s="296">
        <f>SUM(E130:H130)</f>
        <v>-21796.799999999999</v>
      </c>
      <c r="E130" s="296">
        <f>+E131</f>
        <v>0</v>
      </c>
      <c r="F130" s="296">
        <f t="shared" ref="F130:F132" si="78">+F131</f>
        <v>0</v>
      </c>
      <c r="G130" s="296">
        <f t="shared" ref="G130" si="79">+G131</f>
        <v>0</v>
      </c>
      <c r="H130" s="296">
        <f t="shared" ref="H130" si="80">+H131</f>
        <v>-21796.799999999999</v>
      </c>
      <c r="I130" s="294"/>
      <c r="J130" s="294"/>
    </row>
    <row r="131" spans="1:10" s="3" customFormat="1">
      <c r="A131" s="180"/>
      <c r="B131" s="180"/>
      <c r="C131" s="127" t="s">
        <v>265</v>
      </c>
      <c r="D131" s="297">
        <f t="shared" ref="D131" si="81">+E131+F131+G131+H131</f>
        <v>-21796.799999999999</v>
      </c>
      <c r="E131" s="297"/>
      <c r="F131" s="297"/>
      <c r="G131" s="297"/>
      <c r="H131" s="297">
        <v>-21796.799999999999</v>
      </c>
      <c r="I131" s="294"/>
      <c r="J131" s="294"/>
    </row>
    <row r="132" spans="1:10" s="3" customFormat="1">
      <c r="A132" s="180"/>
      <c r="B132" s="180"/>
      <c r="C132" s="295" t="s">
        <v>126</v>
      </c>
      <c r="D132" s="296">
        <f>SUM(E132:H132)</f>
        <v>850.5</v>
      </c>
      <c r="E132" s="296">
        <f>+E133</f>
        <v>0</v>
      </c>
      <c r="F132" s="296">
        <f t="shared" si="78"/>
        <v>0</v>
      </c>
      <c r="G132" s="296">
        <f>+G133</f>
        <v>0</v>
      </c>
      <c r="H132" s="296">
        <f>+H133</f>
        <v>850.5</v>
      </c>
      <c r="I132" s="294"/>
      <c r="J132" s="294"/>
    </row>
    <row r="133" spans="1:10" s="3" customFormat="1">
      <c r="A133" s="180"/>
      <c r="B133" s="180"/>
      <c r="C133" s="127" t="s">
        <v>392</v>
      </c>
      <c r="D133" s="297">
        <f t="shared" ref="D133" si="82">+E133+F133+G133+H133</f>
        <v>850.5</v>
      </c>
      <c r="E133" s="297"/>
      <c r="F133" s="297"/>
      <c r="G133" s="297"/>
      <c r="H133" s="297">
        <v>850.5</v>
      </c>
      <c r="I133" s="294"/>
      <c r="J133" s="294"/>
    </row>
  </sheetData>
  <mergeCells count="31">
    <mergeCell ref="B98:B99"/>
    <mergeCell ref="A98:A99"/>
    <mergeCell ref="A101:A111"/>
    <mergeCell ref="B101:B111"/>
    <mergeCell ref="A18:A20"/>
    <mergeCell ref="B18:B20"/>
    <mergeCell ref="E9:H9"/>
    <mergeCell ref="F1:H1"/>
    <mergeCell ref="F2:H2"/>
    <mergeCell ref="F3:H3"/>
    <mergeCell ref="A5:H6"/>
    <mergeCell ref="G8:H8"/>
    <mergeCell ref="A9:B9"/>
    <mergeCell ref="C9:C10"/>
    <mergeCell ref="D9:D10"/>
    <mergeCell ref="A24:A25"/>
    <mergeCell ref="B24:B25"/>
    <mergeCell ref="A128:A129"/>
    <mergeCell ref="B128:B129"/>
    <mergeCell ref="B33:B35"/>
    <mergeCell ref="A33:A35"/>
    <mergeCell ref="A41:A44"/>
    <mergeCell ref="B41:B44"/>
    <mergeCell ref="B77:B78"/>
    <mergeCell ref="A77:A78"/>
    <mergeCell ref="A86:A96"/>
    <mergeCell ref="B86:B96"/>
    <mergeCell ref="B113:B116"/>
    <mergeCell ref="A113:A116"/>
    <mergeCell ref="B118:B126"/>
    <mergeCell ref="A118:A126"/>
  </mergeCells>
  <pageMargins left="0.25" right="0.25" top="0.75" bottom="0.75" header="0.3" footer="0.3"/>
  <pageSetup paperSize="9" scale="4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152"/>
  <sheetViews>
    <sheetView topLeftCell="A78" zoomScale="85" zoomScaleNormal="85" workbookViewId="0">
      <selection activeCell="F11" sqref="F11:F12"/>
    </sheetView>
  </sheetViews>
  <sheetFormatPr defaultColWidth="9.140625" defaultRowHeight="17.25"/>
  <cols>
    <col min="1" max="3" width="9.140625" style="42"/>
    <col min="4" max="4" width="54.28515625" style="42" customWidth="1"/>
    <col min="5" max="5" width="33" style="42" customWidth="1"/>
    <col min="6" max="6" width="33.7109375" style="42" customWidth="1"/>
    <col min="7" max="7" width="18" style="42" customWidth="1"/>
    <col min="8" max="8" width="9.140625" style="42"/>
    <col min="9" max="9" width="12.28515625" style="42" customWidth="1"/>
    <col min="10" max="16384" width="9.140625" style="42"/>
  </cols>
  <sheetData>
    <row r="1" spans="2:6" s="41" customFormat="1" ht="25.5" customHeight="1">
      <c r="C1" s="445" t="s">
        <v>88</v>
      </c>
      <c r="D1" s="445"/>
      <c r="E1" s="445"/>
    </row>
    <row r="2" spans="2:6" ht="17.850000000000001" customHeight="1">
      <c r="C2" s="446" t="s">
        <v>78</v>
      </c>
      <c r="D2" s="446"/>
      <c r="E2" s="446"/>
    </row>
    <row r="3" spans="2:6">
      <c r="C3" s="446" t="s">
        <v>26</v>
      </c>
      <c r="D3" s="446"/>
      <c r="E3" s="446"/>
    </row>
    <row r="4" spans="2:6" ht="13.7" customHeight="1">
      <c r="D4" s="43"/>
      <c r="E4" s="43"/>
    </row>
    <row r="5" spans="2:6" ht="13.7" customHeight="1">
      <c r="D5" s="43"/>
      <c r="E5" s="43"/>
    </row>
    <row r="6" spans="2:6" ht="85.7" customHeight="1">
      <c r="B6" s="464" t="s">
        <v>79</v>
      </c>
      <c r="C6" s="464"/>
      <c r="D6" s="464"/>
      <c r="E6" s="464"/>
      <c r="F6" s="44"/>
    </row>
    <row r="8" spans="2:6">
      <c r="E8" s="319" t="s">
        <v>15</v>
      </c>
    </row>
    <row r="9" spans="2:6" ht="99.6" customHeight="1">
      <c r="B9" s="465" t="s">
        <v>43</v>
      </c>
      <c r="C9" s="466"/>
      <c r="D9" s="452" t="s">
        <v>44</v>
      </c>
      <c r="E9" s="320" t="s">
        <v>51</v>
      </c>
    </row>
    <row r="10" spans="2:6" ht="88.5" customHeight="1">
      <c r="B10" s="36" t="s">
        <v>20</v>
      </c>
      <c r="C10" s="36" t="s">
        <v>21</v>
      </c>
      <c r="D10" s="453"/>
      <c r="E10" s="52" t="s">
        <v>9</v>
      </c>
      <c r="F10" s="134"/>
    </row>
    <row r="11" spans="2:6" ht="51.75">
      <c r="B11" s="36"/>
      <c r="C11" s="36"/>
      <c r="D11" s="45" t="s">
        <v>23</v>
      </c>
      <c r="E11" s="38">
        <f>+E13+E26+E51+E57+E63+E69+E75+E81+E87+E95+E101</f>
        <v>-122690.30000000002</v>
      </c>
      <c r="F11" s="72"/>
    </row>
    <row r="12" spans="2:6">
      <c r="B12" s="36"/>
      <c r="C12" s="36"/>
      <c r="D12" s="47" t="s">
        <v>45</v>
      </c>
      <c r="E12" s="46"/>
      <c r="F12" s="72"/>
    </row>
    <row r="13" spans="2:6" ht="86.25">
      <c r="B13" s="39">
        <v>1045</v>
      </c>
      <c r="C13" s="39">
        <v>32001</v>
      </c>
      <c r="D13" s="54" t="s">
        <v>149</v>
      </c>
      <c r="E13" s="38">
        <f t="shared" ref="E13" si="0">+E15</f>
        <v>-125464.19999999997</v>
      </c>
      <c r="F13" s="72"/>
    </row>
    <row r="14" spans="2:6">
      <c r="B14" s="86"/>
      <c r="C14" s="86"/>
      <c r="D14" s="40" t="s">
        <v>22</v>
      </c>
      <c r="E14" s="48"/>
      <c r="F14" s="72"/>
    </row>
    <row r="15" spans="2:6" ht="34.5">
      <c r="B15" s="88"/>
      <c r="C15" s="88"/>
      <c r="D15" s="49" t="s">
        <v>18</v>
      </c>
      <c r="E15" s="50">
        <f>+E17+E21+E23</f>
        <v>-125464.19999999997</v>
      </c>
    </row>
    <row r="16" spans="2:6">
      <c r="B16" s="181"/>
      <c r="C16" s="181"/>
      <c r="D16" s="132" t="s">
        <v>122</v>
      </c>
      <c r="E16" s="185"/>
    </row>
    <row r="17" spans="2:5">
      <c r="B17" s="88"/>
      <c r="C17" s="88"/>
      <c r="D17" s="174" t="s">
        <v>123</v>
      </c>
      <c r="E17" s="68">
        <f>+E18+E19+E20</f>
        <v>-214917.59999999998</v>
      </c>
    </row>
    <row r="18" spans="2:5" ht="34.5">
      <c r="B18" s="458"/>
      <c r="C18" s="458"/>
      <c r="D18" s="176" t="str">
        <f>+'Հավելված N 3'!C18</f>
        <v>«Երևանի հ․8 արհեստագործական պետական ուսումնարան» ՊՈԱԿ</v>
      </c>
      <c r="E18" s="51">
        <f>+'Հավելված N 3'!D18</f>
        <v>-194894.69999999998</v>
      </c>
    </row>
    <row r="19" spans="2:5" ht="34.5">
      <c r="B19" s="463"/>
      <c r="C19" s="463"/>
      <c r="D19" s="176" t="str">
        <f>+'Հավելված N 3'!C19</f>
        <v>«Երևանի Շառլ Ազնավուրի անվան մշակույթի և արվեստի պետական քոլեջ» ՊՈԱԿ</v>
      </c>
      <c r="E19" s="51">
        <f>+'Հավելված N 3'!D19</f>
        <v>-7298.9</v>
      </c>
    </row>
    <row r="20" spans="2:5" ht="34.5">
      <c r="B20" s="459"/>
      <c r="C20" s="459"/>
      <c r="D20" s="176" t="str">
        <f>+'Հավելված N 3'!C20</f>
        <v>«Երևանի զարդարվեստի պետական արհեստագործական ուսումնարան» ՊՈԱԿ</v>
      </c>
      <c r="E20" s="51">
        <f>+'Հավելված N 3'!D20</f>
        <v>-12724</v>
      </c>
    </row>
    <row r="21" spans="2:5">
      <c r="B21" s="88"/>
      <c r="C21" s="88"/>
      <c r="D21" s="174" t="s">
        <v>59</v>
      </c>
      <c r="E21" s="68">
        <f>+E22</f>
        <v>104891.20000000001</v>
      </c>
    </row>
    <row r="22" spans="2:5" ht="51.75">
      <c r="B22" s="282"/>
      <c r="C22" s="282"/>
      <c r="D22" s="176" t="str">
        <f>+'Հավելված N 3'!C22</f>
        <v xml:space="preserve">«Վանաձորի Կ. Ղարաքեշիշյանի անվան N 1 արհեստագործական պետական ուսումնարան» ՊՈԱԿ </v>
      </c>
      <c r="E22" s="51">
        <f>+'Հավելված N 3'!D22</f>
        <v>104891.20000000001</v>
      </c>
    </row>
    <row r="23" spans="2:5">
      <c r="B23" s="88"/>
      <c r="C23" s="88"/>
      <c r="D23" s="174" t="s">
        <v>264</v>
      </c>
      <c r="E23" s="68">
        <f>+E24+E25</f>
        <v>-15437.800000000001</v>
      </c>
    </row>
    <row r="24" spans="2:5">
      <c r="B24" s="458"/>
      <c r="C24" s="458"/>
      <c r="D24" s="176" t="str">
        <f>+'Հավելված N 3'!C24</f>
        <v xml:space="preserve">«Արթիկի պետական քոլեջ» ՊՈԱԿ </v>
      </c>
      <c r="E24" s="51">
        <f>+'Հավելված N 3'!D24</f>
        <v>-13096.7</v>
      </c>
    </row>
    <row r="25" spans="2:5">
      <c r="B25" s="459"/>
      <c r="C25" s="459"/>
      <c r="D25" s="176" t="str">
        <f>+'Հավելված N 3'!C25</f>
        <v>«Գյումրու պետական բժշկական քոլեջ» ՊՈԱԿ</v>
      </c>
      <c r="E25" s="51">
        <f>+'Հավելված N 3'!D25</f>
        <v>-2341.1</v>
      </c>
    </row>
    <row r="26" spans="2:5" ht="34.5">
      <c r="B26" s="39">
        <v>1075</v>
      </c>
      <c r="C26" s="39">
        <v>21001</v>
      </c>
      <c r="D26" s="152" t="s">
        <v>137</v>
      </c>
      <c r="E26" s="38">
        <f t="shared" ref="E26" si="1">+E28</f>
        <v>-132019.19999999998</v>
      </c>
    </row>
    <row r="27" spans="2:5">
      <c r="B27" s="86"/>
      <c r="C27" s="86"/>
      <c r="D27" s="40" t="s">
        <v>22</v>
      </c>
      <c r="E27" s="48"/>
    </row>
    <row r="28" spans="2:5" ht="34.5">
      <c r="B28" s="182"/>
      <c r="C28" s="182"/>
      <c r="D28" s="133" t="s">
        <v>18</v>
      </c>
      <c r="E28" s="183">
        <f>+E30+E47</f>
        <v>-132019.19999999998</v>
      </c>
    </row>
    <row r="29" spans="2:5">
      <c r="B29" s="181"/>
      <c r="C29" s="181"/>
      <c r="D29" s="132" t="s">
        <v>122</v>
      </c>
      <c r="E29" s="185"/>
    </row>
    <row r="30" spans="2:5">
      <c r="B30" s="181"/>
      <c r="C30" s="181"/>
      <c r="D30" s="146" t="s">
        <v>146</v>
      </c>
      <c r="E30" s="186">
        <f>+E32+E34+E38+E40+E42</f>
        <v>-133899.19999999998</v>
      </c>
    </row>
    <row r="31" spans="2:5">
      <c r="B31" s="181"/>
      <c r="C31" s="181"/>
      <c r="D31" s="132" t="s">
        <v>139</v>
      </c>
      <c r="E31" s="185"/>
    </row>
    <row r="32" spans="2:5">
      <c r="B32" s="181"/>
      <c r="C32" s="181"/>
      <c r="D32" s="153" t="s">
        <v>123</v>
      </c>
      <c r="E32" s="187">
        <f>+E33</f>
        <v>37296.800000000003</v>
      </c>
    </row>
    <row r="33" spans="2:5" ht="34.5">
      <c r="B33" s="181"/>
      <c r="C33" s="181"/>
      <c r="D33" s="240" t="str">
        <f>+'Հավելված N 3'!C31</f>
        <v>Հայոց ցեղասպանության հուշահամալիրի և թանգարանի հիմնանորոգում և բարեկարգում</v>
      </c>
      <c r="E33" s="188">
        <f>+'Հավելված N 3'!D31</f>
        <v>37296.800000000003</v>
      </c>
    </row>
    <row r="34" spans="2:5">
      <c r="B34" s="181"/>
      <c r="C34" s="181"/>
      <c r="D34" s="153" t="s">
        <v>70</v>
      </c>
      <c r="E34" s="187">
        <f>+E35+E36+E37</f>
        <v>-17732.000000000004</v>
      </c>
    </row>
    <row r="35" spans="2:5" ht="51.75">
      <c r="B35" s="460"/>
      <c r="C35" s="460"/>
      <c r="D35" s="240" t="str">
        <f>+'Հավելված N 3'!C33</f>
        <v>Փարպի համայնքի 5-րդ դարի Ծիրանավոր եկեղեցու ամրակայում, վերականգնում և տարածքի բարեկարգում</v>
      </c>
      <c r="E35" s="188">
        <f>+'Հավելված N 3'!D33</f>
        <v>-9340.4</v>
      </c>
    </row>
    <row r="36" spans="2:5" ht="51.75">
      <c r="B36" s="461"/>
      <c r="C36" s="461"/>
      <c r="D36" s="240" t="str">
        <f>+'Հավելված N 3'!C34</f>
        <v>Ամբերդ ամրոցի հրատապ ամրակայման ենթակա հատվածների նորոգում և վերականգնում</v>
      </c>
      <c r="E36" s="188">
        <f>+'Հավելված N 3'!D34</f>
        <v>-40309.700000000004</v>
      </c>
    </row>
    <row r="37" spans="2:5" ht="86.25">
      <c r="B37" s="462"/>
      <c r="C37" s="462"/>
      <c r="D37" s="240" t="str">
        <f>+'Հավելված N 3'!C35</f>
        <v>Ագարակ համայնքի, «Ագարակ» պատմամշակութային արգելոցի վաղ բրոնզե դարի կացարանների, միջնադարյան համալիրի և պարսպապատի վերականգնում և ամրակայում</v>
      </c>
      <c r="E37" s="188">
        <f>+'Հավելված N 3'!D35</f>
        <v>31918.100000000002</v>
      </c>
    </row>
    <row r="38" spans="2:5">
      <c r="B38" s="181"/>
      <c r="C38" s="181"/>
      <c r="D38" s="153" t="s">
        <v>250</v>
      </c>
      <c r="E38" s="187">
        <f>+E39</f>
        <v>-17624.900000000001</v>
      </c>
    </row>
    <row r="39" spans="2:5" ht="34.5">
      <c r="B39" s="321"/>
      <c r="C39" s="321"/>
      <c r="D39" s="240" t="str">
        <f>+'Հավելված N 3'!C37</f>
        <v xml:space="preserve">ՀՀ Արմավիրի մարզի Այգեշատ համայնքի Թարգմանչաց եկեղեցու վերականգնում </v>
      </c>
      <c r="E39" s="188">
        <f>+'Հավելված N 3'!D37</f>
        <v>-17624.900000000001</v>
      </c>
    </row>
    <row r="40" spans="2:5">
      <c r="B40" s="181"/>
      <c r="C40" s="181"/>
      <c r="D40" s="153" t="s">
        <v>59</v>
      </c>
      <c r="E40" s="187">
        <f>+E41</f>
        <v>-15615.699999999999</v>
      </c>
    </row>
    <row r="41" spans="2:5" ht="34.5">
      <c r="B41" s="321"/>
      <c r="C41" s="321"/>
      <c r="D41" s="240" t="str">
        <f>+'Հավելված N 3'!C39</f>
        <v>Ամրակիցի Սբ․ Նիկոլայ Հրաշագործ ռուսական եկեղեցու վերականգնման աժխատանքներ</v>
      </c>
      <c r="E41" s="188">
        <f>+'Հավելված N 3'!D39</f>
        <v>-15615.699999999999</v>
      </c>
    </row>
    <row r="42" spans="2:5">
      <c r="B42" s="181"/>
      <c r="C42" s="181"/>
      <c r="D42" s="153" t="s">
        <v>299</v>
      </c>
      <c r="E42" s="187">
        <f>+E43+E44+E45+E46</f>
        <v>-120223.4</v>
      </c>
    </row>
    <row r="43" spans="2:5" ht="51.75">
      <c r="B43" s="460"/>
      <c r="C43" s="460"/>
      <c r="D43" s="240" t="str">
        <f>+'Հավելված N 3'!C41</f>
        <v>Տավուշի մարզի «Սրվեղ» վանական համալիրի ամրակայում, վերականգնում և տարածքի բարեկարգում</v>
      </c>
      <c r="E43" s="188">
        <f>+'Հավելված N 3'!D41</f>
        <v>-34530.6</v>
      </c>
    </row>
    <row r="44" spans="2:5" ht="69">
      <c r="B44" s="461"/>
      <c r="C44" s="461"/>
      <c r="D44" s="240" t="str">
        <f>+'Հավելված N 3'!C42</f>
        <v>Տավուշի մարզի «Տավուշ» ամրոցի պարիսպների, կից կառույցների, եկեղեցուամրակայում, վերականգնում և տարածքի բարեկարգում</v>
      </c>
      <c r="E44" s="188">
        <f>+'Հավելված N 3'!D42</f>
        <v>-43975.8</v>
      </c>
    </row>
    <row r="45" spans="2:5" ht="51.75">
      <c r="B45" s="461"/>
      <c r="C45" s="461"/>
      <c r="D45" s="240" t="str">
        <f>+'Հավելված N 3'!C43</f>
        <v>Դիլիջան համայնքի Հ.Շարամբեյանի անվան ժողովրդական արվեստների թանգարանի նորոգում, ամրակայում</v>
      </c>
      <c r="E45" s="188">
        <f>+'Հավելված N 3'!D43</f>
        <v>2304.8000000000002</v>
      </c>
    </row>
    <row r="46" spans="2:5" ht="34.5">
      <c r="B46" s="462"/>
      <c r="C46" s="462"/>
      <c r="D46" s="240" t="str">
        <f>+'Հավելված N 3'!C44</f>
        <v>Կիրանց գյուղի Սուրբ Երրորդություն եկեղեցու վերականգնում</v>
      </c>
      <c r="E46" s="188">
        <f>+'Հավելված N 3'!D44</f>
        <v>-44021.8</v>
      </c>
    </row>
    <row r="47" spans="2:5" ht="69">
      <c r="B47" s="181"/>
      <c r="C47" s="181"/>
      <c r="D47" s="133" t="s">
        <v>138</v>
      </c>
      <c r="E47" s="186">
        <f>+E49</f>
        <v>1880</v>
      </c>
    </row>
    <row r="48" spans="2:5">
      <c r="B48" s="181"/>
      <c r="C48" s="181"/>
      <c r="D48" s="132" t="s">
        <v>139</v>
      </c>
      <c r="E48" s="185"/>
    </row>
    <row r="49" spans="2:5">
      <c r="B49" s="181"/>
      <c r="C49" s="181"/>
      <c r="D49" s="153" t="s">
        <v>299</v>
      </c>
      <c r="E49" s="187">
        <f>+E50</f>
        <v>1880</v>
      </c>
    </row>
    <row r="50" spans="2:5" ht="69">
      <c r="B50" s="181"/>
      <c r="C50" s="181"/>
      <c r="D50" s="171" t="str">
        <f>+'Հավելված N 3'!C48</f>
        <v>Դիլիջան համայնքի Հ.Շարամբեյանի անվան ժողովրդական արվեստների թանգարանի տարածքի բարեկարգման գիտանախագծային փաստաթղթերի մշակում</v>
      </c>
      <c r="E50" s="188">
        <f>+'Հավելված N 3'!D48</f>
        <v>1880</v>
      </c>
    </row>
    <row r="51" spans="2:5" ht="34.5">
      <c r="B51" s="39">
        <v>1075</v>
      </c>
      <c r="C51" s="39">
        <v>32001</v>
      </c>
      <c r="D51" s="175" t="s">
        <v>156</v>
      </c>
      <c r="E51" s="38">
        <f t="shared" ref="E51" si="2">+E53</f>
        <v>-205072.8</v>
      </c>
    </row>
    <row r="52" spans="2:5">
      <c r="B52" s="86"/>
      <c r="C52" s="86"/>
      <c r="D52" s="40" t="s">
        <v>22</v>
      </c>
      <c r="E52" s="48"/>
    </row>
    <row r="53" spans="2:5" ht="34.5">
      <c r="B53" s="88"/>
      <c r="C53" s="88"/>
      <c r="D53" s="49" t="s">
        <v>18</v>
      </c>
      <c r="E53" s="50">
        <f t="shared" ref="E53" si="3">+E55</f>
        <v>-205072.8</v>
      </c>
    </row>
    <row r="54" spans="2:5">
      <c r="B54" s="181"/>
      <c r="C54" s="181"/>
      <c r="D54" s="132" t="s">
        <v>122</v>
      </c>
      <c r="E54" s="184"/>
    </row>
    <row r="55" spans="2:5">
      <c r="B55" s="88"/>
      <c r="C55" s="88"/>
      <c r="D55" s="174" t="s">
        <v>123</v>
      </c>
      <c r="E55" s="68">
        <f t="shared" ref="E55" si="4">+E56</f>
        <v>-205072.8</v>
      </c>
    </row>
    <row r="56" spans="2:5">
      <c r="B56" s="87"/>
      <c r="C56" s="87"/>
      <c r="D56" s="176" t="str">
        <f>+'Հավելված N 3'!C52</f>
        <v>«Հ. Թումանյանի թանգարան» ՊՈԱԿ</v>
      </c>
      <c r="E56" s="51">
        <f>+'Հավելված N 3'!D52</f>
        <v>-205072.8</v>
      </c>
    </row>
    <row r="57" spans="2:5" ht="53.65" customHeight="1">
      <c r="B57" s="39">
        <v>1148</v>
      </c>
      <c r="C57" s="39">
        <v>32005</v>
      </c>
      <c r="D57" s="168" t="s">
        <v>341</v>
      </c>
      <c r="E57" s="38">
        <f>+E59</f>
        <v>4100.8</v>
      </c>
    </row>
    <row r="58" spans="2:5">
      <c r="B58" s="86"/>
      <c r="C58" s="86"/>
      <c r="D58" s="40" t="s">
        <v>22</v>
      </c>
      <c r="E58" s="48"/>
    </row>
    <row r="59" spans="2:5" ht="34.5">
      <c r="B59" s="88"/>
      <c r="C59" s="88"/>
      <c r="D59" s="49" t="s">
        <v>18</v>
      </c>
      <c r="E59" s="50">
        <f>+E61</f>
        <v>4100.8</v>
      </c>
    </row>
    <row r="60" spans="2:5">
      <c r="B60" s="181"/>
      <c r="C60" s="181"/>
      <c r="D60" s="132" t="s">
        <v>122</v>
      </c>
      <c r="E60" s="184"/>
    </row>
    <row r="61" spans="2:5">
      <c r="B61" s="88"/>
      <c r="C61" s="88"/>
      <c r="D61" s="174" t="s">
        <v>123</v>
      </c>
      <c r="E61" s="68">
        <f>+E62</f>
        <v>4100.8</v>
      </c>
    </row>
    <row r="62" spans="2:5" ht="34.5">
      <c r="B62" s="87"/>
      <c r="C62" s="87"/>
      <c r="D62" s="176" t="str">
        <f>+'Հավելված N 3'!C56</f>
        <v>«Տիգրան Պետրոսյանի անվան շախմատի-տուն մարզադպրոց» ՊՈԱԿ</v>
      </c>
      <c r="E62" s="51">
        <f>+'Հավելված N 3'!D56</f>
        <v>4100.8</v>
      </c>
    </row>
    <row r="63" spans="2:5" ht="51.75">
      <c r="B63" s="39">
        <v>1168</v>
      </c>
      <c r="C63" s="39">
        <v>32001</v>
      </c>
      <c r="D63" s="168" t="s">
        <v>291</v>
      </c>
      <c r="E63" s="38">
        <f>+E65</f>
        <v>-92743.599999999991</v>
      </c>
    </row>
    <row r="64" spans="2:5">
      <c r="B64" s="86"/>
      <c r="C64" s="86"/>
      <c r="D64" s="40" t="s">
        <v>22</v>
      </c>
      <c r="E64" s="48"/>
    </row>
    <row r="65" spans="2:5" ht="34.5">
      <c r="B65" s="88"/>
      <c r="C65" s="88"/>
      <c r="D65" s="49" t="s">
        <v>18</v>
      </c>
      <c r="E65" s="50">
        <f>+E67</f>
        <v>-92743.599999999991</v>
      </c>
    </row>
    <row r="66" spans="2:5">
      <c r="B66" s="181"/>
      <c r="C66" s="181"/>
      <c r="D66" s="132" t="s">
        <v>122</v>
      </c>
      <c r="E66" s="184"/>
    </row>
    <row r="67" spans="2:5">
      <c r="B67" s="88"/>
      <c r="C67" s="88"/>
      <c r="D67" s="174" t="s">
        <v>123</v>
      </c>
      <c r="E67" s="68">
        <f t="shared" ref="E67" si="5">+E68</f>
        <v>-92743.599999999991</v>
      </c>
    </row>
    <row r="68" spans="2:5" ht="34.5">
      <c r="B68" s="87"/>
      <c r="C68" s="87"/>
      <c r="D68" s="176" t="str">
        <f>+'Հավելված N 3'!C60</f>
        <v>«Հայաստանի պետական սիմֆոնիկ նվագախումբ» ՊՈԱԿ</v>
      </c>
      <c r="E68" s="51">
        <f>+'Հավելված N 3'!D60</f>
        <v>-92743.599999999991</v>
      </c>
    </row>
    <row r="69" spans="2:5">
      <c r="B69" s="39">
        <v>1168</v>
      </c>
      <c r="C69" s="39">
        <v>32008</v>
      </c>
      <c r="D69" s="168" t="s">
        <v>411</v>
      </c>
      <c r="E69" s="38">
        <f>+E71</f>
        <v>-45250</v>
      </c>
    </row>
    <row r="70" spans="2:5">
      <c r="B70" s="86"/>
      <c r="C70" s="86"/>
      <c r="D70" s="40" t="s">
        <v>22</v>
      </c>
      <c r="E70" s="48"/>
    </row>
    <row r="71" spans="2:5" ht="34.5">
      <c r="B71" s="88"/>
      <c r="C71" s="88"/>
      <c r="D71" s="49" t="s">
        <v>18</v>
      </c>
      <c r="E71" s="50">
        <f>+E73</f>
        <v>-45250</v>
      </c>
    </row>
    <row r="72" spans="2:5">
      <c r="B72" s="181"/>
      <c r="C72" s="181"/>
      <c r="D72" s="132" t="s">
        <v>122</v>
      </c>
      <c r="E72" s="184"/>
    </row>
    <row r="73" spans="2:5">
      <c r="B73" s="88"/>
      <c r="C73" s="88"/>
      <c r="D73" s="174" t="s">
        <v>123</v>
      </c>
      <c r="E73" s="68">
        <f t="shared" ref="E73" si="6">+E74</f>
        <v>-45250</v>
      </c>
    </row>
    <row r="74" spans="2:5" ht="34.5">
      <c r="B74" s="87"/>
      <c r="C74" s="87"/>
      <c r="D74" s="176" t="str">
        <f>+'Հավելված N 3'!C64</f>
        <v>«Հայաստանի էստրադային ջազ-նվագախումբ» ՊՈԱԿ</v>
      </c>
      <c r="E74" s="51">
        <f>+'Հավելված N 3'!D64</f>
        <v>-45250</v>
      </c>
    </row>
    <row r="75" spans="2:5" ht="51.75">
      <c r="B75" s="39">
        <v>1183</v>
      </c>
      <c r="C75" s="39">
        <v>32004</v>
      </c>
      <c r="D75" s="229" t="s">
        <v>266</v>
      </c>
      <c r="E75" s="38">
        <f t="shared" ref="E75" si="7">+E77</f>
        <v>-16159.800000000001</v>
      </c>
    </row>
    <row r="76" spans="2:5">
      <c r="B76" s="86"/>
      <c r="C76" s="86"/>
      <c r="D76" s="40" t="s">
        <v>22</v>
      </c>
      <c r="E76" s="48"/>
    </row>
    <row r="77" spans="2:5" ht="34.5">
      <c r="B77" s="88"/>
      <c r="C77" s="88"/>
      <c r="D77" s="49" t="s">
        <v>18</v>
      </c>
      <c r="E77" s="50">
        <f t="shared" ref="E77" si="8">+E79</f>
        <v>-16159.800000000001</v>
      </c>
    </row>
    <row r="78" spans="2:5">
      <c r="B78" s="181"/>
      <c r="C78" s="181"/>
      <c r="D78" s="132" t="s">
        <v>122</v>
      </c>
      <c r="E78" s="184"/>
    </row>
    <row r="79" spans="2:5">
      <c r="B79" s="88"/>
      <c r="C79" s="88"/>
      <c r="D79" s="174" t="s">
        <v>264</v>
      </c>
      <c r="E79" s="68">
        <f t="shared" ref="E79" si="9">+E80</f>
        <v>-16159.800000000001</v>
      </c>
    </row>
    <row r="80" spans="2:5">
      <c r="B80" s="87"/>
      <c r="C80" s="87"/>
      <c r="D80" s="176" t="str">
        <f>+'Հավելված N 3'!C68</f>
        <v>«Գյումրու «Ֆոտոն» վարժարան» ՊՈԱԿ</v>
      </c>
      <c r="E80" s="51">
        <f>+'Հավելված N 3'!D68</f>
        <v>-16159.800000000001</v>
      </c>
    </row>
    <row r="81" spans="2:5">
      <c r="B81" s="39">
        <v>1236</v>
      </c>
      <c r="C81" s="39">
        <v>32001</v>
      </c>
      <c r="D81" s="104" t="s">
        <v>362</v>
      </c>
      <c r="E81" s="38">
        <f>+E83</f>
        <v>262242.7</v>
      </c>
    </row>
    <row r="82" spans="2:5">
      <c r="B82" s="86"/>
      <c r="C82" s="86"/>
      <c r="D82" s="40" t="s">
        <v>22</v>
      </c>
      <c r="E82" s="48"/>
    </row>
    <row r="83" spans="2:5">
      <c r="B83" s="88"/>
      <c r="C83" s="88"/>
      <c r="D83" s="49" t="s">
        <v>353</v>
      </c>
      <c r="E83" s="50">
        <f>+E85</f>
        <v>262242.7</v>
      </c>
    </row>
    <row r="84" spans="2:5">
      <c r="B84" s="181"/>
      <c r="C84" s="181"/>
      <c r="D84" s="132" t="s">
        <v>122</v>
      </c>
      <c r="E84" s="184"/>
    </row>
    <row r="85" spans="2:5">
      <c r="B85" s="88"/>
      <c r="C85" s="88"/>
      <c r="D85" s="174" t="s">
        <v>250</v>
      </c>
      <c r="E85" s="68">
        <f>+E86</f>
        <v>262242.7</v>
      </c>
    </row>
    <row r="86" spans="2:5" ht="34.5">
      <c r="B86" s="388"/>
      <c r="C86" s="388"/>
      <c r="D86" s="176" t="str">
        <f>+'Հավելված N 3'!C72</f>
        <v>Փշատավան համայնքում «Մոդուլային» տիպի 144 տեղ հզորությամբ մսուր-մանկապարտեզ</v>
      </c>
      <c r="E86" s="51">
        <f>+'Հավելված N 3'!D72</f>
        <v>262242.7</v>
      </c>
    </row>
    <row r="87" spans="2:5" ht="34.5">
      <c r="B87" s="39">
        <v>1236</v>
      </c>
      <c r="C87" s="39">
        <v>32002</v>
      </c>
      <c r="D87" s="229" t="s">
        <v>416</v>
      </c>
      <c r="E87" s="38">
        <f>+E89+E94</f>
        <v>233117.30000000002</v>
      </c>
    </row>
    <row r="88" spans="2:5">
      <c r="B88" s="86"/>
      <c r="C88" s="86"/>
      <c r="D88" s="40" t="s">
        <v>22</v>
      </c>
      <c r="E88" s="48"/>
    </row>
    <row r="89" spans="2:5" ht="34.5">
      <c r="B89" s="88"/>
      <c r="C89" s="88"/>
      <c r="D89" s="49" t="s">
        <v>424</v>
      </c>
      <c r="E89" s="50">
        <f>+E91</f>
        <v>-41378.400000000001</v>
      </c>
    </row>
    <row r="90" spans="2:5">
      <c r="B90" s="181"/>
      <c r="C90" s="181"/>
      <c r="D90" s="132" t="s">
        <v>122</v>
      </c>
      <c r="E90" s="184"/>
    </row>
    <row r="91" spans="2:5">
      <c r="B91" s="88"/>
      <c r="C91" s="88"/>
      <c r="D91" s="174" t="s">
        <v>123</v>
      </c>
      <c r="E91" s="68">
        <f>+E92+E93</f>
        <v>-41378.400000000001</v>
      </c>
    </row>
    <row r="92" spans="2:5" ht="34.5">
      <c r="B92" s="458"/>
      <c r="C92" s="458"/>
      <c r="D92" s="176" t="str">
        <f>+'Հավելված N 3'!C77</f>
        <v>Մալաթիա-Սեբաստիա վարչական շրջանի հ.77 մանկապարտեզի բակի բարեկարգում</v>
      </c>
      <c r="E92" s="51">
        <f>+'Հավելված N 3'!D77</f>
        <v>14343</v>
      </c>
    </row>
    <row r="93" spans="2:5" ht="34.5">
      <c r="B93" s="459"/>
      <c r="C93" s="459"/>
      <c r="D93" s="176" t="str">
        <f>+'Հավելված N 3'!C78</f>
        <v>Նոր Նորք վարչական շրջանի հ. 109 մանկապարտեզի բակի բարեկարգում</v>
      </c>
      <c r="E93" s="51">
        <f>+'Հավելված N 3'!D78</f>
        <v>-55721.4</v>
      </c>
    </row>
    <row r="94" spans="2:5">
      <c r="B94" s="88"/>
      <c r="C94" s="88"/>
      <c r="D94" s="49" t="s">
        <v>200</v>
      </c>
      <c r="E94" s="50">
        <f>+'Հավելված N 3'!D75</f>
        <v>274495.7</v>
      </c>
    </row>
    <row r="95" spans="2:5" ht="34.5">
      <c r="B95" s="39">
        <v>1236</v>
      </c>
      <c r="C95" s="39">
        <v>32003</v>
      </c>
      <c r="D95" s="104" t="s">
        <v>352</v>
      </c>
      <c r="E95" s="38">
        <f>+E97</f>
        <v>36526.9</v>
      </c>
    </row>
    <row r="96" spans="2:5">
      <c r="B96" s="86"/>
      <c r="C96" s="86"/>
      <c r="D96" s="40" t="s">
        <v>22</v>
      </c>
      <c r="E96" s="48"/>
    </row>
    <row r="97" spans="2:5">
      <c r="B97" s="88"/>
      <c r="C97" s="88"/>
      <c r="D97" s="49" t="s">
        <v>353</v>
      </c>
      <c r="E97" s="50">
        <f>+E99</f>
        <v>36526.9</v>
      </c>
    </row>
    <row r="98" spans="2:5">
      <c r="B98" s="181"/>
      <c r="C98" s="181"/>
      <c r="D98" s="132" t="s">
        <v>122</v>
      </c>
      <c r="E98" s="184"/>
    </row>
    <row r="99" spans="2:5">
      <c r="B99" s="88"/>
      <c r="C99" s="88"/>
      <c r="D99" s="174" t="s">
        <v>70</v>
      </c>
      <c r="E99" s="68">
        <f>+E100</f>
        <v>36526.9</v>
      </c>
    </row>
    <row r="100" spans="2:5">
      <c r="B100" s="87"/>
      <c r="C100" s="87"/>
      <c r="D100" s="176" t="str">
        <f>+'Հավելված N 3'!C82</f>
        <v>«Լուսակնի միջնակարգ դպրոց» ՊՈԱԿ</v>
      </c>
      <c r="E100" s="51">
        <f>+'Հավելված N 3'!D82</f>
        <v>36526.9</v>
      </c>
    </row>
    <row r="101" spans="2:5" ht="51.75">
      <c r="B101" s="39">
        <v>1236</v>
      </c>
      <c r="C101" s="39">
        <v>32006</v>
      </c>
      <c r="D101" s="152" t="s">
        <v>105</v>
      </c>
      <c r="E101" s="38">
        <f>+E103</f>
        <v>-41968.4</v>
      </c>
    </row>
    <row r="102" spans="2:5">
      <c r="B102" s="86"/>
      <c r="C102" s="86"/>
      <c r="D102" s="40" t="s">
        <v>22</v>
      </c>
      <c r="E102" s="48"/>
    </row>
    <row r="103" spans="2:5" ht="34.5">
      <c r="B103" s="88"/>
      <c r="C103" s="88"/>
      <c r="D103" s="49" t="s">
        <v>18</v>
      </c>
      <c r="E103" s="50">
        <f>+E104+E116+E119+E131+E136+E146+E149+E151</f>
        <v>-41968.4</v>
      </c>
    </row>
    <row r="104" spans="2:5">
      <c r="B104" s="88"/>
      <c r="C104" s="88"/>
      <c r="D104" s="174" t="s">
        <v>123</v>
      </c>
      <c r="E104" s="68">
        <f>SUM(E105:E115)</f>
        <v>60508.4</v>
      </c>
    </row>
    <row r="105" spans="2:5">
      <c r="B105" s="468"/>
      <c r="C105" s="468"/>
      <c r="D105" s="176" t="str">
        <f>+'Հավելված N 3'!C86</f>
        <v>«Երևանի թիվ 191 հիմնական դպրոց» ՊՈԱԿ</v>
      </c>
      <c r="E105" s="51">
        <f>+'Հավելված N 3'!D86</f>
        <v>24944.5</v>
      </c>
    </row>
    <row r="106" spans="2:5" ht="16.149999999999999" customHeight="1">
      <c r="B106" s="468"/>
      <c r="C106" s="468"/>
      <c r="D106" s="176" t="str">
        <f>+'Հավելված N 3'!C87</f>
        <v>«Երևանի Տ․Շեվչենկոյի անվան թիվ 42 ավագ դպրոց» ՊՈԱԿ</v>
      </c>
      <c r="E106" s="51">
        <f>+'Հավելված N 3'!D87</f>
        <v>3696.7</v>
      </c>
    </row>
    <row r="107" spans="2:5" ht="16.149999999999999" customHeight="1">
      <c r="B107" s="468"/>
      <c r="C107" s="468"/>
      <c r="D107" s="176" t="str">
        <f>+'Հավելված N 3'!C88</f>
        <v>«Երևանի Մ․ Խորենացու անվան թիվ 143 հիմնական դպրոց» ՊՈԱԿ</v>
      </c>
      <c r="E107" s="51">
        <f>+'Հավելված N 3'!D88</f>
        <v>25063.200000000001</v>
      </c>
    </row>
    <row r="108" spans="2:5" ht="16.149999999999999" customHeight="1">
      <c r="B108" s="468"/>
      <c r="C108" s="468"/>
      <c r="D108" s="176" t="str">
        <f>+'Հավելված N 3'!C89</f>
        <v>«Երևանի Մ. Սարյանի անվան հ. 86 հիմնական դպրոց» ՊՈԱԿ</v>
      </c>
      <c r="E108" s="51">
        <f>+'Հավելված N 3'!D89</f>
        <v>850.5</v>
      </c>
    </row>
    <row r="109" spans="2:5" ht="16.149999999999999" customHeight="1">
      <c r="B109" s="468"/>
      <c r="C109" s="468"/>
      <c r="D109" s="176" t="str">
        <f>+'Հավելված N 3'!C90</f>
        <v>«Երևանի Միքայել Նալբանդյանի անվան հ.33 հիմնական դպրոց» ՊՈԱԿ</v>
      </c>
      <c r="E109" s="51">
        <f>+'Հավելված N 3'!D90</f>
        <v>850.5</v>
      </c>
    </row>
    <row r="110" spans="2:5" ht="16.149999999999999" customHeight="1">
      <c r="B110" s="468"/>
      <c r="C110" s="468"/>
      <c r="D110" s="176" t="str">
        <f>+'Հավելված N 3'!C91</f>
        <v>«Երևանի Ս. Խանզադյանի անվան հ. 184 ավագ դպրոց» ՊՈԱԿ</v>
      </c>
      <c r="E110" s="51">
        <f>+'Հավելված N 3'!D91</f>
        <v>850.5</v>
      </c>
    </row>
    <row r="111" spans="2:5" ht="16.149999999999999" customHeight="1">
      <c r="B111" s="468"/>
      <c r="C111" s="468"/>
      <c r="D111" s="176" t="str">
        <f>+'Հավելված N 3'!C92</f>
        <v>«Երևանի Ա. Երզնկյանի անվան հ. 118 ավագ դպրոց» ՊՈԱԿ</v>
      </c>
      <c r="E111" s="51">
        <f>+'Հավելված N 3'!D92</f>
        <v>850.5</v>
      </c>
    </row>
    <row r="112" spans="2:5" ht="16.149999999999999" customHeight="1">
      <c r="B112" s="468"/>
      <c r="C112" s="468"/>
      <c r="D112" s="176" t="str">
        <f>+'Հավելված N 3'!C93</f>
        <v>«Երևանի Սիլվա Կապուտիկյանի անվան հ. 145 հիմնական դպրոց» ՊՈԱԿ</v>
      </c>
      <c r="E112" s="51">
        <f>+'Հավելված N 3'!D93</f>
        <v>850.5</v>
      </c>
    </row>
    <row r="113" spans="2:5" ht="51.75">
      <c r="B113" s="468"/>
      <c r="C113" s="468"/>
      <c r="D113" s="176" t="str">
        <f>+'Հավելված N 3'!C94</f>
        <v>«Երևանի Վ. Թեքեյանի անվան թիվ 92 հիմնական դպրոց» ՊՈԱԿ-ի մարզադահլիճի վերակառուցում</v>
      </c>
      <c r="E113" s="51">
        <f>+'Հավելված N 3'!D94</f>
        <v>850.5</v>
      </c>
    </row>
    <row r="114" spans="2:5" ht="34.5">
      <c r="B114" s="468"/>
      <c r="C114" s="468"/>
      <c r="D114" s="176" t="str">
        <f>+'Հավելված N 3'!C95</f>
        <v>«Երևանի հ. 37 հիմնական դպրոց» ՊՈԱԿ-ի մարզադահլիճի վերակառուցում</v>
      </c>
      <c r="E114" s="51">
        <f>+'Հավելված N 3'!D95</f>
        <v>850.5</v>
      </c>
    </row>
    <row r="115" spans="2:5" ht="34.5">
      <c r="B115" s="468"/>
      <c r="C115" s="468"/>
      <c r="D115" s="176" t="str">
        <f>+'Հավելված N 3'!C96</f>
        <v>«Երևանի հ. 136 հիմնական դպրոց» ՊՈԱԿ-ի մարզադահլիճի վերակառուցում</v>
      </c>
      <c r="E115" s="51">
        <f>+'Հավելված N 3'!D96</f>
        <v>850.5</v>
      </c>
    </row>
    <row r="116" spans="2:5">
      <c r="B116" s="88"/>
      <c r="C116" s="88"/>
      <c r="D116" s="174" t="s">
        <v>70</v>
      </c>
      <c r="E116" s="68">
        <f>+E117+E118</f>
        <v>-11415.5</v>
      </c>
    </row>
    <row r="117" spans="2:5" ht="34.5">
      <c r="B117" s="467"/>
      <c r="C117" s="467"/>
      <c r="D117" s="176" t="str">
        <f>+'Հավելված N 3'!C98</f>
        <v>«Փոքր Վեդու Մարգար Հովհաննիսյանի անվան միջնակարգ դպրոց» ՊՈԱԿ</v>
      </c>
      <c r="E117" s="51">
        <f>+'Հավելված N 3'!D98</f>
        <v>-12266</v>
      </c>
    </row>
    <row r="118" spans="2:5" ht="16.149999999999999" customHeight="1">
      <c r="B118" s="467"/>
      <c r="C118" s="467"/>
      <c r="D118" s="176" t="str">
        <f>+'Հավելված N 3'!C99</f>
        <v>«Թալինի ավագ դպրոց» ՊՈԱԿ</v>
      </c>
      <c r="E118" s="51">
        <f>+'Հավելված N 3'!D99</f>
        <v>850.5</v>
      </c>
    </row>
    <row r="119" spans="2:5">
      <c r="B119" s="88"/>
      <c r="C119" s="88"/>
      <c r="D119" s="174" t="s">
        <v>250</v>
      </c>
      <c r="E119" s="68">
        <f>SUM(E120:E130)</f>
        <v>-3060.5</v>
      </c>
    </row>
    <row r="120" spans="2:5">
      <c r="B120" s="468"/>
      <c r="C120" s="468"/>
      <c r="D120" s="176" t="str">
        <f>+'Հավելված N 3'!C101</f>
        <v>«Փարաքարի միջնակարգ դպրոց» ՊՈԱԿ</v>
      </c>
      <c r="E120" s="51">
        <f>+'Հավելված N 3'!D101</f>
        <v>-16601.3</v>
      </c>
    </row>
    <row r="121" spans="2:5" ht="16.149999999999999" customHeight="1">
      <c r="B121" s="468"/>
      <c r="C121" s="468"/>
      <c r="D121" s="176" t="str">
        <f>+'Հավելված N 3'!C102</f>
        <v>«Վաղարշապատի Մ․Գորկու անվան թիվ 5 ավագ դպրոց» ՊՈԱԿ</v>
      </c>
      <c r="E121" s="51">
        <f>+'Հավելված N 3'!D102</f>
        <v>5886.3</v>
      </c>
    </row>
    <row r="122" spans="2:5" ht="16.149999999999999" customHeight="1">
      <c r="B122" s="468"/>
      <c r="C122" s="468"/>
      <c r="D122" s="176" t="str">
        <f>+'Հավելված N 3'!C103</f>
        <v>«Արտիմետի միջնակարգ դպրոց» ՊՈԱԿ</v>
      </c>
      <c r="E122" s="51">
        <f>+'Հավելված N 3'!D103</f>
        <v>850.5</v>
      </c>
    </row>
    <row r="123" spans="2:5" ht="16.149999999999999" customHeight="1">
      <c r="B123" s="468"/>
      <c r="C123" s="468"/>
      <c r="D123" s="176" t="str">
        <f>+'Հավելված N 3'!C104</f>
        <v>«Արագածի Մ. Մեխակյանի անվան միջնակարգ դպրոց» ՊՈԱԿ</v>
      </c>
      <c r="E123" s="51">
        <f>+'Հավելված N 3'!D104</f>
        <v>850.5</v>
      </c>
    </row>
    <row r="124" spans="2:5" ht="16.149999999999999" customHeight="1">
      <c r="B124" s="468"/>
      <c r="C124" s="468"/>
      <c r="D124" s="176" t="str">
        <f>+'Հավելված N 3'!C105</f>
        <v>«Վաղարշապատի Երվանդ Օտյանի անվան N 7 հիմնական դպրոց » ՊՈԱԿ</v>
      </c>
      <c r="E124" s="51">
        <f>+'Հավելված N 3'!D105</f>
        <v>850.5</v>
      </c>
    </row>
    <row r="125" spans="2:5" ht="16.149999999999999" customHeight="1">
      <c r="B125" s="468"/>
      <c r="C125" s="468"/>
      <c r="D125" s="176" t="str">
        <f>+'Հավելված N 3'!C106</f>
        <v>«Ջանֆիդայի Է. Դաշտոյանի անվան միջնակարգ դպրոց» ՊՈԱԿ</v>
      </c>
      <c r="E125" s="51">
        <f>+'Հավելված N 3'!D106</f>
        <v>850.5</v>
      </c>
    </row>
    <row r="126" spans="2:5" ht="16.149999999999999" customHeight="1">
      <c r="B126" s="468"/>
      <c r="C126" s="468"/>
      <c r="D126" s="176" t="str">
        <f>+'Հավելված N 3'!C107</f>
        <v>«Արմավիրի N 6 հիմնական դպրոց» ՊՈԱԿ</v>
      </c>
      <c r="E126" s="51">
        <f>+'Հավելված N 3'!D107</f>
        <v>850.5</v>
      </c>
    </row>
    <row r="127" spans="2:5" ht="16.149999999999999" customHeight="1">
      <c r="B127" s="468"/>
      <c r="C127" s="468"/>
      <c r="D127" s="176" t="str">
        <f>+'Հավելված N 3'!C108</f>
        <v>Շահումյանի միջնակարգ դպրոց ՊՈԱԿ</v>
      </c>
      <c r="E127" s="51">
        <f>+'Հավելված N 3'!D108</f>
        <v>850.5</v>
      </c>
    </row>
    <row r="128" spans="2:5" ht="34.5">
      <c r="B128" s="468"/>
      <c r="C128" s="468"/>
      <c r="D128" s="176" t="str">
        <f>+'Հավելված N 3'!C109</f>
        <v>«Փշատավանի միջնակարգ դպրոց » ՊՈԱԿ-ի մարզադահլիճի վերակառուցում</v>
      </c>
      <c r="E128" s="51">
        <f>+'Հավելված N 3'!D109</f>
        <v>850.5</v>
      </c>
    </row>
    <row r="129" spans="2:5" ht="34.5">
      <c r="B129" s="468"/>
      <c r="C129" s="468"/>
      <c r="D129" s="176" t="str">
        <f>+'Հավելված N 3'!C110</f>
        <v>«Սարդարապատի միջնակարգ դպրոց» ՊՈԱԿ-ի մարզադահլիճի վերակառուցում</v>
      </c>
      <c r="E129" s="51">
        <f>+'Հավելված N 3'!D110</f>
        <v>850.5</v>
      </c>
    </row>
    <row r="130" spans="2:5" ht="34.5">
      <c r="B130" s="468"/>
      <c r="C130" s="468"/>
      <c r="D130" s="176" t="str">
        <f>+'Հավելված N 3'!C111</f>
        <v>«Արմավիրի հ. 8 հիմնական դպրոց» ՊՈԱԿ-ի մարզադահլիճի վերակառուցում</v>
      </c>
      <c r="E130" s="51">
        <f>+'Հավելված N 3'!D111</f>
        <v>850.5</v>
      </c>
    </row>
    <row r="131" spans="2:5">
      <c r="B131" s="88"/>
      <c r="C131" s="88"/>
      <c r="D131" s="174" t="s">
        <v>251</v>
      </c>
      <c r="E131" s="68">
        <f>SUM(E132:E135)</f>
        <v>-8392.9</v>
      </c>
    </row>
    <row r="132" spans="2:5">
      <c r="B132" s="467"/>
      <c r="C132" s="467"/>
      <c r="D132" s="176" t="str">
        <f>+'Հավելված N 3'!C113</f>
        <v>«Ջիլի միջնակարգ դպրոց» ՊՈԱԿ</v>
      </c>
      <c r="E132" s="51">
        <f>+'Հավելված N 3'!D113</f>
        <v>-10944.4</v>
      </c>
    </row>
    <row r="133" spans="2:5" ht="16.149999999999999" customHeight="1">
      <c r="B133" s="467"/>
      <c r="C133" s="467"/>
      <c r="D133" s="176" t="str">
        <f>+'Հավելված N 3'!C114</f>
        <v>«Ակունք գյուղի միջնակարգ դպրոց» ՊՈԱԿ</v>
      </c>
      <c r="E133" s="51">
        <f>+'Հավելված N 3'!D114</f>
        <v>850.5</v>
      </c>
    </row>
    <row r="134" spans="2:5" ht="16.149999999999999" customHeight="1">
      <c r="B134" s="467"/>
      <c r="C134" s="467"/>
      <c r="D134" s="176" t="str">
        <f>+'Հավելված N 3'!C115</f>
        <v>Գագարինի միջնակարգ դպրոց ՊՈԱԿ</v>
      </c>
      <c r="E134" s="51">
        <f>+'Հավելված N 3'!D115</f>
        <v>850.5</v>
      </c>
    </row>
    <row r="135" spans="2:5" ht="16.149999999999999" customHeight="1">
      <c r="B135" s="467"/>
      <c r="C135" s="467"/>
      <c r="D135" s="176" t="str">
        <f>+'Հավելված N 3'!C116</f>
        <v>«Վ․ Գետաշենի թիվ 2 միջնակարգ դպրոց» ՊՈԱԿ-ի մարզադահլիճի վերակառուցում</v>
      </c>
      <c r="E135" s="51">
        <f>+'Հավելված N 3'!D116</f>
        <v>850.5</v>
      </c>
    </row>
    <row r="136" spans="2:5">
      <c r="B136" s="88"/>
      <c r="C136" s="88"/>
      <c r="D136" s="174" t="s">
        <v>59</v>
      </c>
      <c r="E136" s="68">
        <f>SUM(E137:E145)</f>
        <v>-20060.3</v>
      </c>
    </row>
    <row r="137" spans="2:5" ht="16.149999999999999" customHeight="1">
      <c r="B137" s="467"/>
      <c r="C137" s="467"/>
      <c r="D137" s="176" t="str">
        <f>+'Հավելված N 3'!C118</f>
        <v>«Վանաձորի Րաֆֆու անվան թիվ 19 դպրոց» ՊՈԱԿ</v>
      </c>
      <c r="E137" s="51">
        <f>+'Հավելված N 3'!D118</f>
        <v>-13006.9</v>
      </c>
    </row>
    <row r="138" spans="2:5" ht="16.149999999999999" customHeight="1">
      <c r="B138" s="467"/>
      <c r="C138" s="467"/>
      <c r="D138" s="176" t="str">
        <f>+'Հավելված N 3'!C119</f>
        <v>«Ստեփանավանի թիվ 3 հիմնական դպրոց» ՊՈԱԿ</v>
      </c>
      <c r="E138" s="51">
        <f>+'Հավելված N 3'!D119</f>
        <v>-13006.9</v>
      </c>
    </row>
    <row r="139" spans="2:5" ht="16.149999999999999" customHeight="1">
      <c r="B139" s="467"/>
      <c r="C139" s="467"/>
      <c r="D139" s="176" t="str">
        <f>+'Հավելված N 3'!C120</f>
        <v>«Վանաձորի Ղևոնդ Ալիշանի անվան N 27 հիմնական դպրոց» ՊՈԱԿ</v>
      </c>
      <c r="E139" s="51">
        <f>+'Հավելված N 3'!D120</f>
        <v>850.5</v>
      </c>
    </row>
    <row r="140" spans="2:5" ht="16.149999999999999" customHeight="1">
      <c r="B140" s="467"/>
      <c r="C140" s="467"/>
      <c r="D140" s="176" t="str">
        <f>+'Հավելված N 3'!C121</f>
        <v>«Վանաձորի Խ. Աբովյանի անվան թիվ 9 հիմնական դպրոց» ՊՈԱԿ</v>
      </c>
      <c r="E140" s="51">
        <f>+'Հավելված N 3'!D121</f>
        <v>850.5</v>
      </c>
    </row>
    <row r="141" spans="2:5" ht="34.5">
      <c r="B141" s="467"/>
      <c r="C141" s="467"/>
      <c r="D141" s="176" t="str">
        <f>+'Հավելված N 3'!C122</f>
        <v>«Վանաձորի Ծովակալ Իսակովի անվան թիվ 23 հիմնական դպրոց ՊՈԱԿ</v>
      </c>
      <c r="E141" s="51">
        <f>+'Հավելված N 3'!D122</f>
        <v>850.5</v>
      </c>
    </row>
    <row r="142" spans="2:5" ht="16.149999999999999" customHeight="1">
      <c r="B142" s="467"/>
      <c r="C142" s="467"/>
      <c r="D142" s="176" t="str">
        <f>+'Հավելված N 3'!C123</f>
        <v>Ստեփանավանի N1 վարժարան ՊՈԱԿ</v>
      </c>
      <c r="E142" s="51">
        <f>+'Հավելված N 3'!D123</f>
        <v>850.5</v>
      </c>
    </row>
    <row r="143" spans="2:5" ht="16.149999999999999" customHeight="1">
      <c r="B143" s="467"/>
      <c r="C143" s="467"/>
      <c r="D143" s="176" t="str">
        <f>+'Հավելված N 3'!C124</f>
        <v>«Ագարակի միջնակարգ դպրոց» ՊՈԱԿ</v>
      </c>
      <c r="E143" s="51">
        <f>+'Հավելված N 3'!D124</f>
        <v>850.5</v>
      </c>
    </row>
    <row r="144" spans="2:5" ht="16.149999999999999" customHeight="1">
      <c r="B144" s="467"/>
      <c r="C144" s="467"/>
      <c r="D144" s="176" t="str">
        <f>+'Հավելված N 3'!C125</f>
        <v>«Վարդաբլուրի միջնակարգ դպրոց» ՊՈԱԿ</v>
      </c>
      <c r="E144" s="51">
        <f>+'Հավելված N 3'!D125</f>
        <v>850.5</v>
      </c>
    </row>
    <row r="145" spans="2:5" ht="16.149999999999999" customHeight="1">
      <c r="B145" s="467"/>
      <c r="C145" s="467"/>
      <c r="D145" s="176" t="str">
        <f>+'Հավելված N 3'!C126</f>
        <v>«Ալավերդու թիվ 12 հիմնական դպրոց» ՊՈԱԿ-ի մարզադահլիճի վերակառուցում</v>
      </c>
      <c r="E145" s="51">
        <f>+'Հավելված N 3'!D126</f>
        <v>850.5</v>
      </c>
    </row>
    <row r="146" spans="2:5">
      <c r="B146" s="88"/>
      <c r="C146" s="88"/>
      <c r="D146" s="174" t="s">
        <v>125</v>
      </c>
      <c r="E146" s="68">
        <f>SUM(E147:E148)</f>
        <v>-38601.300000000003</v>
      </c>
    </row>
    <row r="147" spans="2:5" ht="16.149999999999999" customHeight="1">
      <c r="B147" s="467"/>
      <c r="C147" s="467"/>
      <c r="D147" s="176" t="str">
        <f>+'Հավելված N 3'!C128</f>
        <v>«Հրազդանի թիվ 2 հիմնական դպրոց» ՊՈԱԿ</v>
      </c>
      <c r="E147" s="51">
        <f>+'Հավելված N 3'!D128</f>
        <v>-13482.9</v>
      </c>
    </row>
    <row r="148" spans="2:5" ht="16.149999999999999" customHeight="1">
      <c r="B148" s="467"/>
      <c r="C148" s="467"/>
      <c r="D148" s="176" t="str">
        <f>+'Հավելված N 3'!C129</f>
        <v>«ք. Աբովյանի թիվ 2 հիմնական դպրոց»</v>
      </c>
      <c r="E148" s="51">
        <f>+'Հավելված N 3'!D129</f>
        <v>-25118.400000000001</v>
      </c>
    </row>
    <row r="149" spans="2:5">
      <c r="B149" s="88"/>
      <c r="C149" s="88"/>
      <c r="D149" s="174" t="s">
        <v>264</v>
      </c>
      <c r="E149" s="68">
        <f>+E150</f>
        <v>-21796.799999999999</v>
      </c>
    </row>
    <row r="150" spans="2:5" ht="16.149999999999999" customHeight="1">
      <c r="B150" s="181"/>
      <c r="C150" s="181"/>
      <c r="D150" s="176" t="str">
        <f>+'Հավելված N 3'!C131</f>
        <v>«Ազատանի միջնակարգ դպրոց» ՊՈԱԿ</v>
      </c>
      <c r="E150" s="51">
        <f>+'Հավելված N 3'!D131</f>
        <v>-21796.799999999999</v>
      </c>
    </row>
    <row r="151" spans="2:5">
      <c r="B151" s="88"/>
      <c r="C151" s="88"/>
      <c r="D151" s="174" t="s">
        <v>126</v>
      </c>
      <c r="E151" s="68">
        <f>+E152</f>
        <v>850.5</v>
      </c>
    </row>
    <row r="152" spans="2:5" ht="16.149999999999999" customHeight="1">
      <c r="B152" s="181"/>
      <c r="C152" s="181"/>
      <c r="D152" s="176" t="str">
        <f>+'Հավելված N 3'!C133</f>
        <v>«Շատինի միջնակարգ դպրոց» ՊՈԱԿ</v>
      </c>
      <c r="E152" s="51">
        <f>+'Հավելված N 3'!D133</f>
        <v>850.5</v>
      </c>
    </row>
  </sheetData>
  <mergeCells count="28">
    <mergeCell ref="B147:B148"/>
    <mergeCell ref="C147:C148"/>
    <mergeCell ref="C92:C93"/>
    <mergeCell ref="B92:B93"/>
    <mergeCell ref="B132:B135"/>
    <mergeCell ref="C132:C135"/>
    <mergeCell ref="B137:B145"/>
    <mergeCell ref="C137:C145"/>
    <mergeCell ref="B105:B115"/>
    <mergeCell ref="C105:C115"/>
    <mergeCell ref="B117:B118"/>
    <mergeCell ref="C117:C118"/>
    <mergeCell ref="B120:B130"/>
    <mergeCell ref="C120:C130"/>
    <mergeCell ref="C1:E1"/>
    <mergeCell ref="C2:E2"/>
    <mergeCell ref="C3:E3"/>
    <mergeCell ref="C18:C20"/>
    <mergeCell ref="B18:B20"/>
    <mergeCell ref="B6:E6"/>
    <mergeCell ref="B9:C9"/>
    <mergeCell ref="D9:D10"/>
    <mergeCell ref="C24:C25"/>
    <mergeCell ref="B24:B25"/>
    <mergeCell ref="C35:C37"/>
    <mergeCell ref="B35:B37"/>
    <mergeCell ref="C43:C46"/>
    <mergeCell ref="B43:B46"/>
  </mergeCells>
  <pageMargins left="0.25" right="0.25" top="0.75" bottom="0.75" header="0.3" footer="0.3"/>
  <pageSetup paperSize="9" scale="51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opLeftCell="A6" zoomScale="66" zoomScaleNormal="55" workbookViewId="0">
      <selection activeCell="C21" sqref="C21"/>
    </sheetView>
  </sheetViews>
  <sheetFormatPr defaultColWidth="8.28515625" defaultRowHeight="17.25"/>
  <cols>
    <col min="1" max="1" width="9.7109375" style="1" customWidth="1"/>
    <col min="2" max="2" width="14.28515625" style="1" bestFit="1" customWidth="1"/>
    <col min="3" max="3" width="68.42578125" style="1" customWidth="1"/>
    <col min="4" max="4" width="20.28515625" style="1" bestFit="1" customWidth="1"/>
    <col min="5" max="5" width="20" style="1" bestFit="1" customWidth="1"/>
    <col min="6" max="6" width="19.85546875" style="1" bestFit="1" customWidth="1"/>
    <col min="7" max="7" width="13.7109375" style="1" customWidth="1"/>
    <col min="8" max="8" width="16.140625" style="1" bestFit="1" customWidth="1"/>
    <col min="9" max="16384" width="8.28515625" style="1"/>
  </cols>
  <sheetData>
    <row r="1" spans="1:10" s="41" customFormat="1" ht="25.5" customHeight="1">
      <c r="D1" s="354"/>
      <c r="E1" s="469" t="s">
        <v>491</v>
      </c>
      <c r="F1" s="469"/>
    </row>
    <row r="2" spans="1:10" s="42" customFormat="1" ht="17.850000000000001" customHeight="1">
      <c r="D2" s="355"/>
      <c r="E2" s="1" t="s">
        <v>71</v>
      </c>
      <c r="F2" s="1"/>
    </row>
    <row r="3" spans="1:10" s="42" customFormat="1" ht="15.6" customHeight="1">
      <c r="D3" s="375"/>
      <c r="E3" s="470" t="s">
        <v>6</v>
      </c>
      <c r="F3" s="470"/>
    </row>
    <row r="4" spans="1:10" s="42" customFormat="1" ht="13.7" customHeight="1"/>
    <row r="5" spans="1:10" s="42" customFormat="1" ht="13.7" customHeight="1"/>
    <row r="6" spans="1:10" s="42" customFormat="1" ht="85.7" customHeight="1">
      <c r="A6" s="464" t="s">
        <v>483</v>
      </c>
      <c r="B6" s="464"/>
      <c r="C6" s="464"/>
      <c r="D6" s="464"/>
      <c r="E6" s="464"/>
      <c r="F6" s="464"/>
    </row>
    <row r="8" spans="1:10">
      <c r="F8" s="356" t="s">
        <v>15</v>
      </c>
    </row>
    <row r="9" spans="1:10" s="14" customFormat="1" ht="17.649999999999999" customHeight="1">
      <c r="A9" s="473" t="s">
        <v>8</v>
      </c>
      <c r="B9" s="474"/>
      <c r="C9" s="394" t="s">
        <v>11</v>
      </c>
      <c r="D9" s="479"/>
      <c r="E9" s="479"/>
      <c r="F9" s="480"/>
    </row>
    <row r="10" spans="1:10" s="14" customFormat="1">
      <c r="A10" s="475"/>
      <c r="B10" s="476"/>
      <c r="C10" s="395"/>
      <c r="D10" s="481" t="s">
        <v>477</v>
      </c>
      <c r="E10" s="479"/>
      <c r="F10" s="480"/>
    </row>
    <row r="11" spans="1:10" s="14" customFormat="1" ht="38.65" customHeight="1">
      <c r="A11" s="477"/>
      <c r="B11" s="478"/>
      <c r="C11" s="396"/>
      <c r="D11" s="405" t="s">
        <v>478</v>
      </c>
      <c r="E11" s="471" t="s">
        <v>12</v>
      </c>
      <c r="F11" s="472"/>
    </row>
    <row r="12" spans="1:10" s="14" customFormat="1" ht="37.15" customHeight="1">
      <c r="A12" s="122" t="s">
        <v>20</v>
      </c>
      <c r="B12" s="122" t="s">
        <v>90</v>
      </c>
      <c r="C12" s="161"/>
      <c r="D12" s="406"/>
      <c r="E12" s="122" t="s">
        <v>479</v>
      </c>
      <c r="F12" s="122" t="s">
        <v>480</v>
      </c>
      <c r="H12" s="357"/>
      <c r="I12" s="357"/>
      <c r="J12" s="357"/>
    </row>
    <row r="13" spans="1:10" s="362" customFormat="1">
      <c r="A13" s="358"/>
      <c r="B13" s="358"/>
      <c r="C13" s="359" t="s">
        <v>14</v>
      </c>
      <c r="D13" s="360">
        <f t="shared" ref="D13" si="0">+E13+F13</f>
        <v>24427</v>
      </c>
      <c r="E13" s="361">
        <f>+E15</f>
        <v>0</v>
      </c>
      <c r="F13" s="361">
        <f>+F15</f>
        <v>24427</v>
      </c>
    </row>
    <row r="14" spans="1:10" s="365" customFormat="1" ht="16.5">
      <c r="A14" s="363"/>
      <c r="B14" s="363"/>
      <c r="C14" s="363" t="s">
        <v>12</v>
      </c>
      <c r="D14" s="364"/>
      <c r="E14" s="364"/>
      <c r="F14" s="364"/>
    </row>
    <row r="15" spans="1:10" s="365" customFormat="1">
      <c r="A15" s="363"/>
      <c r="B15" s="363"/>
      <c r="C15" s="366" t="s">
        <v>168</v>
      </c>
      <c r="D15" s="367">
        <f t="shared" ref="D15:D16" si="1">+E15+F15</f>
        <v>24427</v>
      </c>
      <c r="E15" s="368">
        <f>+E16</f>
        <v>0</v>
      </c>
      <c r="F15" s="368">
        <f>+F16</f>
        <v>24427</v>
      </c>
    </row>
    <row r="16" spans="1:10" s="365" customFormat="1" ht="33">
      <c r="A16" s="363"/>
      <c r="B16" s="363"/>
      <c r="C16" s="366" t="s">
        <v>481</v>
      </c>
      <c r="D16" s="367">
        <f t="shared" si="1"/>
        <v>24427</v>
      </c>
      <c r="E16" s="368">
        <f>+E18</f>
        <v>0</v>
      </c>
      <c r="F16" s="368">
        <f>+F18</f>
        <v>24427</v>
      </c>
    </row>
    <row r="17" spans="1:6" s="365" customFormat="1" ht="16.5">
      <c r="A17" s="363"/>
      <c r="B17" s="363"/>
      <c r="C17" s="363" t="s">
        <v>12</v>
      </c>
      <c r="D17" s="364"/>
      <c r="E17" s="364"/>
      <c r="F17" s="364"/>
    </row>
    <row r="18" spans="1:6" s="369" customFormat="1">
      <c r="A18" s="98">
        <v>1192</v>
      </c>
      <c r="B18" s="98"/>
      <c r="C18" s="98" t="s">
        <v>484</v>
      </c>
      <c r="D18" s="367">
        <f t="shared" ref="D18" si="2">+E18+F18</f>
        <v>24427</v>
      </c>
      <c r="E18" s="367">
        <f>+E20</f>
        <v>0</v>
      </c>
      <c r="F18" s="367">
        <f>+F20</f>
        <v>24427</v>
      </c>
    </row>
    <row r="19" spans="1:6" s="14" customFormat="1">
      <c r="A19" s="93"/>
      <c r="B19" s="93"/>
      <c r="C19" s="93" t="s">
        <v>12</v>
      </c>
      <c r="D19" s="93"/>
      <c r="E19" s="93"/>
      <c r="F19" s="93"/>
    </row>
    <row r="20" spans="1:6" s="372" customFormat="1" ht="51.75">
      <c r="A20" s="122"/>
      <c r="B20" s="122" t="s">
        <v>485</v>
      </c>
      <c r="C20" s="93" t="s">
        <v>486</v>
      </c>
      <c r="D20" s="370">
        <f t="shared" ref="D20" si="3">+E20+F20</f>
        <v>24427</v>
      </c>
      <c r="E20" s="371">
        <f>+E22</f>
        <v>0</v>
      </c>
      <c r="F20" s="371">
        <f>+F22</f>
        <v>24427</v>
      </c>
    </row>
    <row r="21" spans="1:6" s="14" customFormat="1">
      <c r="A21" s="93"/>
      <c r="B21" s="93"/>
      <c r="C21" s="93" t="s">
        <v>22</v>
      </c>
      <c r="D21" s="93"/>
      <c r="E21" s="93"/>
      <c r="F21" s="93"/>
    </row>
    <row r="22" spans="1:6" s="14" customFormat="1" ht="34.5">
      <c r="A22" s="93"/>
      <c r="B22" s="93"/>
      <c r="C22" s="103" t="s">
        <v>487</v>
      </c>
      <c r="D22" s="373">
        <f t="shared" ref="D22" si="4">+E22+F22</f>
        <v>24427</v>
      </c>
      <c r="E22" s="374">
        <f>+E24</f>
        <v>0</v>
      </c>
      <c r="F22" s="374">
        <f>+F24</f>
        <v>24427</v>
      </c>
    </row>
    <row r="23" spans="1:6" s="14" customFormat="1" ht="34.5">
      <c r="A23" s="93"/>
      <c r="B23" s="93"/>
      <c r="C23" s="93" t="s">
        <v>482</v>
      </c>
      <c r="D23" s="93"/>
      <c r="E23" s="93"/>
      <c r="F23" s="93"/>
    </row>
    <row r="24" spans="1:6" s="372" customFormat="1">
      <c r="A24" s="122"/>
      <c r="B24" s="122"/>
      <c r="C24" s="122" t="s">
        <v>13</v>
      </c>
      <c r="D24" s="370">
        <f t="shared" ref="D24:D27" si="5">+E24+F24</f>
        <v>24427</v>
      </c>
      <c r="E24" s="371">
        <f t="shared" ref="E24:F27" si="6">+E25</f>
        <v>0</v>
      </c>
      <c r="F24" s="371">
        <f t="shared" si="6"/>
        <v>24427</v>
      </c>
    </row>
    <row r="25" spans="1:6" s="14" customFormat="1">
      <c r="A25" s="93"/>
      <c r="B25" s="93"/>
      <c r="C25" s="93" t="s">
        <v>63</v>
      </c>
      <c r="D25" s="114">
        <f t="shared" si="5"/>
        <v>24427</v>
      </c>
      <c r="E25" s="114">
        <f t="shared" si="6"/>
        <v>0</v>
      </c>
      <c r="F25" s="114">
        <f t="shared" si="6"/>
        <v>24427</v>
      </c>
    </row>
    <row r="26" spans="1:6" s="14" customFormat="1">
      <c r="A26" s="93"/>
      <c r="B26" s="93"/>
      <c r="C26" s="93" t="s">
        <v>64</v>
      </c>
      <c r="D26" s="114">
        <f t="shared" si="5"/>
        <v>24427</v>
      </c>
      <c r="E26" s="114">
        <f t="shared" si="6"/>
        <v>0</v>
      </c>
      <c r="F26" s="114">
        <f t="shared" si="6"/>
        <v>24427</v>
      </c>
    </row>
    <row r="27" spans="1:6" s="14" customFormat="1" ht="34.5">
      <c r="A27" s="93"/>
      <c r="B27" s="93"/>
      <c r="C27" s="93" t="s">
        <v>488</v>
      </c>
      <c r="D27" s="114">
        <f t="shared" si="5"/>
        <v>24427</v>
      </c>
      <c r="E27" s="114">
        <f t="shared" si="6"/>
        <v>0</v>
      </c>
      <c r="F27" s="114">
        <f t="shared" si="6"/>
        <v>24427</v>
      </c>
    </row>
    <row r="28" spans="1:6" s="14" customFormat="1">
      <c r="A28" s="93"/>
      <c r="B28" s="93"/>
      <c r="C28" s="93" t="s">
        <v>489</v>
      </c>
      <c r="D28" s="114">
        <f>+E28+F28</f>
        <v>24427</v>
      </c>
      <c r="E28" s="114"/>
      <c r="F28" s="114">
        <v>24427</v>
      </c>
    </row>
  </sheetData>
  <mergeCells count="9">
    <mergeCell ref="E1:F1"/>
    <mergeCell ref="E3:F3"/>
    <mergeCell ref="A6:F6"/>
    <mergeCell ref="D11:D12"/>
    <mergeCell ref="E11:F11"/>
    <mergeCell ref="A9:B11"/>
    <mergeCell ref="C9:C11"/>
    <mergeCell ref="D9:F9"/>
    <mergeCell ref="D10:F10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31"/>
  <sheetViews>
    <sheetView zoomScale="70" zoomScaleNormal="70" workbookViewId="0">
      <selection activeCell="H8" sqref="H8"/>
    </sheetView>
  </sheetViews>
  <sheetFormatPr defaultColWidth="9.140625" defaultRowHeight="17.25"/>
  <cols>
    <col min="1" max="1" width="9.85546875" style="63" customWidth="1"/>
    <col min="2" max="2" width="13.140625" style="63" customWidth="1"/>
    <col min="3" max="3" width="8" style="63" customWidth="1"/>
    <col min="4" max="4" width="7.7109375" style="63" customWidth="1"/>
    <col min="5" max="5" width="39.140625" style="63" customWidth="1"/>
    <col min="6" max="6" width="50.140625" style="63" customWidth="1"/>
    <col min="7" max="7" width="35" style="63" customWidth="1"/>
    <col min="8" max="8" width="32.28515625" style="63" customWidth="1"/>
    <col min="9" max="10" width="9.140625" style="63"/>
    <col min="11" max="11" width="12.140625" style="63" customWidth="1"/>
    <col min="12" max="16384" width="9.140625" style="63"/>
  </cols>
  <sheetData>
    <row r="1" spans="1:30" s="89" customFormat="1" ht="25.35" customHeight="1">
      <c r="F1" s="497" t="s">
        <v>135</v>
      </c>
      <c r="G1" s="497"/>
      <c r="AB1" s="497"/>
      <c r="AC1" s="497"/>
      <c r="AD1" s="497"/>
    </row>
    <row r="2" spans="1:30" s="1" customFormat="1">
      <c r="F2" s="470" t="s">
        <v>71</v>
      </c>
      <c r="G2" s="470"/>
      <c r="AA2" s="470"/>
      <c r="AB2" s="470"/>
      <c r="AC2" s="470"/>
      <c r="AD2" s="470"/>
    </row>
    <row r="3" spans="1:30" s="1" customFormat="1" ht="16.149999999999999" customHeight="1">
      <c r="F3" s="470" t="s">
        <v>6</v>
      </c>
      <c r="G3" s="470"/>
      <c r="Y3" s="470"/>
      <c r="Z3" s="470"/>
      <c r="AA3" s="470"/>
      <c r="AB3" s="470"/>
      <c r="AC3" s="470"/>
      <c r="AD3" s="470"/>
    </row>
    <row r="4" spans="1:30" s="1" customFormat="1">
      <c r="F4" s="58"/>
      <c r="G4" s="58"/>
      <c r="H4" s="58"/>
    </row>
    <row r="5" spans="1:30" s="1" customFormat="1" ht="16.149999999999999" customHeight="1">
      <c r="F5" s="58"/>
      <c r="G5" s="58"/>
      <c r="H5" s="58"/>
    </row>
    <row r="6" spans="1:30" s="1" customFormat="1" ht="67.7" customHeight="1">
      <c r="A6" s="488" t="s">
        <v>245</v>
      </c>
      <c r="B6" s="488"/>
      <c r="C6" s="488"/>
      <c r="D6" s="488"/>
      <c r="E6" s="488"/>
      <c r="F6" s="488"/>
      <c r="G6" s="488"/>
      <c r="H6" s="61"/>
    </row>
    <row r="7" spans="1:30" s="1" customFormat="1" ht="21" customHeight="1">
      <c r="A7" s="489" t="s">
        <v>60</v>
      </c>
      <c r="B7" s="489"/>
      <c r="C7" s="489"/>
      <c r="D7" s="489"/>
      <c r="E7" s="489"/>
      <c r="F7" s="489"/>
      <c r="G7" s="489"/>
      <c r="H7" s="61"/>
    </row>
    <row r="8" spans="1:30" ht="69">
      <c r="A8" s="490" t="s">
        <v>8</v>
      </c>
      <c r="B8" s="490"/>
      <c r="C8" s="59"/>
      <c r="D8" s="491" t="s">
        <v>11</v>
      </c>
      <c r="E8" s="492"/>
      <c r="F8" s="495" t="s">
        <v>61</v>
      </c>
      <c r="G8" s="59" t="s">
        <v>27</v>
      </c>
    </row>
    <row r="9" spans="1:30" s="65" customFormat="1" ht="51.75">
      <c r="A9" s="59" t="s">
        <v>10</v>
      </c>
      <c r="B9" s="59" t="s">
        <v>21</v>
      </c>
      <c r="C9" s="59"/>
      <c r="D9" s="493"/>
      <c r="E9" s="494"/>
      <c r="F9" s="496"/>
      <c r="G9" s="59" t="s">
        <v>9</v>
      </c>
    </row>
    <row r="10" spans="1:30" s="65" customFormat="1" ht="31.7" customHeight="1">
      <c r="A10" s="498" t="s">
        <v>18</v>
      </c>
      <c r="B10" s="499"/>
      <c r="C10" s="499"/>
      <c r="D10" s="499"/>
      <c r="E10" s="499"/>
      <c r="F10" s="500"/>
      <c r="G10" s="37">
        <f>+G11+G15+G18+G22</f>
        <v>55953.7</v>
      </c>
      <c r="H10" s="66"/>
    </row>
    <row r="11" spans="1:30" ht="24" customHeight="1">
      <c r="A11" s="154">
        <v>1045</v>
      </c>
      <c r="B11" s="482" t="s">
        <v>220</v>
      </c>
      <c r="C11" s="483"/>
      <c r="D11" s="483"/>
      <c r="E11" s="483"/>
      <c r="F11" s="484"/>
      <c r="G11" s="237">
        <f>+G12</f>
        <v>10078.200000000001</v>
      </c>
    </row>
    <row r="12" spans="1:30" ht="69" customHeight="1">
      <c r="A12" s="109"/>
      <c r="B12" s="154">
        <v>32001</v>
      </c>
      <c r="C12" s="485" t="s">
        <v>149</v>
      </c>
      <c r="D12" s="486"/>
      <c r="E12" s="487"/>
      <c r="F12" s="156"/>
      <c r="G12" s="157">
        <f>+G13</f>
        <v>10078.200000000001</v>
      </c>
      <c r="H12" s="384"/>
    </row>
    <row r="13" spans="1:30" ht="34.5">
      <c r="A13" s="109"/>
      <c r="B13" s="154"/>
      <c r="C13" s="109"/>
      <c r="D13" s="158"/>
      <c r="E13" s="158"/>
      <c r="F13" s="156" t="s">
        <v>18</v>
      </c>
      <c r="G13" s="238">
        <f>+G14</f>
        <v>10078.200000000001</v>
      </c>
      <c r="H13" s="384"/>
    </row>
    <row r="14" spans="1:30" ht="34.5">
      <c r="A14" s="109"/>
      <c r="B14" s="109"/>
      <c r="C14" s="109"/>
      <c r="D14" s="158"/>
      <c r="E14" s="158"/>
      <c r="F14" s="64" t="s">
        <v>415</v>
      </c>
      <c r="G14" s="159">
        <v>10078.200000000001</v>
      </c>
      <c r="I14" s="239"/>
    </row>
    <row r="15" spans="1:30" ht="24" customHeight="1">
      <c r="A15" s="154">
        <v>1075</v>
      </c>
      <c r="B15" s="482" t="s">
        <v>136</v>
      </c>
      <c r="C15" s="483"/>
      <c r="D15" s="483"/>
      <c r="E15" s="483"/>
      <c r="F15" s="484"/>
      <c r="G15" s="155">
        <f>+G16</f>
        <v>3888.3</v>
      </c>
    </row>
    <row r="16" spans="1:30" ht="34.5">
      <c r="A16" s="109"/>
      <c r="B16" s="154">
        <v>32001</v>
      </c>
      <c r="C16" s="485" t="s">
        <v>160</v>
      </c>
      <c r="D16" s="486"/>
      <c r="E16" s="487"/>
      <c r="F16" s="156" t="s">
        <v>18</v>
      </c>
      <c r="G16" s="385">
        <f>+G17</f>
        <v>3888.3</v>
      </c>
      <c r="H16" s="67"/>
    </row>
    <row r="17" spans="1:9" ht="51.75">
      <c r="A17" s="109"/>
      <c r="B17" s="109"/>
      <c r="C17" s="109"/>
      <c r="D17" s="218"/>
      <c r="E17" s="116"/>
      <c r="F17" s="127" t="s">
        <v>346</v>
      </c>
      <c r="G17" s="386">
        <f>1988.3+1900</f>
        <v>3888.3</v>
      </c>
    </row>
    <row r="18" spans="1:9" ht="24" customHeight="1">
      <c r="A18" s="154">
        <v>1168</v>
      </c>
      <c r="B18" s="482" t="s">
        <v>290</v>
      </c>
      <c r="C18" s="483"/>
      <c r="D18" s="483"/>
      <c r="E18" s="483"/>
      <c r="F18" s="484"/>
      <c r="G18" s="237">
        <f>+G19</f>
        <v>10047.4</v>
      </c>
    </row>
    <row r="19" spans="1:9" ht="73.7" customHeight="1">
      <c r="A19" s="109"/>
      <c r="B19" s="154">
        <v>32001</v>
      </c>
      <c r="C19" s="485" t="s">
        <v>291</v>
      </c>
      <c r="D19" s="486"/>
      <c r="E19" s="487"/>
      <c r="F19" s="156"/>
      <c r="G19" s="157">
        <f>+G20</f>
        <v>10047.4</v>
      </c>
    </row>
    <row r="20" spans="1:9" ht="34.5">
      <c r="A20" s="109"/>
      <c r="B20" s="154"/>
      <c r="C20" s="109"/>
      <c r="D20" s="158"/>
      <c r="E20" s="158"/>
      <c r="F20" s="156" t="s">
        <v>18</v>
      </c>
      <c r="G20" s="238">
        <f>+G21</f>
        <v>10047.4</v>
      </c>
    </row>
    <row r="21" spans="1:9" ht="34.5">
      <c r="A21" s="109"/>
      <c r="B21" s="109"/>
      <c r="C21" s="109"/>
      <c r="D21" s="158"/>
      <c r="E21" s="158"/>
      <c r="F21" s="64" t="s">
        <v>292</v>
      </c>
      <c r="G21" s="159">
        <v>10047.4</v>
      </c>
      <c r="I21" s="239"/>
    </row>
    <row r="22" spans="1:9" ht="24" customHeight="1">
      <c r="A22" s="154">
        <v>1183</v>
      </c>
      <c r="B22" s="482" t="s">
        <v>120</v>
      </c>
      <c r="C22" s="483"/>
      <c r="D22" s="483"/>
      <c r="E22" s="483"/>
      <c r="F22" s="484"/>
      <c r="G22" s="237">
        <f>+G23+G26</f>
        <v>31939.8</v>
      </c>
    </row>
    <row r="23" spans="1:9" ht="73.7" customHeight="1">
      <c r="A23" s="109"/>
      <c r="B23" s="154">
        <v>11002</v>
      </c>
      <c r="C23" s="485" t="s">
        <v>344</v>
      </c>
      <c r="D23" s="486"/>
      <c r="E23" s="487"/>
      <c r="F23" s="156"/>
      <c r="G23" s="157">
        <f>+G24</f>
        <v>30000</v>
      </c>
    </row>
    <row r="24" spans="1:9" ht="34.5">
      <c r="A24" s="109"/>
      <c r="B24" s="154"/>
      <c r="C24" s="109"/>
      <c r="D24" s="158"/>
      <c r="E24" s="158"/>
      <c r="F24" s="156" t="s">
        <v>18</v>
      </c>
      <c r="G24" s="238">
        <f>+G25</f>
        <v>30000</v>
      </c>
    </row>
    <row r="25" spans="1:9">
      <c r="A25" s="109"/>
      <c r="B25" s="109"/>
      <c r="C25" s="109"/>
      <c r="D25" s="158"/>
      <c r="E25" s="158"/>
      <c r="F25" s="64" t="s">
        <v>345</v>
      </c>
      <c r="G25" s="159">
        <v>30000</v>
      </c>
      <c r="I25" s="239"/>
    </row>
    <row r="26" spans="1:9" ht="73.7" customHeight="1">
      <c r="A26" s="109"/>
      <c r="B26" s="154">
        <v>32001</v>
      </c>
      <c r="C26" s="485" t="s">
        <v>508</v>
      </c>
      <c r="D26" s="486"/>
      <c r="E26" s="487"/>
      <c r="F26" s="156"/>
      <c r="G26" s="157">
        <f>+G27</f>
        <v>1939.8</v>
      </c>
    </row>
    <row r="27" spans="1:9" ht="34.5">
      <c r="A27" s="109"/>
      <c r="B27" s="154"/>
      <c r="C27" s="109"/>
      <c r="D27" s="158"/>
      <c r="E27" s="158"/>
      <c r="F27" s="156" t="s">
        <v>424</v>
      </c>
      <c r="G27" s="238">
        <f>+G28</f>
        <v>1939.8</v>
      </c>
    </row>
    <row r="28" spans="1:9" ht="34.5">
      <c r="A28" s="109"/>
      <c r="B28" s="109"/>
      <c r="C28" s="109"/>
      <c r="D28" s="158"/>
      <c r="E28" s="158"/>
      <c r="F28" s="64" t="s">
        <v>509</v>
      </c>
      <c r="G28" s="159">
        <v>1939.8</v>
      </c>
      <c r="I28" s="239"/>
    </row>
    <row r="29" spans="1:9" s="390" customFormat="1"/>
    <row r="30" spans="1:9" s="390" customFormat="1"/>
    <row r="31" spans="1:9" s="390" customFormat="1"/>
  </sheetData>
  <mergeCells count="21">
    <mergeCell ref="A10:F10"/>
    <mergeCell ref="B15:F15"/>
    <mergeCell ref="B11:F11"/>
    <mergeCell ref="C12:E12"/>
    <mergeCell ref="C16:E16"/>
    <mergeCell ref="AB1:AD1"/>
    <mergeCell ref="F2:G2"/>
    <mergeCell ref="AA2:AD2"/>
    <mergeCell ref="F3:G3"/>
    <mergeCell ref="Y3:AD3"/>
    <mergeCell ref="F1:G1"/>
    <mergeCell ref="A6:G6"/>
    <mergeCell ref="A7:G7"/>
    <mergeCell ref="A8:B8"/>
    <mergeCell ref="D8:E9"/>
    <mergeCell ref="F8:F9"/>
    <mergeCell ref="B22:F22"/>
    <mergeCell ref="C23:E23"/>
    <mergeCell ref="B18:F18"/>
    <mergeCell ref="C19:E19"/>
    <mergeCell ref="C26:E26"/>
  </mergeCells>
  <pageMargins left="0.25" right="0.25" top="0.75" bottom="0.75" header="0.3" footer="0.3"/>
  <pageSetup paperSize="9" scale="28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zoomScale="85" zoomScaleNormal="85" workbookViewId="0">
      <selection activeCell="D15" sqref="D15"/>
    </sheetView>
  </sheetViews>
  <sheetFormatPr defaultColWidth="9.140625" defaultRowHeight="17.25"/>
  <cols>
    <col min="1" max="1" width="12.42578125" style="343" customWidth="1"/>
    <col min="2" max="2" width="14" style="343" customWidth="1"/>
    <col min="3" max="3" width="88.7109375" style="343" customWidth="1"/>
    <col min="4" max="4" width="22.7109375" style="343" customWidth="1"/>
    <col min="5" max="16384" width="9.140625" style="343"/>
  </cols>
  <sheetData>
    <row r="1" spans="1:4" s="65" customFormat="1" ht="25.15" customHeight="1">
      <c r="A1" s="340"/>
      <c r="B1" s="341"/>
      <c r="C1" s="342"/>
      <c r="D1" s="342" t="s">
        <v>248</v>
      </c>
    </row>
    <row r="2" spans="1:4" s="65" customFormat="1">
      <c r="A2" s="340"/>
      <c r="B2" s="341"/>
      <c r="C2" s="341"/>
      <c r="D2" s="341" t="s">
        <v>78</v>
      </c>
    </row>
    <row r="3" spans="1:4" s="65" customFormat="1">
      <c r="A3" s="340"/>
      <c r="B3" s="341"/>
      <c r="C3" s="341"/>
      <c r="D3" s="341" t="s">
        <v>6</v>
      </c>
    </row>
    <row r="4" spans="1:4" s="65" customFormat="1" ht="27.4" customHeight="1">
      <c r="A4" s="340"/>
      <c r="B4" s="340"/>
      <c r="C4" s="340"/>
      <c r="D4" s="340"/>
    </row>
    <row r="5" spans="1:4" ht="54.4" customHeight="1">
      <c r="A5" s="504" t="s">
        <v>511</v>
      </c>
      <c r="B5" s="504"/>
      <c r="C5" s="504"/>
      <c r="D5" s="504"/>
    </row>
    <row r="6" spans="1:4">
      <c r="A6" s="344"/>
      <c r="B6" s="344"/>
      <c r="C6" s="344"/>
    </row>
    <row r="7" spans="1:4">
      <c r="A7" s="501"/>
      <c r="B7" s="501"/>
      <c r="C7" s="501"/>
    </row>
    <row r="8" spans="1:4" s="345" customFormat="1">
      <c r="A8" s="344"/>
      <c r="B8" s="344"/>
      <c r="C8" s="344"/>
    </row>
    <row r="9" spans="1:4" ht="109.15" customHeight="1">
      <c r="A9" s="502" t="s">
        <v>475</v>
      </c>
      <c r="B9" s="502"/>
      <c r="C9" s="503" t="s">
        <v>476</v>
      </c>
      <c r="D9" s="505" t="s">
        <v>51</v>
      </c>
    </row>
    <row r="10" spans="1:4" ht="34.5">
      <c r="A10" s="346" t="s">
        <v>20</v>
      </c>
      <c r="B10" s="346" t="s">
        <v>21</v>
      </c>
      <c r="C10" s="503"/>
      <c r="D10" s="505"/>
    </row>
    <row r="11" spans="1:4" s="350" customFormat="1">
      <c r="A11" s="348">
        <v>1183</v>
      </c>
      <c r="B11" s="348"/>
      <c r="C11" s="349" t="s">
        <v>120</v>
      </c>
      <c r="D11" s="353">
        <f>+D12</f>
        <v>1939.8</v>
      </c>
    </row>
    <row r="12" spans="1:4" ht="28.9" customHeight="1">
      <c r="A12" s="347"/>
      <c r="B12" s="347">
        <v>32001</v>
      </c>
      <c r="C12" s="351" t="s">
        <v>510</v>
      </c>
      <c r="D12" s="352">
        <f>+'Հավելված N 6'!G27</f>
        <v>1939.8</v>
      </c>
    </row>
    <row r="13" spans="1:4" s="350" customFormat="1" ht="34.5">
      <c r="A13" s="348">
        <v>1236</v>
      </c>
      <c r="B13" s="348"/>
      <c r="C13" s="349" t="s">
        <v>83</v>
      </c>
      <c r="D13" s="353">
        <f>+D14</f>
        <v>-41378.400000000001</v>
      </c>
    </row>
    <row r="14" spans="1:4" ht="28.9" customHeight="1">
      <c r="A14" s="347"/>
      <c r="B14" s="347">
        <v>32002</v>
      </c>
      <c r="C14" s="351" t="s">
        <v>416</v>
      </c>
      <c r="D14" s="352">
        <f>+'Հավելված N 4'!E89</f>
        <v>-41378.400000000001</v>
      </c>
    </row>
  </sheetData>
  <mergeCells count="5">
    <mergeCell ref="A7:C7"/>
    <mergeCell ref="A9:B9"/>
    <mergeCell ref="C9:C10"/>
    <mergeCell ref="A5:D5"/>
    <mergeCell ref="D9:D10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0"/>
  <sheetViews>
    <sheetView topLeftCell="A197" zoomScale="85" zoomScaleNormal="85" zoomScaleSheetLayoutView="100" workbookViewId="0">
      <selection activeCell="C211" sqref="C211"/>
    </sheetView>
  </sheetViews>
  <sheetFormatPr defaultColWidth="9.140625" defaultRowHeight="17.25"/>
  <cols>
    <col min="1" max="1" width="5.28515625" style="1" customWidth="1"/>
    <col min="2" max="2" width="24.5703125" style="1" customWidth="1"/>
    <col min="3" max="3" width="67.85546875" style="1" customWidth="1"/>
    <col min="4" max="4" width="32.7109375" style="1" customWidth="1"/>
    <col min="5" max="5" width="10" style="1" customWidth="1"/>
    <col min="6" max="6" width="49.85546875" style="1" customWidth="1"/>
    <col min="7" max="16384" width="9.140625" style="1"/>
  </cols>
  <sheetData>
    <row r="1" spans="1:4" ht="37.5" customHeight="1">
      <c r="C1" s="445" t="s">
        <v>113</v>
      </c>
      <c r="D1" s="445"/>
    </row>
    <row r="2" spans="1:4" ht="17.649999999999999" customHeight="1">
      <c r="C2" s="446" t="s">
        <v>78</v>
      </c>
      <c r="D2" s="446"/>
    </row>
    <row r="3" spans="1:4" ht="17.649999999999999" customHeight="1">
      <c r="C3" s="446" t="s">
        <v>26</v>
      </c>
      <c r="D3" s="446"/>
    </row>
    <row r="6" spans="1:4" ht="59.65" customHeight="1">
      <c r="A6" s="27"/>
      <c r="B6" s="510" t="s">
        <v>238</v>
      </c>
      <c r="C6" s="510"/>
      <c r="D6" s="510"/>
    </row>
    <row r="7" spans="1:4" ht="23.65" customHeight="1"/>
    <row r="8" spans="1:4" ht="21.95" customHeight="1">
      <c r="A8" s="509" t="s">
        <v>34</v>
      </c>
      <c r="B8" s="509"/>
      <c r="C8" s="509"/>
      <c r="D8" s="509"/>
    </row>
    <row r="9" spans="1:4" ht="38.65" customHeight="1">
      <c r="C9" s="283" t="s">
        <v>28</v>
      </c>
      <c r="D9" s="8"/>
    </row>
    <row r="10" spans="1:4">
      <c r="B10" s="506" t="s">
        <v>7</v>
      </c>
      <c r="C10" s="507"/>
      <c r="D10" s="508"/>
    </row>
    <row r="11" spans="1:4">
      <c r="B11" s="3"/>
      <c r="C11" s="3"/>
      <c r="D11" s="28"/>
    </row>
    <row r="12" spans="1:4">
      <c r="B12" s="3"/>
      <c r="C12" s="3"/>
    </row>
    <row r="13" spans="1:4" s="3" customFormat="1">
      <c r="B13" s="23" t="s">
        <v>35</v>
      </c>
      <c r="C13" s="23" t="s">
        <v>1</v>
      </c>
      <c r="D13" s="22"/>
    </row>
    <row r="14" spans="1:4" s="3" customFormat="1" ht="34.5">
      <c r="B14" s="24">
        <v>1045</v>
      </c>
      <c r="C14" s="18" t="s">
        <v>220</v>
      </c>
      <c r="D14" s="23"/>
    </row>
    <row r="15" spans="1:4" s="3" customFormat="1"/>
    <row r="16" spans="1:4" s="3" customFormat="1">
      <c r="B16" s="512" t="s">
        <v>2</v>
      </c>
      <c r="C16" s="513"/>
      <c r="D16" s="29"/>
    </row>
    <row r="17" spans="2:5" s="3" customFormat="1" ht="96" customHeight="1">
      <c r="B17" s="18" t="s">
        <v>3</v>
      </c>
      <c r="C17" s="21">
        <v>1045</v>
      </c>
      <c r="D17" s="320" t="s">
        <v>51</v>
      </c>
    </row>
    <row r="18" spans="2:5" s="3" customFormat="1" ht="34.5">
      <c r="B18" s="18" t="s">
        <v>4</v>
      </c>
      <c r="C18" s="21">
        <v>32001</v>
      </c>
      <c r="D18" s="9" t="s">
        <v>9</v>
      </c>
    </row>
    <row r="19" spans="2:5" s="3" customFormat="1" ht="51.75">
      <c r="B19" s="93" t="s">
        <v>66</v>
      </c>
      <c r="C19" s="130" t="s">
        <v>221</v>
      </c>
      <c r="D19" s="394"/>
    </row>
    <row r="20" spans="2:5" s="3" customFormat="1" ht="69">
      <c r="B20" s="93" t="s">
        <v>67</v>
      </c>
      <c r="C20" s="130" t="s">
        <v>222</v>
      </c>
      <c r="D20" s="395"/>
    </row>
    <row r="21" spans="2:5" s="3" customFormat="1" ht="51.75">
      <c r="B21" s="93" t="s">
        <v>68</v>
      </c>
      <c r="C21" s="131" t="s">
        <v>86</v>
      </c>
      <c r="D21" s="395"/>
    </row>
    <row r="22" spans="2:5" s="3" customFormat="1" ht="69">
      <c r="B22" s="93" t="s">
        <v>121</v>
      </c>
      <c r="C22" s="214" t="s">
        <v>223</v>
      </c>
      <c r="D22" s="395"/>
    </row>
    <row r="23" spans="2:5" s="3" customFormat="1">
      <c r="B23" s="511" t="s">
        <v>0</v>
      </c>
      <c r="C23" s="472"/>
      <c r="D23" s="396"/>
    </row>
    <row r="24" spans="2:5" s="3" customFormat="1" ht="36" customHeight="1">
      <c r="B24" s="514" t="s">
        <v>224</v>
      </c>
      <c r="C24" s="515"/>
      <c r="D24" s="215">
        <v>1</v>
      </c>
    </row>
    <row r="25" spans="2:5" s="30" customFormat="1">
      <c r="B25" s="11" t="s">
        <v>5</v>
      </c>
      <c r="C25" s="11"/>
      <c r="D25" s="91">
        <f>+'Հավելված N 1'!D23</f>
        <v>-115385.99999999999</v>
      </c>
      <c r="E25" s="31"/>
    </row>
    <row r="27" spans="2:5" s="3" customFormat="1">
      <c r="B27" s="23" t="s">
        <v>35</v>
      </c>
      <c r="C27" s="23" t="s">
        <v>1</v>
      </c>
      <c r="D27" s="22"/>
    </row>
    <row r="28" spans="2:5" s="3" customFormat="1">
      <c r="B28" s="24">
        <v>1075</v>
      </c>
      <c r="C28" s="18" t="s">
        <v>136</v>
      </c>
      <c r="D28" s="23"/>
    </row>
    <row r="29" spans="2:5" s="3" customFormat="1"/>
    <row r="30" spans="2:5" s="3" customFormat="1">
      <c r="B30" s="512" t="s">
        <v>2</v>
      </c>
      <c r="C30" s="513"/>
      <c r="D30" s="29"/>
    </row>
    <row r="31" spans="2:5" s="3" customFormat="1" ht="95.45" customHeight="1">
      <c r="B31" s="18" t="s">
        <v>3</v>
      </c>
      <c r="C31" s="21">
        <v>1075</v>
      </c>
      <c r="D31" s="320" t="s">
        <v>51</v>
      </c>
    </row>
    <row r="32" spans="2:5" s="3" customFormat="1" ht="34.5">
      <c r="B32" s="18" t="s">
        <v>4</v>
      </c>
      <c r="C32" s="21">
        <v>21001</v>
      </c>
      <c r="D32" s="9" t="s">
        <v>9</v>
      </c>
    </row>
    <row r="33" spans="2:5" s="3" customFormat="1" ht="34.5">
      <c r="B33" s="93" t="s">
        <v>66</v>
      </c>
      <c r="C33" s="130" t="s">
        <v>225</v>
      </c>
      <c r="D33" s="394"/>
    </row>
    <row r="34" spans="2:5" s="3" customFormat="1" ht="86.25">
      <c r="B34" s="93" t="s">
        <v>67</v>
      </c>
      <c r="C34" s="130" t="s">
        <v>226</v>
      </c>
      <c r="D34" s="395"/>
    </row>
    <row r="35" spans="2:5" s="3" customFormat="1" ht="34.5">
      <c r="B35" s="93" t="s">
        <v>68</v>
      </c>
      <c r="C35" s="131" t="s">
        <v>227</v>
      </c>
      <c r="D35" s="395"/>
    </row>
    <row r="36" spans="2:5" s="3" customFormat="1" ht="69">
      <c r="B36" s="93" t="s">
        <v>121</v>
      </c>
      <c r="C36" s="214" t="s">
        <v>228</v>
      </c>
      <c r="D36" s="395"/>
    </row>
    <row r="37" spans="2:5" s="3" customFormat="1">
      <c r="B37" s="511" t="s">
        <v>0</v>
      </c>
      <c r="C37" s="472"/>
      <c r="D37" s="396"/>
    </row>
    <row r="38" spans="2:5" s="3" customFormat="1">
      <c r="B38" s="516" t="s">
        <v>229</v>
      </c>
      <c r="C38" s="516"/>
      <c r="D38" s="215">
        <v>1</v>
      </c>
    </row>
    <row r="39" spans="2:5" s="30" customFormat="1">
      <c r="B39" s="11" t="s">
        <v>5</v>
      </c>
      <c r="C39" s="11"/>
      <c r="D39" s="91">
        <f>+'Հավելված N 1'!D36</f>
        <v>-132019.19999999998</v>
      </c>
      <c r="E39" s="31"/>
    </row>
    <row r="40" spans="2:5" s="3" customFormat="1" ht="7.5" customHeight="1"/>
    <row r="41" spans="2:5" s="3" customFormat="1">
      <c r="B41" s="512" t="s">
        <v>2</v>
      </c>
      <c r="C41" s="513"/>
      <c r="D41" s="29"/>
    </row>
    <row r="42" spans="2:5" s="3" customFormat="1" ht="103.5">
      <c r="B42" s="18" t="s">
        <v>3</v>
      </c>
      <c r="C42" s="21">
        <v>1075</v>
      </c>
      <c r="D42" s="320" t="s">
        <v>51</v>
      </c>
    </row>
    <row r="43" spans="2:5" s="3" customFormat="1" ht="34.5">
      <c r="B43" s="18" t="s">
        <v>4</v>
      </c>
      <c r="C43" s="21">
        <v>32001</v>
      </c>
      <c r="D43" s="9" t="s">
        <v>9</v>
      </c>
    </row>
    <row r="44" spans="2:5" s="3" customFormat="1" ht="34.5">
      <c r="B44" s="93" t="s">
        <v>66</v>
      </c>
      <c r="C44" s="130" t="s">
        <v>230</v>
      </c>
      <c r="D44" s="394"/>
    </row>
    <row r="45" spans="2:5" s="3" customFormat="1" ht="69">
      <c r="B45" s="93" t="s">
        <v>67</v>
      </c>
      <c r="C45" s="130" t="s">
        <v>231</v>
      </c>
      <c r="D45" s="395"/>
    </row>
    <row r="46" spans="2:5" s="3" customFormat="1" ht="51.75">
      <c r="B46" s="93" t="s">
        <v>68</v>
      </c>
      <c r="C46" s="131" t="s">
        <v>86</v>
      </c>
      <c r="D46" s="395"/>
    </row>
    <row r="47" spans="2:5" s="3" customFormat="1" ht="69">
      <c r="B47" s="93" t="s">
        <v>121</v>
      </c>
      <c r="C47" s="214" t="s">
        <v>232</v>
      </c>
      <c r="D47" s="395"/>
    </row>
    <row r="48" spans="2:5" s="3" customFormat="1">
      <c r="B48" s="511" t="s">
        <v>0</v>
      </c>
      <c r="C48" s="472"/>
      <c r="D48" s="396"/>
    </row>
    <row r="49" spans="2:5" s="3" customFormat="1" ht="15.6" customHeight="1">
      <c r="B49" s="516" t="s">
        <v>443</v>
      </c>
      <c r="C49" s="516"/>
      <c r="D49" s="216">
        <v>-1</v>
      </c>
    </row>
    <row r="50" spans="2:5" s="3" customFormat="1" ht="15.6" customHeight="1">
      <c r="B50" s="516" t="s">
        <v>444</v>
      </c>
      <c r="C50" s="516"/>
      <c r="D50" s="215">
        <v>1</v>
      </c>
    </row>
    <row r="51" spans="2:5" s="30" customFormat="1">
      <c r="B51" s="11" t="s">
        <v>5</v>
      </c>
      <c r="C51" s="11"/>
      <c r="D51" s="91">
        <f>+'Հավելված N 1'!D42</f>
        <v>-159184.5</v>
      </c>
      <c r="E51" s="31"/>
    </row>
    <row r="53" spans="2:5" s="3" customFormat="1">
      <c r="B53" s="23" t="s">
        <v>35</v>
      </c>
      <c r="C53" s="23" t="s">
        <v>1</v>
      </c>
      <c r="D53" s="22"/>
    </row>
    <row r="54" spans="2:5" s="3" customFormat="1">
      <c r="B54" s="24">
        <v>1148</v>
      </c>
      <c r="C54" s="161" t="s">
        <v>445</v>
      </c>
      <c r="D54" s="23"/>
    </row>
    <row r="55" spans="2:5" s="3" customFormat="1"/>
    <row r="56" spans="2:5" s="3" customFormat="1">
      <c r="B56" s="512" t="s">
        <v>2</v>
      </c>
      <c r="C56" s="513"/>
      <c r="D56" s="29"/>
    </row>
    <row r="57" spans="2:5" s="3" customFormat="1" ht="70.349999999999994" customHeight="1">
      <c r="B57" s="18" t="s">
        <v>3</v>
      </c>
      <c r="C57" s="21">
        <v>1148</v>
      </c>
      <c r="D57" s="320" t="s">
        <v>27</v>
      </c>
    </row>
    <row r="58" spans="2:5" s="3" customFormat="1" ht="34.5">
      <c r="B58" s="161" t="s">
        <v>4</v>
      </c>
      <c r="C58" s="103">
        <v>32005</v>
      </c>
      <c r="D58" s="9" t="s">
        <v>9</v>
      </c>
    </row>
    <row r="59" spans="2:5" s="3" customFormat="1" ht="51.75">
      <c r="B59" s="219" t="s">
        <v>66</v>
      </c>
      <c r="C59" s="214" t="s">
        <v>433</v>
      </c>
      <c r="D59" s="394"/>
    </row>
    <row r="60" spans="2:5" s="3" customFormat="1" ht="34.5">
      <c r="B60" s="220" t="s">
        <v>67</v>
      </c>
      <c r="C60" s="214" t="s">
        <v>434</v>
      </c>
      <c r="D60" s="395"/>
    </row>
    <row r="61" spans="2:5" s="3" customFormat="1" ht="51.75">
      <c r="B61" s="219" t="s">
        <v>68</v>
      </c>
      <c r="C61" s="214" t="s">
        <v>201</v>
      </c>
      <c r="D61" s="395"/>
    </row>
    <row r="62" spans="2:5" s="3" customFormat="1" ht="69">
      <c r="B62" s="221" t="s">
        <v>446</v>
      </c>
      <c r="C62" s="214" t="s">
        <v>447</v>
      </c>
      <c r="D62" s="395"/>
    </row>
    <row r="63" spans="2:5" s="3" customFormat="1">
      <c r="B63" s="511" t="s">
        <v>0</v>
      </c>
      <c r="C63" s="472"/>
      <c r="D63" s="396"/>
    </row>
    <row r="64" spans="2:5" s="30" customFormat="1">
      <c r="B64" s="11" t="s">
        <v>5</v>
      </c>
      <c r="C64" s="11"/>
      <c r="D64" s="91">
        <f>+'Հավելված N 1'!D55</f>
        <v>4100.8</v>
      </c>
      <c r="E64" s="31"/>
    </row>
    <row r="66" spans="2:5" s="3" customFormat="1">
      <c r="B66" s="23" t="s">
        <v>35</v>
      </c>
      <c r="C66" s="23" t="s">
        <v>1</v>
      </c>
      <c r="D66" s="22"/>
    </row>
    <row r="67" spans="2:5" s="3" customFormat="1">
      <c r="B67" s="24">
        <v>1168</v>
      </c>
      <c r="C67" s="161" t="s">
        <v>178</v>
      </c>
      <c r="D67" s="23"/>
    </row>
    <row r="68" spans="2:5" s="3" customFormat="1"/>
    <row r="69" spans="2:5" s="3" customFormat="1">
      <c r="B69" s="512" t="s">
        <v>2</v>
      </c>
      <c r="C69" s="513"/>
      <c r="D69" s="29"/>
    </row>
    <row r="70" spans="2:5" s="3" customFormat="1" ht="97.15" customHeight="1">
      <c r="B70" s="18" t="s">
        <v>3</v>
      </c>
      <c r="C70" s="21">
        <v>1168</v>
      </c>
      <c r="D70" s="320" t="s">
        <v>51</v>
      </c>
    </row>
    <row r="71" spans="2:5" s="3" customFormat="1" ht="34.5">
      <c r="B71" s="161" t="s">
        <v>4</v>
      </c>
      <c r="C71" s="103">
        <v>32001</v>
      </c>
      <c r="D71" s="9" t="s">
        <v>9</v>
      </c>
    </row>
    <row r="72" spans="2:5" s="3" customFormat="1" ht="51.75">
      <c r="B72" s="218" t="s">
        <v>66</v>
      </c>
      <c r="C72" s="130" t="s">
        <v>233</v>
      </c>
      <c r="D72" s="394"/>
    </row>
    <row r="73" spans="2:5" s="3" customFormat="1" ht="86.25">
      <c r="B73" s="161" t="s">
        <v>67</v>
      </c>
      <c r="C73" s="130" t="s">
        <v>234</v>
      </c>
      <c r="D73" s="395"/>
    </row>
    <row r="74" spans="2:5" s="3" customFormat="1" ht="51.75">
      <c r="B74" s="218" t="s">
        <v>68</v>
      </c>
      <c r="C74" s="130" t="s">
        <v>86</v>
      </c>
      <c r="D74" s="395"/>
    </row>
    <row r="75" spans="2:5" s="3" customFormat="1" ht="69">
      <c r="B75" s="93" t="s">
        <v>121</v>
      </c>
      <c r="C75" s="214" t="s">
        <v>235</v>
      </c>
      <c r="D75" s="395"/>
    </row>
    <row r="76" spans="2:5" s="3" customFormat="1">
      <c r="B76" s="511" t="s">
        <v>0</v>
      </c>
      <c r="C76" s="472"/>
      <c r="D76" s="396"/>
    </row>
    <row r="77" spans="2:5" s="3" customFormat="1" ht="15.6" customHeight="1">
      <c r="B77" s="516" t="s">
        <v>449</v>
      </c>
      <c r="C77" s="516"/>
      <c r="D77" s="216">
        <v>-1</v>
      </c>
    </row>
    <row r="78" spans="2:5" s="3" customFormat="1" ht="15.6" customHeight="1">
      <c r="B78" s="516" t="s">
        <v>448</v>
      </c>
      <c r="C78" s="516"/>
      <c r="D78" s="215">
        <v>1</v>
      </c>
    </row>
    <row r="79" spans="2:5" s="30" customFormat="1">
      <c r="B79" s="11" t="s">
        <v>5</v>
      </c>
      <c r="C79" s="11"/>
      <c r="D79" s="91">
        <f>+'Հավելված N 1'!D68</f>
        <v>-82696.2</v>
      </c>
      <c r="E79" s="31"/>
    </row>
    <row r="80" spans="2:5" s="3" customFormat="1" ht="10.15" customHeight="1"/>
    <row r="81" spans="2:5" s="3" customFormat="1">
      <c r="B81" s="512" t="s">
        <v>2</v>
      </c>
      <c r="C81" s="513"/>
      <c r="D81" s="29"/>
    </row>
    <row r="82" spans="2:5" s="3" customFormat="1" ht="69">
      <c r="B82" s="18" t="s">
        <v>3</v>
      </c>
      <c r="C82" s="21">
        <v>1168</v>
      </c>
      <c r="D82" s="320" t="s">
        <v>32</v>
      </c>
    </row>
    <row r="83" spans="2:5" s="3" customFormat="1" ht="34.5">
      <c r="B83" s="161" t="s">
        <v>4</v>
      </c>
      <c r="C83" s="103">
        <v>32008</v>
      </c>
      <c r="D83" s="9" t="s">
        <v>9</v>
      </c>
    </row>
    <row r="84" spans="2:5" s="3" customFormat="1" ht="34.5">
      <c r="B84" s="218" t="s">
        <v>66</v>
      </c>
      <c r="C84" s="130" t="s">
        <v>451</v>
      </c>
      <c r="D84" s="394"/>
    </row>
    <row r="85" spans="2:5" s="3" customFormat="1" ht="34.5">
      <c r="B85" s="161" t="s">
        <v>67</v>
      </c>
      <c r="C85" s="130" t="s">
        <v>452</v>
      </c>
      <c r="D85" s="395"/>
    </row>
    <row r="86" spans="2:5" s="3" customFormat="1" ht="51.75">
      <c r="B86" s="218" t="s">
        <v>68</v>
      </c>
      <c r="C86" s="130" t="s">
        <v>86</v>
      </c>
      <c r="D86" s="395"/>
    </row>
    <row r="87" spans="2:5" s="3" customFormat="1" ht="69">
      <c r="B87" s="93" t="s">
        <v>121</v>
      </c>
      <c r="C87" s="214" t="s">
        <v>450</v>
      </c>
      <c r="D87" s="395"/>
    </row>
    <row r="88" spans="2:5" s="3" customFormat="1">
      <c r="B88" s="511" t="s">
        <v>0</v>
      </c>
      <c r="C88" s="472"/>
      <c r="D88" s="396"/>
    </row>
    <row r="89" spans="2:5" s="30" customFormat="1">
      <c r="B89" s="11" t="s">
        <v>5</v>
      </c>
      <c r="C89" s="11"/>
      <c r="D89" s="91">
        <f>+'Հավելված N 1'!D74</f>
        <v>-45250</v>
      </c>
      <c r="E89" s="31"/>
    </row>
    <row r="91" spans="2:5" s="3" customFormat="1">
      <c r="B91" s="23" t="s">
        <v>35</v>
      </c>
      <c r="C91" s="23" t="s">
        <v>1</v>
      </c>
      <c r="D91" s="22"/>
    </row>
    <row r="92" spans="2:5" s="3" customFormat="1">
      <c r="B92" s="24">
        <v>1183</v>
      </c>
      <c r="C92" s="18" t="s">
        <v>115</v>
      </c>
      <c r="D92" s="23"/>
    </row>
    <row r="93" spans="2:5" s="3" customFormat="1"/>
    <row r="94" spans="2:5" s="3" customFormat="1">
      <c r="B94" s="512" t="s">
        <v>2</v>
      </c>
      <c r="C94" s="513"/>
      <c r="D94" s="29"/>
    </row>
    <row r="95" spans="2:5" s="3" customFormat="1" ht="70.349999999999994" customHeight="1">
      <c r="B95" s="18" t="s">
        <v>3</v>
      </c>
      <c r="C95" s="21">
        <v>1183</v>
      </c>
      <c r="D95" s="320" t="s">
        <v>27</v>
      </c>
    </row>
    <row r="96" spans="2:5" s="3" customFormat="1" ht="34.5">
      <c r="B96" s="18" t="s">
        <v>4</v>
      </c>
      <c r="C96" s="21">
        <v>11002</v>
      </c>
      <c r="D96" s="9" t="s">
        <v>9</v>
      </c>
    </row>
    <row r="97" spans="2:5" s="3" customFormat="1" ht="34.5">
      <c r="B97" s="93" t="s">
        <v>66</v>
      </c>
      <c r="C97" s="130" t="s">
        <v>453</v>
      </c>
      <c r="D97" s="394"/>
    </row>
    <row r="98" spans="2:5" s="3" customFormat="1" ht="69">
      <c r="B98" s="93" t="s">
        <v>67</v>
      </c>
      <c r="C98" s="130" t="s">
        <v>454</v>
      </c>
      <c r="D98" s="395"/>
    </row>
    <row r="99" spans="2:5" s="3" customFormat="1" ht="34.5">
      <c r="B99" s="93" t="s">
        <v>68</v>
      </c>
      <c r="C99" s="131" t="s">
        <v>236</v>
      </c>
      <c r="D99" s="395"/>
    </row>
    <row r="100" spans="2:5" s="3" customFormat="1" ht="86.25">
      <c r="B100" s="93" t="s">
        <v>455</v>
      </c>
      <c r="C100" s="131" t="s">
        <v>456</v>
      </c>
      <c r="D100" s="395"/>
    </row>
    <row r="101" spans="2:5" s="3" customFormat="1">
      <c r="B101" s="511" t="s">
        <v>0</v>
      </c>
      <c r="C101" s="472"/>
      <c r="D101" s="396"/>
    </row>
    <row r="102" spans="2:5" s="3" customFormat="1" ht="17.649999999999999" customHeight="1">
      <c r="B102" s="514" t="s">
        <v>457</v>
      </c>
      <c r="C102" s="515"/>
      <c r="D102" s="10">
        <v>14</v>
      </c>
    </row>
    <row r="103" spans="2:5" s="30" customFormat="1">
      <c r="B103" s="11" t="s">
        <v>5</v>
      </c>
      <c r="C103" s="11"/>
      <c r="D103" s="91">
        <f>+'Հավելված N 1'!D87</f>
        <v>30000</v>
      </c>
      <c r="E103" s="31"/>
    </row>
    <row r="104" spans="2:5" ht="8.4499999999999993" customHeight="1"/>
    <row r="105" spans="2:5" s="3" customFormat="1">
      <c r="B105" s="512" t="s">
        <v>2</v>
      </c>
      <c r="C105" s="513"/>
      <c r="D105" s="29"/>
    </row>
    <row r="106" spans="2:5" s="3" customFormat="1" ht="70.349999999999994" customHeight="1">
      <c r="B106" s="18" t="s">
        <v>3</v>
      </c>
      <c r="C106" s="21">
        <v>1183</v>
      </c>
      <c r="D106" s="320" t="s">
        <v>27</v>
      </c>
    </row>
    <row r="107" spans="2:5" s="3" customFormat="1" ht="34.5">
      <c r="B107" s="18" t="s">
        <v>4</v>
      </c>
      <c r="C107" s="21">
        <v>32001</v>
      </c>
      <c r="D107" s="9" t="s">
        <v>9</v>
      </c>
    </row>
    <row r="108" spans="2:5" s="3" customFormat="1" ht="34.5">
      <c r="B108" s="93" t="s">
        <v>66</v>
      </c>
      <c r="C108" s="130" t="s">
        <v>512</v>
      </c>
      <c r="D108" s="394"/>
    </row>
    <row r="109" spans="2:5" s="3" customFormat="1" ht="69">
      <c r="B109" s="93" t="s">
        <v>67</v>
      </c>
      <c r="C109" s="130" t="s">
        <v>513</v>
      </c>
      <c r="D109" s="395"/>
    </row>
    <row r="110" spans="2:5" s="3" customFormat="1" ht="51.75">
      <c r="B110" s="93" t="s">
        <v>68</v>
      </c>
      <c r="C110" s="131" t="s">
        <v>86</v>
      </c>
      <c r="D110" s="395"/>
    </row>
    <row r="111" spans="2:5" s="3" customFormat="1" ht="69">
      <c r="B111" s="93" t="s">
        <v>121</v>
      </c>
      <c r="C111" s="131" t="s">
        <v>514</v>
      </c>
      <c r="D111" s="395"/>
    </row>
    <row r="112" spans="2:5" s="3" customFormat="1">
      <c r="B112" s="511" t="s">
        <v>0</v>
      </c>
      <c r="C112" s="472"/>
      <c r="D112" s="396"/>
    </row>
    <row r="113" spans="2:5" s="30" customFormat="1">
      <c r="B113" s="11" t="s">
        <v>5</v>
      </c>
      <c r="C113" s="11"/>
      <c r="D113" s="91">
        <f>+'Հավելված N 1'!D93</f>
        <v>1939.8</v>
      </c>
      <c r="E113" s="31"/>
    </row>
    <row r="114" spans="2:5" ht="8.4499999999999993" customHeight="1"/>
    <row r="115" spans="2:5" s="3" customFormat="1">
      <c r="B115" s="512" t="s">
        <v>2</v>
      </c>
      <c r="C115" s="513"/>
      <c r="D115" s="29"/>
    </row>
    <row r="116" spans="2:5" s="3" customFormat="1" ht="70.349999999999994" customHeight="1">
      <c r="B116" s="18" t="s">
        <v>3</v>
      </c>
      <c r="C116" s="21">
        <v>1183</v>
      </c>
      <c r="D116" s="320" t="s">
        <v>32</v>
      </c>
    </row>
    <row r="117" spans="2:5" s="3" customFormat="1" ht="34.5">
      <c r="B117" s="18" t="s">
        <v>4</v>
      </c>
      <c r="C117" s="21">
        <v>32004</v>
      </c>
      <c r="D117" s="9" t="s">
        <v>9</v>
      </c>
    </row>
    <row r="118" spans="2:5" s="3" customFormat="1" ht="51.75">
      <c r="B118" s="93" t="s">
        <v>66</v>
      </c>
      <c r="C118" s="130" t="s">
        <v>458</v>
      </c>
      <c r="D118" s="394"/>
    </row>
    <row r="119" spans="2:5" s="3" customFormat="1">
      <c r="B119" s="93" t="s">
        <v>67</v>
      </c>
      <c r="C119" s="130" t="s">
        <v>459</v>
      </c>
      <c r="D119" s="395"/>
    </row>
    <row r="120" spans="2:5" s="3" customFormat="1" ht="51.75">
      <c r="B120" s="93" t="s">
        <v>68</v>
      </c>
      <c r="C120" s="131" t="s">
        <v>86</v>
      </c>
      <c r="D120" s="395"/>
    </row>
    <row r="121" spans="2:5" s="3" customFormat="1" ht="69">
      <c r="B121" s="93" t="s">
        <v>121</v>
      </c>
      <c r="C121" s="131" t="s">
        <v>460</v>
      </c>
      <c r="D121" s="395"/>
    </row>
    <row r="122" spans="2:5" s="3" customFormat="1">
      <c r="B122" s="511" t="s">
        <v>0</v>
      </c>
      <c r="C122" s="472"/>
      <c r="D122" s="396"/>
    </row>
    <row r="123" spans="2:5" s="30" customFormat="1">
      <c r="B123" s="11" t="s">
        <v>5</v>
      </c>
      <c r="C123" s="11"/>
      <c r="D123" s="91">
        <f>+'Հավելված N 1'!D99</f>
        <v>-16159.800000000001</v>
      </c>
      <c r="E123" s="31"/>
    </row>
    <row r="125" spans="2:5" s="3" customFormat="1">
      <c r="B125" s="23" t="s">
        <v>35</v>
      </c>
      <c r="C125" s="23" t="s">
        <v>1</v>
      </c>
      <c r="D125" s="22"/>
    </row>
    <row r="126" spans="2:5" s="3" customFormat="1">
      <c r="B126" s="24">
        <v>1192</v>
      </c>
      <c r="C126" s="18" t="s">
        <v>484</v>
      </c>
      <c r="D126" s="23"/>
    </row>
    <row r="127" spans="2:5" s="3" customFormat="1"/>
    <row r="128" spans="2:5" s="3" customFormat="1">
      <c r="B128" s="512" t="s">
        <v>2</v>
      </c>
      <c r="C128" s="513"/>
      <c r="D128" s="29"/>
    </row>
    <row r="129" spans="2:5" s="3" customFormat="1" ht="70.349999999999994" customHeight="1">
      <c r="B129" s="18" t="s">
        <v>3</v>
      </c>
      <c r="C129" s="21">
        <v>1192</v>
      </c>
      <c r="D129" s="320" t="s">
        <v>27</v>
      </c>
    </row>
    <row r="130" spans="2:5" s="3" customFormat="1" ht="34.5">
      <c r="B130" s="18" t="s">
        <v>4</v>
      </c>
      <c r="C130" s="21">
        <v>11023</v>
      </c>
      <c r="D130" s="9" t="s">
        <v>9</v>
      </c>
    </row>
    <row r="131" spans="2:5" s="3" customFormat="1" ht="51.75">
      <c r="B131" s="93" t="s">
        <v>66</v>
      </c>
      <c r="C131" s="130" t="s">
        <v>495</v>
      </c>
      <c r="D131" s="394"/>
    </row>
    <row r="132" spans="2:5" s="3" customFormat="1" ht="51.75">
      <c r="B132" s="93" t="s">
        <v>67</v>
      </c>
      <c r="C132" s="130" t="s">
        <v>496</v>
      </c>
      <c r="D132" s="395"/>
    </row>
    <row r="133" spans="2:5" s="3" customFormat="1" ht="34.5">
      <c r="B133" s="93" t="s">
        <v>68</v>
      </c>
      <c r="C133" s="131" t="s">
        <v>236</v>
      </c>
      <c r="D133" s="395"/>
    </row>
    <row r="134" spans="2:5" s="3" customFormat="1" ht="69">
      <c r="B134" s="93" t="s">
        <v>87</v>
      </c>
      <c r="C134" s="131" t="s">
        <v>497</v>
      </c>
      <c r="D134" s="395"/>
    </row>
    <row r="135" spans="2:5" s="3" customFormat="1">
      <c r="B135" s="511" t="s">
        <v>0</v>
      </c>
      <c r="C135" s="472"/>
      <c r="D135" s="396"/>
    </row>
    <row r="136" spans="2:5" s="30" customFormat="1">
      <c r="B136" s="11" t="s">
        <v>5</v>
      </c>
      <c r="C136" s="11"/>
      <c r="D136" s="91">
        <f>+'Հավելված N 1'!D112</f>
        <v>24427</v>
      </c>
      <c r="E136" s="31"/>
    </row>
    <row r="138" spans="2:5" s="3" customFormat="1">
      <c r="B138" s="23" t="s">
        <v>35</v>
      </c>
      <c r="C138" s="23" t="s">
        <v>1</v>
      </c>
      <c r="D138" s="22"/>
    </row>
    <row r="139" spans="2:5" s="3" customFormat="1" ht="34.5">
      <c r="B139" s="24">
        <v>1236</v>
      </c>
      <c r="C139" s="18" t="s">
        <v>85</v>
      </c>
      <c r="D139" s="23"/>
    </row>
    <row r="140" spans="2:5" s="3" customFormat="1"/>
    <row r="141" spans="2:5" s="3" customFormat="1">
      <c r="B141" s="512" t="s">
        <v>2</v>
      </c>
      <c r="C141" s="513"/>
      <c r="D141" s="29"/>
    </row>
    <row r="142" spans="2:5" s="3" customFormat="1" ht="70.349999999999994" customHeight="1">
      <c r="B142" s="18" t="s">
        <v>3</v>
      </c>
      <c r="C142" s="21">
        <v>1236</v>
      </c>
      <c r="D142" s="320" t="s">
        <v>27</v>
      </c>
    </row>
    <row r="143" spans="2:5" s="3" customFormat="1" ht="34.5">
      <c r="B143" s="18" t="s">
        <v>4</v>
      </c>
      <c r="C143" s="21">
        <v>32001</v>
      </c>
      <c r="D143" s="9" t="s">
        <v>9</v>
      </c>
    </row>
    <row r="144" spans="2:5" s="3" customFormat="1" ht="34.5">
      <c r="B144" s="60" t="s">
        <v>66</v>
      </c>
      <c r="C144" s="26" t="s">
        <v>462</v>
      </c>
      <c r="D144" s="394"/>
    </row>
    <row r="145" spans="2:5" s="3" customFormat="1" ht="69">
      <c r="B145" s="18" t="s">
        <v>67</v>
      </c>
      <c r="C145" s="26" t="s">
        <v>463</v>
      </c>
      <c r="D145" s="395"/>
    </row>
    <row r="146" spans="2:5" s="3" customFormat="1" ht="51.75">
      <c r="B146" s="25" t="s">
        <v>68</v>
      </c>
      <c r="C146" s="26" t="s">
        <v>86</v>
      </c>
      <c r="D146" s="395"/>
    </row>
    <row r="147" spans="2:5" s="3" customFormat="1" ht="51.75">
      <c r="B147" s="124" t="s">
        <v>464</v>
      </c>
      <c r="C147" s="26" t="s">
        <v>465</v>
      </c>
      <c r="D147" s="395"/>
    </row>
    <row r="148" spans="2:5" s="3" customFormat="1">
      <c r="B148" s="511" t="s">
        <v>0</v>
      </c>
      <c r="C148" s="472"/>
      <c r="D148" s="396"/>
    </row>
    <row r="149" spans="2:5" s="3" customFormat="1" ht="17.649999999999999" customHeight="1">
      <c r="B149" s="514" t="s">
        <v>461</v>
      </c>
      <c r="C149" s="515"/>
      <c r="D149" s="10">
        <v>2</v>
      </c>
    </row>
    <row r="150" spans="2:5" s="30" customFormat="1">
      <c r="B150" s="11" t="s">
        <v>5</v>
      </c>
      <c r="C150" s="11"/>
      <c r="D150" s="91">
        <f>+'Հավելված N 1'!D125</f>
        <v>262552.3</v>
      </c>
      <c r="E150" s="31"/>
    </row>
    <row r="151" spans="2:5" ht="7.5" customHeight="1"/>
    <row r="152" spans="2:5" s="3" customFormat="1" ht="70.349999999999994" customHeight="1">
      <c r="B152" s="18" t="s">
        <v>3</v>
      </c>
      <c r="C152" s="21">
        <v>1236</v>
      </c>
      <c r="D152" s="320" t="s">
        <v>32</v>
      </c>
    </row>
    <row r="153" spans="2:5" s="3" customFormat="1" ht="34.5">
      <c r="B153" s="18" t="s">
        <v>4</v>
      </c>
      <c r="C153" s="21">
        <v>32002</v>
      </c>
      <c r="D153" s="9" t="s">
        <v>9</v>
      </c>
    </row>
    <row r="154" spans="2:5" s="3" customFormat="1" ht="34.5">
      <c r="B154" s="60" t="s">
        <v>66</v>
      </c>
      <c r="C154" s="26" t="s">
        <v>466</v>
      </c>
      <c r="D154" s="394"/>
    </row>
    <row r="155" spans="2:5" s="3" customFormat="1" ht="69">
      <c r="B155" s="18" t="s">
        <v>67</v>
      </c>
      <c r="C155" s="26" t="s">
        <v>467</v>
      </c>
      <c r="D155" s="395"/>
    </row>
    <row r="156" spans="2:5" s="3" customFormat="1" ht="51.75">
      <c r="B156" s="25" t="s">
        <v>68</v>
      </c>
      <c r="C156" s="26" t="s">
        <v>86</v>
      </c>
      <c r="D156" s="395"/>
    </row>
    <row r="157" spans="2:5" s="3" customFormat="1" ht="51.75">
      <c r="B157" s="124" t="s">
        <v>464</v>
      </c>
      <c r="C157" s="26" t="s">
        <v>465</v>
      </c>
      <c r="D157" s="395"/>
    </row>
    <row r="158" spans="2:5" s="3" customFormat="1">
      <c r="B158" s="511" t="s">
        <v>0</v>
      </c>
      <c r="C158" s="472"/>
      <c r="D158" s="396"/>
    </row>
    <row r="159" spans="2:5" s="30" customFormat="1">
      <c r="B159" s="11" t="s">
        <v>5</v>
      </c>
      <c r="C159" s="11"/>
      <c r="D159" s="91">
        <f>+'Հավելված N 1'!D131</f>
        <v>233117.30000000002</v>
      </c>
      <c r="E159" s="31"/>
    </row>
    <row r="160" spans="2:5" ht="7.5" customHeight="1"/>
    <row r="161" spans="2:5" s="3" customFormat="1" ht="70.349999999999994" customHeight="1">
      <c r="B161" s="18" t="s">
        <v>3</v>
      </c>
      <c r="C161" s="21">
        <v>1236</v>
      </c>
      <c r="D161" s="320" t="s">
        <v>27</v>
      </c>
    </row>
    <row r="162" spans="2:5" s="3" customFormat="1" ht="34.5">
      <c r="B162" s="18" t="s">
        <v>4</v>
      </c>
      <c r="C162" s="21">
        <v>32003</v>
      </c>
      <c r="D162" s="9" t="s">
        <v>9</v>
      </c>
    </row>
    <row r="163" spans="2:5" s="3" customFormat="1" ht="34.5">
      <c r="B163" s="60" t="s">
        <v>66</v>
      </c>
      <c r="C163" s="26" t="s">
        <v>468</v>
      </c>
      <c r="D163" s="394"/>
    </row>
    <row r="164" spans="2:5" s="3" customFormat="1" ht="86.25">
      <c r="B164" s="18" t="s">
        <v>67</v>
      </c>
      <c r="C164" s="26" t="s">
        <v>469</v>
      </c>
      <c r="D164" s="395"/>
    </row>
    <row r="165" spans="2:5" s="3" customFormat="1" ht="51.75">
      <c r="B165" s="25" t="s">
        <v>68</v>
      </c>
      <c r="C165" s="26" t="s">
        <v>86</v>
      </c>
      <c r="D165" s="395"/>
    </row>
    <row r="166" spans="2:5" s="3" customFormat="1" ht="69">
      <c r="B166" s="124" t="s">
        <v>87</v>
      </c>
      <c r="C166" s="26" t="s">
        <v>237</v>
      </c>
      <c r="D166" s="395"/>
    </row>
    <row r="167" spans="2:5" s="3" customFormat="1">
      <c r="B167" s="511" t="s">
        <v>0</v>
      </c>
      <c r="C167" s="472"/>
      <c r="D167" s="396"/>
    </row>
    <row r="168" spans="2:5" s="30" customFormat="1">
      <c r="B168" s="11" t="s">
        <v>5</v>
      </c>
      <c r="C168" s="11"/>
      <c r="D168" s="91">
        <f>+'Հավելված N 1'!D137</f>
        <v>36526.9</v>
      </c>
      <c r="E168" s="31"/>
    </row>
    <row r="169" spans="2:5" ht="7.5" customHeight="1"/>
    <row r="170" spans="2:5" s="3" customFormat="1">
      <c r="B170" s="512" t="s">
        <v>2</v>
      </c>
      <c r="C170" s="513"/>
      <c r="D170" s="29"/>
    </row>
    <row r="171" spans="2:5" s="3" customFormat="1" ht="70.349999999999994" customHeight="1">
      <c r="B171" s="18" t="s">
        <v>3</v>
      </c>
      <c r="C171" s="21">
        <v>1236</v>
      </c>
      <c r="D171" s="320" t="s">
        <v>32</v>
      </c>
    </row>
    <row r="172" spans="2:5" s="3" customFormat="1" ht="34.5">
      <c r="B172" s="18" t="s">
        <v>4</v>
      </c>
      <c r="C172" s="21">
        <v>32006</v>
      </c>
      <c r="D172" s="9" t="s">
        <v>9</v>
      </c>
    </row>
    <row r="173" spans="2:5" s="3" customFormat="1" ht="34.5">
      <c r="B173" s="60" t="s">
        <v>66</v>
      </c>
      <c r="C173" s="26" t="s">
        <v>110</v>
      </c>
      <c r="D173" s="394"/>
    </row>
    <row r="174" spans="2:5" s="3" customFormat="1" ht="86.25">
      <c r="B174" s="18" t="s">
        <v>67</v>
      </c>
      <c r="C174" s="26" t="s">
        <v>111</v>
      </c>
      <c r="D174" s="395"/>
    </row>
    <row r="175" spans="2:5" s="3" customFormat="1" ht="51.75">
      <c r="B175" s="25" t="s">
        <v>68</v>
      </c>
      <c r="C175" s="26" t="s">
        <v>86</v>
      </c>
      <c r="D175" s="395"/>
    </row>
    <row r="176" spans="2:5" s="3" customFormat="1" ht="69">
      <c r="B176" s="124" t="s">
        <v>87</v>
      </c>
      <c r="C176" s="26" t="s">
        <v>112</v>
      </c>
      <c r="D176" s="395"/>
    </row>
    <row r="177" spans="1:5" s="3" customFormat="1">
      <c r="B177" s="511" t="s">
        <v>0</v>
      </c>
      <c r="C177" s="472"/>
      <c r="D177" s="396"/>
    </row>
    <row r="178" spans="1:5" s="30" customFormat="1">
      <c r="B178" s="11" t="s">
        <v>5</v>
      </c>
      <c r="C178" s="11"/>
      <c r="D178" s="91">
        <f>+'Հավելված N 1'!D143</f>
        <v>-41968.4</v>
      </c>
      <c r="E178" s="31"/>
    </row>
    <row r="184" spans="1:5" ht="21.95" customHeight="1">
      <c r="A184" s="509" t="s">
        <v>239</v>
      </c>
      <c r="B184" s="509"/>
      <c r="C184" s="509"/>
      <c r="D184" s="509"/>
    </row>
    <row r="185" spans="1:5" ht="38.65" customHeight="1">
      <c r="C185" s="226" t="s">
        <v>200</v>
      </c>
      <c r="D185" s="222"/>
    </row>
    <row r="186" spans="1:5">
      <c r="B186" s="518" t="s">
        <v>7</v>
      </c>
      <c r="C186" s="518"/>
      <c r="D186" s="518"/>
    </row>
    <row r="187" spans="1:5">
      <c r="B187" s="3"/>
      <c r="C187" s="3"/>
      <c r="D187" s="28"/>
    </row>
    <row r="188" spans="1:5">
      <c r="B188" s="3"/>
      <c r="C188" s="3"/>
    </row>
    <row r="189" spans="1:5" s="3" customFormat="1">
      <c r="B189" s="195" t="s">
        <v>35</v>
      </c>
      <c r="C189" s="195" t="s">
        <v>1</v>
      </c>
      <c r="D189" s="106"/>
    </row>
    <row r="190" spans="1:5" s="3" customFormat="1">
      <c r="B190" s="223">
        <v>1139</v>
      </c>
      <c r="C190" s="161" t="s">
        <v>240</v>
      </c>
      <c r="D190" s="195"/>
    </row>
    <row r="191" spans="1:5" s="3" customFormat="1"/>
    <row r="192" spans="1:5" s="3" customFormat="1">
      <c r="B192" s="485" t="s">
        <v>2</v>
      </c>
      <c r="C192" s="517"/>
      <c r="D192" s="195"/>
    </row>
    <row r="193" spans="2:4" s="3" customFormat="1" ht="70.349999999999994" customHeight="1">
      <c r="B193" s="18" t="s">
        <v>3</v>
      </c>
      <c r="C193" s="21">
        <v>1139</v>
      </c>
      <c r="D193" s="320" t="s">
        <v>27</v>
      </c>
    </row>
    <row r="194" spans="2:4" s="3" customFormat="1" ht="34.5">
      <c r="B194" s="161" t="s">
        <v>4</v>
      </c>
      <c r="C194" s="103">
        <v>11001</v>
      </c>
      <c r="D194" s="122" t="s">
        <v>9</v>
      </c>
    </row>
    <row r="195" spans="2:4" s="3" customFormat="1" ht="34.5">
      <c r="B195" s="217" t="s">
        <v>66</v>
      </c>
      <c r="C195" s="130" t="s">
        <v>240</v>
      </c>
      <c r="D195" s="394"/>
    </row>
    <row r="196" spans="2:4" s="3" customFormat="1" ht="69">
      <c r="B196" s="161" t="s">
        <v>67</v>
      </c>
      <c r="C196" s="130" t="s">
        <v>241</v>
      </c>
      <c r="D196" s="395"/>
    </row>
    <row r="197" spans="2:4" s="3" customFormat="1" ht="34.5">
      <c r="B197" s="218" t="s">
        <v>68</v>
      </c>
      <c r="C197" s="130" t="s">
        <v>236</v>
      </c>
      <c r="D197" s="395"/>
    </row>
    <row r="198" spans="2:4" s="3" customFormat="1" ht="51.75">
      <c r="B198" s="93" t="s">
        <v>242</v>
      </c>
      <c r="C198" s="130" t="s">
        <v>243</v>
      </c>
      <c r="D198" s="395"/>
    </row>
    <row r="199" spans="2:4" s="3" customFormat="1">
      <c r="B199" s="471" t="s">
        <v>0</v>
      </c>
      <c r="C199" s="472"/>
      <c r="D199" s="396"/>
    </row>
    <row r="200" spans="2:4" s="30" customFormat="1">
      <c r="B200" s="224" t="s">
        <v>5</v>
      </c>
      <c r="C200" s="224"/>
      <c r="D200" s="225">
        <f>+'Հավելված N 1'!D158</f>
        <v>4100.8</v>
      </c>
    </row>
    <row r="201" spans="2:4" ht="8.1" customHeight="1"/>
    <row r="202" spans="2:4" s="3" customFormat="1">
      <c r="B202" s="485" t="s">
        <v>2</v>
      </c>
      <c r="C202" s="517"/>
      <c r="D202" s="195"/>
    </row>
    <row r="203" spans="2:4" s="3" customFormat="1" ht="70.349999999999994" customHeight="1">
      <c r="B203" s="18" t="s">
        <v>3</v>
      </c>
      <c r="C203" s="21">
        <v>1139</v>
      </c>
      <c r="D203" s="320" t="s">
        <v>32</v>
      </c>
    </row>
    <row r="204" spans="2:4" s="3" customFormat="1" ht="34.5">
      <c r="B204" s="161" t="s">
        <v>4</v>
      </c>
      <c r="C204" s="103">
        <v>11001</v>
      </c>
      <c r="D204" s="122" t="s">
        <v>9</v>
      </c>
    </row>
    <row r="205" spans="2:4" s="3" customFormat="1" ht="34.5">
      <c r="B205" s="217" t="s">
        <v>66</v>
      </c>
      <c r="C205" s="130" t="s">
        <v>240</v>
      </c>
      <c r="D205" s="394"/>
    </row>
    <row r="206" spans="2:4" s="3" customFormat="1" ht="69">
      <c r="B206" s="161" t="s">
        <v>67</v>
      </c>
      <c r="C206" s="130" t="s">
        <v>241</v>
      </c>
      <c r="D206" s="395"/>
    </row>
    <row r="207" spans="2:4" s="3" customFormat="1" ht="34.5">
      <c r="B207" s="218" t="s">
        <v>68</v>
      </c>
      <c r="C207" s="130" t="s">
        <v>236</v>
      </c>
      <c r="D207" s="395"/>
    </row>
    <row r="208" spans="2:4" s="3" customFormat="1" ht="51.75">
      <c r="B208" s="93" t="s">
        <v>242</v>
      </c>
      <c r="C208" s="130" t="s">
        <v>243</v>
      </c>
      <c r="D208" s="395"/>
    </row>
    <row r="209" spans="2:4" s="3" customFormat="1">
      <c r="B209" s="471" t="s">
        <v>0</v>
      </c>
      <c r="C209" s="472"/>
      <c r="D209" s="396"/>
    </row>
    <row r="210" spans="2:4" s="30" customFormat="1">
      <c r="B210" s="224" t="s">
        <v>5</v>
      </c>
      <c r="C210" s="224"/>
      <c r="D210" s="225">
        <f>+'Հավելված N 1'!D164</f>
        <v>-4100.8</v>
      </c>
    </row>
  </sheetData>
  <mergeCells count="62">
    <mergeCell ref="B78:C78"/>
    <mergeCell ref="B105:C105"/>
    <mergeCell ref="D108:D112"/>
    <mergeCell ref="B112:C112"/>
    <mergeCell ref="B56:C56"/>
    <mergeCell ref="A184:D184"/>
    <mergeCell ref="D97:D101"/>
    <mergeCell ref="B69:C69"/>
    <mergeCell ref="D72:D76"/>
    <mergeCell ref="B76:C76"/>
    <mergeCell ref="B101:C101"/>
    <mergeCell ref="B94:C94"/>
    <mergeCell ref="B81:C81"/>
    <mergeCell ref="B77:C77"/>
    <mergeCell ref="B128:C128"/>
    <mergeCell ref="D118:D122"/>
    <mergeCell ref="B122:C122"/>
    <mergeCell ref="D84:D88"/>
    <mergeCell ref="B63:C63"/>
    <mergeCell ref="D59:D63"/>
    <mergeCell ref="B115:C115"/>
    <mergeCell ref="D205:D209"/>
    <mergeCell ref="B209:C209"/>
    <mergeCell ref="D195:D199"/>
    <mergeCell ref="B199:C199"/>
    <mergeCell ref="B202:C202"/>
    <mergeCell ref="B186:D186"/>
    <mergeCell ref="B192:C192"/>
    <mergeCell ref="D173:D177"/>
    <mergeCell ref="B177:C177"/>
    <mergeCell ref="B149:C149"/>
    <mergeCell ref="D154:D158"/>
    <mergeCell ref="B158:C158"/>
    <mergeCell ref="D163:D167"/>
    <mergeCell ref="B167:C167"/>
    <mergeCell ref="B16:C16"/>
    <mergeCell ref="D19:D23"/>
    <mergeCell ref="B23:C23"/>
    <mergeCell ref="B24:C24"/>
    <mergeCell ref="B30:C30"/>
    <mergeCell ref="D33:D37"/>
    <mergeCell ref="B37:C37"/>
    <mergeCell ref="B41:C41"/>
    <mergeCell ref="D44:D48"/>
    <mergeCell ref="B170:C170"/>
    <mergeCell ref="B102:C102"/>
    <mergeCell ref="D144:D148"/>
    <mergeCell ref="B148:C148"/>
    <mergeCell ref="B141:C141"/>
    <mergeCell ref="B49:C49"/>
    <mergeCell ref="B50:C50"/>
    <mergeCell ref="B38:C38"/>
    <mergeCell ref="B48:C48"/>
    <mergeCell ref="D131:D135"/>
    <mergeCell ref="B135:C135"/>
    <mergeCell ref="B88:C88"/>
    <mergeCell ref="C1:D1"/>
    <mergeCell ref="C2:D2"/>
    <mergeCell ref="C3:D3"/>
    <mergeCell ref="B10:D10"/>
    <mergeCell ref="A8:D8"/>
    <mergeCell ref="B6:D6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1"/>
  <sheetViews>
    <sheetView topLeftCell="A230" zoomScale="85" zoomScaleNormal="85" zoomScaleSheetLayoutView="100" workbookViewId="0">
      <selection activeCell="C247" sqref="C247"/>
    </sheetView>
  </sheetViews>
  <sheetFormatPr defaultColWidth="9.140625" defaultRowHeight="17.25"/>
  <cols>
    <col min="1" max="1" width="5.28515625" style="1" customWidth="1"/>
    <col min="2" max="2" width="24.5703125" style="1" customWidth="1"/>
    <col min="3" max="3" width="67.85546875" style="1" customWidth="1"/>
    <col min="4" max="4" width="32.7109375" style="1" customWidth="1"/>
    <col min="5" max="5" width="10" style="1" customWidth="1"/>
    <col min="6" max="6" width="49.85546875" style="1" customWidth="1"/>
    <col min="7" max="16384" width="9.140625" style="1"/>
  </cols>
  <sheetData>
    <row r="1" spans="1:4" ht="37.5" customHeight="1">
      <c r="C1" s="445" t="s">
        <v>109</v>
      </c>
      <c r="D1" s="445"/>
    </row>
    <row r="2" spans="1:4" ht="17.649999999999999" customHeight="1">
      <c r="C2" s="446" t="s">
        <v>78</v>
      </c>
      <c r="D2" s="446"/>
    </row>
    <row r="3" spans="1:4" ht="17.649999999999999" customHeight="1">
      <c r="C3" s="446" t="s">
        <v>26</v>
      </c>
      <c r="D3" s="446"/>
    </row>
    <row r="6" spans="1:4" ht="59.65" customHeight="1">
      <c r="A6" s="27"/>
      <c r="B6" s="510" t="s">
        <v>470</v>
      </c>
      <c r="C6" s="510"/>
      <c r="D6" s="510"/>
    </row>
    <row r="7" spans="1:4" ht="23.65" customHeight="1"/>
    <row r="8" spans="1:4" ht="21.95" customHeight="1">
      <c r="A8" s="509" t="s">
        <v>472</v>
      </c>
      <c r="B8" s="509"/>
      <c r="C8" s="509"/>
      <c r="D8" s="509"/>
    </row>
    <row r="9" spans="1:4" ht="38.65" customHeight="1">
      <c r="C9" s="226" t="s">
        <v>424</v>
      </c>
      <c r="D9" s="222"/>
    </row>
    <row r="10" spans="1:4">
      <c r="B10" s="518" t="s">
        <v>33</v>
      </c>
      <c r="C10" s="518"/>
      <c r="D10" s="518"/>
    </row>
    <row r="11" spans="1:4">
      <c r="B11" s="3"/>
      <c r="C11" s="3"/>
      <c r="D11" s="28"/>
    </row>
    <row r="12" spans="1:4">
      <c r="B12" s="3"/>
      <c r="C12" s="3"/>
    </row>
    <row r="13" spans="1:4" s="3" customFormat="1">
      <c r="B13" s="23" t="s">
        <v>35</v>
      </c>
      <c r="C13" s="23" t="s">
        <v>1</v>
      </c>
      <c r="D13" s="22"/>
    </row>
    <row r="14" spans="1:4" s="3" customFormat="1">
      <c r="B14" s="24">
        <v>1183</v>
      </c>
      <c r="C14" s="18" t="s">
        <v>115</v>
      </c>
      <c r="D14" s="23"/>
    </row>
    <row r="15" spans="1:4" s="3" customFormat="1"/>
    <row r="16" spans="1:4" s="3" customFormat="1">
      <c r="B16" s="512" t="s">
        <v>2</v>
      </c>
      <c r="C16" s="513"/>
      <c r="D16" s="29"/>
    </row>
    <row r="17" spans="2:5" s="3" customFormat="1" ht="70.349999999999994" customHeight="1">
      <c r="B17" s="18" t="s">
        <v>3</v>
      </c>
      <c r="C17" s="21">
        <v>1183</v>
      </c>
      <c r="D17" s="320" t="s">
        <v>27</v>
      </c>
    </row>
    <row r="18" spans="2:5" s="3" customFormat="1" ht="34.5">
      <c r="B18" s="18" t="s">
        <v>4</v>
      </c>
      <c r="C18" s="21">
        <v>32001</v>
      </c>
      <c r="D18" s="9" t="s">
        <v>9</v>
      </c>
    </row>
    <row r="19" spans="2:5" s="3" customFormat="1" ht="34.5">
      <c r="B19" s="93" t="s">
        <v>66</v>
      </c>
      <c r="C19" s="130" t="s">
        <v>512</v>
      </c>
      <c r="D19" s="394"/>
    </row>
    <row r="20" spans="2:5" s="3" customFormat="1" ht="69">
      <c r="B20" s="93" t="s">
        <v>67</v>
      </c>
      <c r="C20" s="130" t="s">
        <v>513</v>
      </c>
      <c r="D20" s="395"/>
    </row>
    <row r="21" spans="2:5" s="3" customFormat="1" ht="51.75">
      <c r="B21" s="93" t="s">
        <v>68</v>
      </c>
      <c r="C21" s="131" t="s">
        <v>86</v>
      </c>
      <c r="D21" s="395"/>
    </row>
    <row r="22" spans="2:5" s="3" customFormat="1" ht="69">
      <c r="B22" s="93" t="s">
        <v>121</v>
      </c>
      <c r="C22" s="131" t="s">
        <v>514</v>
      </c>
      <c r="D22" s="395"/>
    </row>
    <row r="23" spans="2:5" s="3" customFormat="1">
      <c r="B23" s="511" t="s">
        <v>0</v>
      </c>
      <c r="C23" s="472"/>
      <c r="D23" s="396"/>
    </row>
    <row r="24" spans="2:5" s="30" customFormat="1">
      <c r="B24" s="11" t="s">
        <v>5</v>
      </c>
      <c r="C24" s="11"/>
      <c r="D24" s="91">
        <f>+'Հավելված N 2'!G206</f>
        <v>1939.8</v>
      </c>
      <c r="E24" s="31"/>
    </row>
    <row r="26" spans="2:5" s="3" customFormat="1">
      <c r="B26" s="23" t="s">
        <v>35</v>
      </c>
      <c r="C26" s="23" t="s">
        <v>1</v>
      </c>
      <c r="D26" s="22"/>
    </row>
    <row r="27" spans="2:5" s="3" customFormat="1" ht="34.5">
      <c r="B27" s="24">
        <v>1236</v>
      </c>
      <c r="C27" s="18" t="s">
        <v>85</v>
      </c>
      <c r="D27" s="23"/>
    </row>
    <row r="29" spans="2:5" s="325" customFormat="1" ht="69">
      <c r="B29" s="326" t="s">
        <v>3</v>
      </c>
      <c r="C29" s="327">
        <v>1236</v>
      </c>
      <c r="D29" s="328" t="s">
        <v>32</v>
      </c>
    </row>
    <row r="30" spans="2:5" s="325" customFormat="1" ht="34.5">
      <c r="B30" s="326" t="s">
        <v>4</v>
      </c>
      <c r="C30" s="327">
        <v>32002</v>
      </c>
      <c r="D30" s="329" t="s">
        <v>9</v>
      </c>
    </row>
    <row r="31" spans="2:5" s="325" customFormat="1" ht="34.5">
      <c r="B31" s="330" t="s">
        <v>66</v>
      </c>
      <c r="C31" s="327" t="s">
        <v>466</v>
      </c>
      <c r="D31" s="519"/>
    </row>
    <row r="32" spans="2:5" s="325" customFormat="1" ht="69">
      <c r="B32" s="326" t="s">
        <v>67</v>
      </c>
      <c r="C32" s="327" t="s">
        <v>467</v>
      </c>
      <c r="D32" s="520"/>
    </row>
    <row r="33" spans="1:5" s="325" customFormat="1" ht="51.75">
      <c r="B33" s="331" t="s">
        <v>68</v>
      </c>
      <c r="C33" s="327" t="s">
        <v>86</v>
      </c>
      <c r="D33" s="520"/>
    </row>
    <row r="34" spans="1:5" s="325" customFormat="1" ht="51.75">
      <c r="B34" s="332" t="s">
        <v>464</v>
      </c>
      <c r="C34" s="327" t="s">
        <v>465</v>
      </c>
      <c r="D34" s="520"/>
    </row>
    <row r="35" spans="1:5" s="325" customFormat="1">
      <c r="B35" s="522" t="s">
        <v>0</v>
      </c>
      <c r="C35" s="523"/>
      <c r="D35" s="521"/>
    </row>
    <row r="36" spans="1:5" s="333" customFormat="1">
      <c r="B36" s="334" t="s">
        <v>5</v>
      </c>
      <c r="C36" s="334"/>
      <c r="D36" s="335">
        <f>+'Հավելված N 2'!G111</f>
        <v>-41378.400000000001</v>
      </c>
      <c r="E36" s="336"/>
    </row>
    <row r="37" spans="1:5" s="3" customFormat="1"/>
    <row r="44" spans="1:5" ht="21.95" customHeight="1">
      <c r="A44" s="509" t="s">
        <v>55</v>
      </c>
      <c r="B44" s="509"/>
      <c r="C44" s="509"/>
      <c r="D44" s="509"/>
    </row>
    <row r="45" spans="1:5" ht="38.65" customHeight="1">
      <c r="C45" s="283" t="s">
        <v>28</v>
      </c>
      <c r="D45" s="8"/>
    </row>
    <row r="46" spans="1:5">
      <c r="B46" s="506" t="s">
        <v>33</v>
      </c>
      <c r="C46" s="507"/>
      <c r="D46" s="508"/>
    </row>
    <row r="47" spans="1:5">
      <c r="B47" s="3"/>
      <c r="C47" s="3"/>
      <c r="D47" s="28"/>
    </row>
    <row r="48" spans="1:5">
      <c r="B48" s="3"/>
      <c r="C48" s="3"/>
    </row>
    <row r="49" spans="2:5" s="3" customFormat="1">
      <c r="B49" s="23" t="s">
        <v>35</v>
      </c>
      <c r="C49" s="23" t="s">
        <v>1</v>
      </c>
      <c r="D49" s="22"/>
    </row>
    <row r="50" spans="2:5" s="3" customFormat="1" ht="34.5">
      <c r="B50" s="24">
        <v>1045</v>
      </c>
      <c r="C50" s="18" t="s">
        <v>220</v>
      </c>
      <c r="D50" s="23"/>
    </row>
    <row r="51" spans="2:5" s="3" customFormat="1"/>
    <row r="52" spans="2:5" s="3" customFormat="1">
      <c r="B52" s="512" t="s">
        <v>2</v>
      </c>
      <c r="C52" s="513"/>
      <c r="D52" s="29"/>
    </row>
    <row r="53" spans="2:5" s="3" customFormat="1" ht="96" customHeight="1">
      <c r="B53" s="18" t="s">
        <v>3</v>
      </c>
      <c r="C53" s="21">
        <v>1045</v>
      </c>
      <c r="D53" s="320" t="s">
        <v>51</v>
      </c>
    </row>
    <row r="54" spans="2:5" s="3" customFormat="1" ht="34.5">
      <c r="B54" s="18" t="s">
        <v>4</v>
      </c>
      <c r="C54" s="21">
        <v>32001</v>
      </c>
      <c r="D54" s="9" t="s">
        <v>9</v>
      </c>
    </row>
    <row r="55" spans="2:5" s="3" customFormat="1" ht="51.75">
      <c r="B55" s="93" t="s">
        <v>66</v>
      </c>
      <c r="C55" s="130" t="s">
        <v>221</v>
      </c>
      <c r="D55" s="394"/>
    </row>
    <row r="56" spans="2:5" s="3" customFormat="1" ht="69">
      <c r="B56" s="93" t="s">
        <v>67</v>
      </c>
      <c r="C56" s="130" t="s">
        <v>222</v>
      </c>
      <c r="D56" s="395"/>
    </row>
    <row r="57" spans="2:5" s="3" customFormat="1" ht="51.75">
      <c r="B57" s="93" t="s">
        <v>68</v>
      </c>
      <c r="C57" s="131" t="s">
        <v>86</v>
      </c>
      <c r="D57" s="395"/>
    </row>
    <row r="58" spans="2:5" s="3" customFormat="1" ht="69">
      <c r="B58" s="93" t="s">
        <v>121</v>
      </c>
      <c r="C58" s="214" t="s">
        <v>223</v>
      </c>
      <c r="D58" s="395"/>
    </row>
    <row r="59" spans="2:5" s="3" customFormat="1">
      <c r="B59" s="511" t="s">
        <v>0</v>
      </c>
      <c r="C59" s="472"/>
      <c r="D59" s="396"/>
    </row>
    <row r="60" spans="2:5" s="3" customFormat="1" ht="36" customHeight="1">
      <c r="B60" s="514" t="s">
        <v>224</v>
      </c>
      <c r="C60" s="515"/>
      <c r="D60" s="215">
        <v>1</v>
      </c>
    </row>
    <row r="61" spans="2:5" s="30" customFormat="1">
      <c r="B61" s="11" t="s">
        <v>5</v>
      </c>
      <c r="C61" s="11"/>
      <c r="D61" s="91">
        <f>+'Հավելված N 2'!G189</f>
        <v>-115385.99999999999</v>
      </c>
      <c r="E61" s="31"/>
    </row>
    <row r="63" spans="2:5" s="3" customFormat="1">
      <c r="B63" s="23" t="s">
        <v>35</v>
      </c>
      <c r="C63" s="23" t="s">
        <v>1</v>
      </c>
      <c r="D63" s="22"/>
    </row>
    <row r="64" spans="2:5" s="3" customFormat="1">
      <c r="B64" s="24">
        <v>1075</v>
      </c>
      <c r="C64" s="18" t="s">
        <v>136</v>
      </c>
      <c r="D64" s="23"/>
    </row>
    <row r="65" spans="2:5" s="3" customFormat="1"/>
    <row r="66" spans="2:5" s="3" customFormat="1">
      <c r="B66" s="512" t="s">
        <v>2</v>
      </c>
      <c r="C66" s="513"/>
      <c r="D66" s="29"/>
    </row>
    <row r="67" spans="2:5" s="3" customFormat="1" ht="95.45" customHeight="1">
      <c r="B67" s="18" t="s">
        <v>3</v>
      </c>
      <c r="C67" s="21">
        <v>1075</v>
      </c>
      <c r="D67" s="320" t="s">
        <v>51</v>
      </c>
    </row>
    <row r="68" spans="2:5" s="3" customFormat="1" ht="34.5">
      <c r="B68" s="18" t="s">
        <v>4</v>
      </c>
      <c r="C68" s="21">
        <v>21001</v>
      </c>
      <c r="D68" s="9" t="s">
        <v>9</v>
      </c>
    </row>
    <row r="69" spans="2:5" s="3" customFormat="1" ht="34.5">
      <c r="B69" s="93" t="s">
        <v>66</v>
      </c>
      <c r="C69" s="130" t="s">
        <v>225</v>
      </c>
      <c r="D69" s="394"/>
    </row>
    <row r="70" spans="2:5" s="3" customFormat="1" ht="86.25">
      <c r="B70" s="93" t="s">
        <v>67</v>
      </c>
      <c r="C70" s="130" t="s">
        <v>226</v>
      </c>
      <c r="D70" s="395"/>
    </row>
    <row r="71" spans="2:5" s="3" customFormat="1" ht="34.5">
      <c r="B71" s="93" t="s">
        <v>68</v>
      </c>
      <c r="C71" s="131" t="s">
        <v>227</v>
      </c>
      <c r="D71" s="395"/>
    </row>
    <row r="72" spans="2:5" s="3" customFormat="1" ht="69">
      <c r="B72" s="93" t="s">
        <v>121</v>
      </c>
      <c r="C72" s="214" t="s">
        <v>228</v>
      </c>
      <c r="D72" s="395"/>
    </row>
    <row r="73" spans="2:5" s="3" customFormat="1">
      <c r="B73" s="511" t="s">
        <v>0</v>
      </c>
      <c r="C73" s="472"/>
      <c r="D73" s="396"/>
    </row>
    <row r="74" spans="2:5" s="3" customFormat="1">
      <c r="B74" s="516" t="s">
        <v>229</v>
      </c>
      <c r="C74" s="516"/>
      <c r="D74" s="215">
        <v>1</v>
      </c>
    </row>
    <row r="75" spans="2:5" s="30" customFormat="1">
      <c r="B75" s="11" t="s">
        <v>5</v>
      </c>
      <c r="C75" s="11"/>
      <c r="D75" s="91">
        <f>+'Հավելված N 2'!G77</f>
        <v>-132019.19999999998</v>
      </c>
      <c r="E75" s="31"/>
    </row>
    <row r="76" spans="2:5" s="3" customFormat="1" ht="7.5" customHeight="1"/>
    <row r="77" spans="2:5" s="3" customFormat="1">
      <c r="B77" s="512" t="s">
        <v>2</v>
      </c>
      <c r="C77" s="513"/>
      <c r="D77" s="29"/>
    </row>
    <row r="78" spans="2:5" s="3" customFormat="1" ht="103.5">
      <c r="B78" s="18" t="s">
        <v>3</v>
      </c>
      <c r="C78" s="21">
        <v>1075</v>
      </c>
      <c r="D78" s="320" t="s">
        <v>51</v>
      </c>
    </row>
    <row r="79" spans="2:5" s="3" customFormat="1" ht="34.5">
      <c r="B79" s="18" t="s">
        <v>4</v>
      </c>
      <c r="C79" s="21">
        <v>32001</v>
      </c>
      <c r="D79" s="9" t="s">
        <v>9</v>
      </c>
    </row>
    <row r="80" spans="2:5" s="3" customFormat="1" ht="34.5">
      <c r="B80" s="93" t="s">
        <v>66</v>
      </c>
      <c r="C80" s="130" t="s">
        <v>230</v>
      </c>
      <c r="D80" s="394"/>
    </row>
    <row r="81" spans="2:5" s="3" customFormat="1" ht="69">
      <c r="B81" s="93" t="s">
        <v>67</v>
      </c>
      <c r="C81" s="130" t="s">
        <v>231</v>
      </c>
      <c r="D81" s="395"/>
    </row>
    <row r="82" spans="2:5" s="3" customFormat="1" ht="51.75">
      <c r="B82" s="93" t="s">
        <v>68</v>
      </c>
      <c r="C82" s="131" t="s">
        <v>86</v>
      </c>
      <c r="D82" s="395"/>
    </row>
    <row r="83" spans="2:5" s="3" customFormat="1" ht="69">
      <c r="B83" s="93" t="s">
        <v>121</v>
      </c>
      <c r="C83" s="214" t="s">
        <v>232</v>
      </c>
      <c r="D83" s="395"/>
    </row>
    <row r="84" spans="2:5" s="3" customFormat="1">
      <c r="B84" s="511" t="s">
        <v>0</v>
      </c>
      <c r="C84" s="472"/>
      <c r="D84" s="396"/>
    </row>
    <row r="85" spans="2:5" s="3" customFormat="1" ht="15.6" customHeight="1">
      <c r="B85" s="516" t="s">
        <v>443</v>
      </c>
      <c r="C85" s="516"/>
      <c r="D85" s="216">
        <v>-1</v>
      </c>
    </row>
    <row r="86" spans="2:5" s="3" customFormat="1" ht="15.6" customHeight="1">
      <c r="B86" s="516" t="s">
        <v>444</v>
      </c>
      <c r="C86" s="516"/>
      <c r="D86" s="215">
        <v>1</v>
      </c>
    </row>
    <row r="87" spans="2:5" s="30" customFormat="1">
      <c r="B87" s="11" t="s">
        <v>5</v>
      </c>
      <c r="C87" s="11"/>
      <c r="D87" s="91">
        <f>+'Հավելված N 2'!G28</f>
        <v>-159184.5</v>
      </c>
      <c r="E87" s="31"/>
    </row>
    <row r="89" spans="2:5" s="3" customFormat="1">
      <c r="B89" s="23" t="s">
        <v>35</v>
      </c>
      <c r="C89" s="23" t="s">
        <v>1</v>
      </c>
      <c r="D89" s="22"/>
    </row>
    <row r="90" spans="2:5" s="3" customFormat="1">
      <c r="B90" s="24">
        <v>1148</v>
      </c>
      <c r="C90" s="161" t="s">
        <v>445</v>
      </c>
      <c r="D90" s="23"/>
    </row>
    <row r="91" spans="2:5" s="3" customFormat="1"/>
    <row r="92" spans="2:5" s="3" customFormat="1">
      <c r="B92" s="512" t="s">
        <v>2</v>
      </c>
      <c r="C92" s="513"/>
      <c r="D92" s="29"/>
    </row>
    <row r="93" spans="2:5" s="3" customFormat="1" ht="70.349999999999994" customHeight="1">
      <c r="B93" s="18" t="s">
        <v>3</v>
      </c>
      <c r="C93" s="21">
        <v>1148</v>
      </c>
      <c r="D93" s="320" t="s">
        <v>27</v>
      </c>
    </row>
    <row r="94" spans="2:5" s="3" customFormat="1" ht="34.5">
      <c r="B94" s="161" t="s">
        <v>4</v>
      </c>
      <c r="C94" s="103">
        <v>32005</v>
      </c>
      <c r="D94" s="9" t="s">
        <v>9</v>
      </c>
    </row>
    <row r="95" spans="2:5" s="3" customFormat="1" ht="51.75">
      <c r="B95" s="219" t="s">
        <v>66</v>
      </c>
      <c r="C95" s="214" t="s">
        <v>433</v>
      </c>
      <c r="D95" s="394"/>
    </row>
    <row r="96" spans="2:5" s="3" customFormat="1" ht="34.5">
      <c r="B96" s="220" t="s">
        <v>67</v>
      </c>
      <c r="C96" s="214" t="s">
        <v>434</v>
      </c>
      <c r="D96" s="395"/>
    </row>
    <row r="97" spans="2:5" s="3" customFormat="1" ht="51.75">
      <c r="B97" s="219" t="s">
        <v>68</v>
      </c>
      <c r="C97" s="214" t="s">
        <v>201</v>
      </c>
      <c r="D97" s="395"/>
    </row>
    <row r="98" spans="2:5" s="3" customFormat="1" ht="69">
      <c r="B98" s="221" t="s">
        <v>446</v>
      </c>
      <c r="C98" s="214" t="s">
        <v>447</v>
      </c>
      <c r="D98" s="395"/>
    </row>
    <row r="99" spans="2:5" s="3" customFormat="1">
      <c r="B99" s="511" t="s">
        <v>0</v>
      </c>
      <c r="C99" s="472"/>
      <c r="D99" s="396"/>
    </row>
    <row r="100" spans="2:5" s="30" customFormat="1">
      <c r="B100" s="11" t="s">
        <v>5</v>
      </c>
      <c r="C100" s="11"/>
      <c r="D100" s="91">
        <f>+'Հավելված N 2'!G172</f>
        <v>4100.8</v>
      </c>
      <c r="E100" s="31"/>
    </row>
    <row r="102" spans="2:5" s="3" customFormat="1">
      <c r="B102" s="23" t="s">
        <v>35</v>
      </c>
      <c r="C102" s="23" t="s">
        <v>1</v>
      </c>
      <c r="D102" s="22"/>
    </row>
    <row r="103" spans="2:5" s="3" customFormat="1">
      <c r="B103" s="24">
        <v>1168</v>
      </c>
      <c r="C103" s="161" t="s">
        <v>178</v>
      </c>
      <c r="D103" s="23"/>
    </row>
    <row r="104" spans="2:5" s="3" customFormat="1"/>
    <row r="105" spans="2:5" s="3" customFormat="1">
      <c r="B105" s="512" t="s">
        <v>2</v>
      </c>
      <c r="C105" s="513"/>
      <c r="D105" s="29"/>
    </row>
    <row r="106" spans="2:5" s="3" customFormat="1" ht="97.15" customHeight="1">
      <c r="B106" s="18" t="s">
        <v>3</v>
      </c>
      <c r="C106" s="21">
        <v>1168</v>
      </c>
      <c r="D106" s="320" t="s">
        <v>51</v>
      </c>
    </row>
    <row r="107" spans="2:5" s="3" customFormat="1" ht="34.5">
      <c r="B107" s="161" t="s">
        <v>4</v>
      </c>
      <c r="C107" s="103">
        <v>32001</v>
      </c>
      <c r="D107" s="9" t="s">
        <v>9</v>
      </c>
    </row>
    <row r="108" spans="2:5" s="3" customFormat="1" ht="51.75">
      <c r="B108" s="218" t="s">
        <v>66</v>
      </c>
      <c r="C108" s="130" t="s">
        <v>233</v>
      </c>
      <c r="D108" s="394"/>
    </row>
    <row r="109" spans="2:5" s="3" customFormat="1" ht="86.25">
      <c r="B109" s="161" t="s">
        <v>67</v>
      </c>
      <c r="C109" s="130" t="s">
        <v>234</v>
      </c>
      <c r="D109" s="395"/>
    </row>
    <row r="110" spans="2:5" s="3" customFormat="1" ht="51.75">
      <c r="B110" s="218" t="s">
        <v>68</v>
      </c>
      <c r="C110" s="130" t="s">
        <v>86</v>
      </c>
      <c r="D110" s="395"/>
    </row>
    <row r="111" spans="2:5" s="3" customFormat="1" ht="69">
      <c r="B111" s="93" t="s">
        <v>121</v>
      </c>
      <c r="C111" s="214" t="s">
        <v>235</v>
      </c>
      <c r="D111" s="395"/>
    </row>
    <row r="112" spans="2:5" s="3" customFormat="1">
      <c r="B112" s="511" t="s">
        <v>0</v>
      </c>
      <c r="C112" s="472"/>
      <c r="D112" s="396"/>
    </row>
    <row r="113" spans="2:5" s="3" customFormat="1" ht="15.6" customHeight="1">
      <c r="B113" s="516" t="s">
        <v>449</v>
      </c>
      <c r="C113" s="516"/>
      <c r="D113" s="216">
        <v>-1</v>
      </c>
    </row>
    <row r="114" spans="2:5" s="3" customFormat="1" ht="15.6" customHeight="1">
      <c r="B114" s="516" t="s">
        <v>448</v>
      </c>
      <c r="C114" s="516"/>
      <c r="D114" s="215">
        <v>1</v>
      </c>
    </row>
    <row r="115" spans="2:5" s="30" customFormat="1">
      <c r="B115" s="11" t="s">
        <v>5</v>
      </c>
      <c r="C115" s="11"/>
      <c r="D115" s="91">
        <f>+'Հավելված N 2'!G49</f>
        <v>-82696.2</v>
      </c>
      <c r="E115" s="31"/>
    </row>
    <row r="116" spans="2:5" s="3" customFormat="1" ht="10.15" customHeight="1"/>
    <row r="117" spans="2:5" s="3" customFormat="1">
      <c r="B117" s="512" t="s">
        <v>2</v>
      </c>
      <c r="C117" s="513"/>
      <c r="D117" s="29"/>
    </row>
    <row r="118" spans="2:5" s="3" customFormat="1" ht="69">
      <c r="B118" s="18" t="s">
        <v>3</v>
      </c>
      <c r="C118" s="21">
        <v>1168</v>
      </c>
      <c r="D118" s="320" t="s">
        <v>32</v>
      </c>
    </row>
    <row r="119" spans="2:5" s="3" customFormat="1" ht="34.5">
      <c r="B119" s="161" t="s">
        <v>4</v>
      </c>
      <c r="C119" s="103">
        <v>32008</v>
      </c>
      <c r="D119" s="9" t="s">
        <v>9</v>
      </c>
    </row>
    <row r="120" spans="2:5" s="3" customFormat="1" ht="34.5">
      <c r="B120" s="218" t="s">
        <v>66</v>
      </c>
      <c r="C120" s="130" t="s">
        <v>451</v>
      </c>
      <c r="D120" s="394"/>
    </row>
    <row r="121" spans="2:5" s="3" customFormat="1" ht="34.5">
      <c r="B121" s="161" t="s">
        <v>67</v>
      </c>
      <c r="C121" s="130" t="s">
        <v>452</v>
      </c>
      <c r="D121" s="395"/>
    </row>
    <row r="122" spans="2:5" s="3" customFormat="1" ht="51.75">
      <c r="B122" s="218" t="s">
        <v>68</v>
      </c>
      <c r="C122" s="130" t="s">
        <v>86</v>
      </c>
      <c r="D122" s="395"/>
    </row>
    <row r="123" spans="2:5" s="3" customFormat="1" ht="69">
      <c r="B123" s="93" t="s">
        <v>121</v>
      </c>
      <c r="C123" s="214" t="s">
        <v>450</v>
      </c>
      <c r="D123" s="395"/>
    </row>
    <row r="124" spans="2:5" s="3" customFormat="1">
      <c r="B124" s="511" t="s">
        <v>0</v>
      </c>
      <c r="C124" s="472"/>
      <c r="D124" s="396"/>
    </row>
    <row r="125" spans="2:5" s="30" customFormat="1">
      <c r="B125" s="11" t="s">
        <v>5</v>
      </c>
      <c r="C125" s="11"/>
      <c r="D125" s="91">
        <f>+'Հավելված N 2'!G62</f>
        <v>-45250</v>
      </c>
      <c r="E125" s="31"/>
    </row>
    <row r="127" spans="2:5" s="3" customFormat="1">
      <c r="B127" s="23" t="s">
        <v>35</v>
      </c>
      <c r="C127" s="23" t="s">
        <v>1</v>
      </c>
      <c r="D127" s="22"/>
    </row>
    <row r="128" spans="2:5" s="3" customFormat="1">
      <c r="B128" s="24">
        <v>1183</v>
      </c>
      <c r="C128" s="18" t="s">
        <v>115</v>
      </c>
      <c r="D128" s="23"/>
    </row>
    <row r="129" spans="2:5" s="3" customFormat="1"/>
    <row r="130" spans="2:5" s="3" customFormat="1">
      <c r="B130" s="512" t="s">
        <v>2</v>
      </c>
      <c r="C130" s="513"/>
      <c r="D130" s="29"/>
    </row>
    <row r="131" spans="2:5" s="3" customFormat="1" ht="70.349999999999994" customHeight="1">
      <c r="B131" s="18" t="s">
        <v>3</v>
      </c>
      <c r="C131" s="21">
        <v>1183</v>
      </c>
      <c r="D131" s="320" t="s">
        <v>27</v>
      </c>
    </row>
    <row r="132" spans="2:5" s="3" customFormat="1" ht="34.5">
      <c r="B132" s="18" t="s">
        <v>4</v>
      </c>
      <c r="C132" s="21">
        <v>11002</v>
      </c>
      <c r="D132" s="9" t="s">
        <v>9</v>
      </c>
    </row>
    <row r="133" spans="2:5" s="3" customFormat="1" ht="34.5">
      <c r="B133" s="93" t="s">
        <v>66</v>
      </c>
      <c r="C133" s="130" t="s">
        <v>453</v>
      </c>
      <c r="D133" s="394"/>
    </row>
    <row r="134" spans="2:5" s="3" customFormat="1" ht="69">
      <c r="B134" s="93" t="s">
        <v>67</v>
      </c>
      <c r="C134" s="130" t="s">
        <v>454</v>
      </c>
      <c r="D134" s="395"/>
    </row>
    <row r="135" spans="2:5" s="3" customFormat="1" ht="34.5">
      <c r="B135" s="93" t="s">
        <v>68</v>
      </c>
      <c r="C135" s="131" t="s">
        <v>236</v>
      </c>
      <c r="D135" s="395"/>
    </row>
    <row r="136" spans="2:5" s="3" customFormat="1" ht="86.25">
      <c r="B136" s="93" t="s">
        <v>455</v>
      </c>
      <c r="C136" s="131" t="s">
        <v>456</v>
      </c>
      <c r="D136" s="395"/>
    </row>
    <row r="137" spans="2:5" s="3" customFormat="1">
      <c r="B137" s="511" t="s">
        <v>0</v>
      </c>
      <c r="C137" s="472"/>
      <c r="D137" s="396"/>
    </row>
    <row r="138" spans="2:5" s="3" customFormat="1" ht="17.649999999999999" customHeight="1">
      <c r="B138" s="514" t="s">
        <v>457</v>
      </c>
      <c r="C138" s="515"/>
      <c r="D138" s="10">
        <v>14</v>
      </c>
    </row>
    <row r="139" spans="2:5" s="30" customFormat="1">
      <c r="B139" s="11" t="s">
        <v>5</v>
      </c>
      <c r="C139" s="11"/>
      <c r="D139" s="91">
        <f>+'Հավելված N 2'!G135</f>
        <v>30000</v>
      </c>
      <c r="E139" s="31"/>
    </row>
    <row r="140" spans="2:5" ht="8.4499999999999993" customHeight="1"/>
    <row r="141" spans="2:5" s="3" customFormat="1">
      <c r="B141" s="512" t="s">
        <v>2</v>
      </c>
      <c r="C141" s="513"/>
      <c r="D141" s="29"/>
    </row>
    <row r="142" spans="2:5" s="3" customFormat="1" ht="70.349999999999994" customHeight="1">
      <c r="B142" s="18" t="s">
        <v>3</v>
      </c>
      <c r="C142" s="21">
        <v>1183</v>
      </c>
      <c r="D142" s="320" t="s">
        <v>32</v>
      </c>
    </row>
    <row r="143" spans="2:5" s="3" customFormat="1" ht="34.5">
      <c r="B143" s="18" t="s">
        <v>4</v>
      </c>
      <c r="C143" s="21">
        <v>32004</v>
      </c>
      <c r="D143" s="9" t="s">
        <v>9</v>
      </c>
    </row>
    <row r="144" spans="2:5" s="3" customFormat="1" ht="51.75">
      <c r="B144" s="93" t="s">
        <v>66</v>
      </c>
      <c r="C144" s="130" t="s">
        <v>458</v>
      </c>
      <c r="D144" s="394"/>
    </row>
    <row r="145" spans="2:5" s="3" customFormat="1">
      <c r="B145" s="93" t="s">
        <v>67</v>
      </c>
      <c r="C145" s="130" t="s">
        <v>459</v>
      </c>
      <c r="D145" s="395"/>
    </row>
    <row r="146" spans="2:5" s="3" customFormat="1" ht="51.75">
      <c r="B146" s="93" t="s">
        <v>68</v>
      </c>
      <c r="C146" s="131" t="s">
        <v>86</v>
      </c>
      <c r="D146" s="395"/>
    </row>
    <row r="147" spans="2:5" s="3" customFormat="1" ht="69">
      <c r="B147" s="93" t="s">
        <v>121</v>
      </c>
      <c r="C147" s="131" t="s">
        <v>460</v>
      </c>
      <c r="D147" s="395"/>
    </row>
    <row r="148" spans="2:5" s="3" customFormat="1">
      <c r="B148" s="511" t="s">
        <v>0</v>
      </c>
      <c r="C148" s="472"/>
      <c r="D148" s="396"/>
    </row>
    <row r="149" spans="2:5" s="30" customFormat="1">
      <c r="B149" s="11" t="s">
        <v>5</v>
      </c>
      <c r="C149" s="11"/>
      <c r="D149" s="91">
        <f>+'Հավելված N 2'!G215</f>
        <v>-16159.800000000001</v>
      </c>
      <c r="E149" s="31"/>
    </row>
    <row r="151" spans="2:5" s="3" customFormat="1">
      <c r="B151" s="23" t="s">
        <v>35</v>
      </c>
      <c r="C151" s="23" t="s">
        <v>1</v>
      </c>
      <c r="D151" s="22"/>
    </row>
    <row r="152" spans="2:5" s="3" customFormat="1">
      <c r="B152" s="24">
        <v>1192</v>
      </c>
      <c r="C152" s="18" t="s">
        <v>484</v>
      </c>
      <c r="D152" s="23"/>
    </row>
    <row r="153" spans="2:5" s="3" customFormat="1"/>
    <row r="154" spans="2:5" s="3" customFormat="1">
      <c r="B154" s="512" t="s">
        <v>2</v>
      </c>
      <c r="C154" s="513"/>
      <c r="D154" s="29"/>
    </row>
    <row r="155" spans="2:5" s="3" customFormat="1" ht="70.349999999999994" customHeight="1">
      <c r="B155" s="18" t="s">
        <v>3</v>
      </c>
      <c r="C155" s="21">
        <v>1192</v>
      </c>
      <c r="D155" s="320" t="s">
        <v>27</v>
      </c>
    </row>
    <row r="156" spans="2:5" s="3" customFormat="1" ht="34.5">
      <c r="B156" s="18" t="s">
        <v>4</v>
      </c>
      <c r="C156" s="21">
        <v>11023</v>
      </c>
      <c r="D156" s="9" t="s">
        <v>9</v>
      </c>
    </row>
    <row r="157" spans="2:5" s="3" customFormat="1" ht="51.75">
      <c r="B157" s="93" t="s">
        <v>66</v>
      </c>
      <c r="C157" s="130" t="s">
        <v>495</v>
      </c>
      <c r="D157" s="394"/>
    </row>
    <row r="158" spans="2:5" s="3" customFormat="1" ht="51.75">
      <c r="B158" s="93" t="s">
        <v>67</v>
      </c>
      <c r="C158" s="130" t="s">
        <v>496</v>
      </c>
      <c r="D158" s="395"/>
    </row>
    <row r="159" spans="2:5" s="3" customFormat="1" ht="34.5">
      <c r="B159" s="93" t="s">
        <v>68</v>
      </c>
      <c r="C159" s="131" t="s">
        <v>236</v>
      </c>
      <c r="D159" s="395"/>
    </row>
    <row r="160" spans="2:5" s="3" customFormat="1" ht="69">
      <c r="B160" s="93" t="s">
        <v>87</v>
      </c>
      <c r="C160" s="131" t="s">
        <v>497</v>
      </c>
      <c r="D160" s="395"/>
    </row>
    <row r="161" spans="2:5" s="3" customFormat="1">
      <c r="B161" s="511" t="s">
        <v>0</v>
      </c>
      <c r="C161" s="472"/>
      <c r="D161" s="396"/>
    </row>
    <row r="162" spans="2:5" s="30" customFormat="1">
      <c r="B162" s="11" t="s">
        <v>5</v>
      </c>
      <c r="C162" s="11"/>
      <c r="D162" s="91">
        <f>+'Հավելված N 2'!G226</f>
        <v>24427</v>
      </c>
      <c r="E162" s="31"/>
    </row>
    <row r="164" spans="2:5" s="3" customFormat="1">
      <c r="B164" s="23" t="s">
        <v>35</v>
      </c>
      <c r="C164" s="23" t="s">
        <v>1</v>
      </c>
      <c r="D164" s="22"/>
    </row>
    <row r="165" spans="2:5" s="3" customFormat="1" ht="34.5">
      <c r="B165" s="24">
        <v>1236</v>
      </c>
      <c r="C165" s="18" t="s">
        <v>85</v>
      </c>
      <c r="D165" s="23"/>
    </row>
    <row r="166" spans="2:5" s="3" customFormat="1"/>
    <row r="167" spans="2:5" s="3" customFormat="1">
      <c r="B167" s="512" t="s">
        <v>2</v>
      </c>
      <c r="C167" s="513"/>
      <c r="D167" s="29"/>
    </row>
    <row r="168" spans="2:5" s="3" customFormat="1" ht="70.349999999999994" customHeight="1">
      <c r="B168" s="18" t="s">
        <v>3</v>
      </c>
      <c r="C168" s="21">
        <v>1236</v>
      </c>
      <c r="D168" s="320" t="s">
        <v>32</v>
      </c>
    </row>
    <row r="169" spans="2:5" s="3" customFormat="1" ht="34.5">
      <c r="B169" s="18" t="s">
        <v>4</v>
      </c>
      <c r="C169" s="21">
        <v>32006</v>
      </c>
      <c r="D169" s="9" t="s">
        <v>9</v>
      </c>
    </row>
    <row r="170" spans="2:5" s="3" customFormat="1" ht="34.5">
      <c r="B170" s="60" t="s">
        <v>66</v>
      </c>
      <c r="C170" s="26" t="s">
        <v>110</v>
      </c>
      <c r="D170" s="394"/>
    </row>
    <row r="171" spans="2:5" s="3" customFormat="1" ht="86.25">
      <c r="B171" s="18" t="s">
        <v>67</v>
      </c>
      <c r="C171" s="26" t="s">
        <v>111</v>
      </c>
      <c r="D171" s="395"/>
    </row>
    <row r="172" spans="2:5" s="3" customFormat="1" ht="51.75">
      <c r="B172" s="25" t="s">
        <v>68</v>
      </c>
      <c r="C172" s="26" t="s">
        <v>86</v>
      </c>
      <c r="D172" s="395"/>
    </row>
    <row r="173" spans="2:5" s="3" customFormat="1" ht="69">
      <c r="B173" s="124" t="s">
        <v>87</v>
      </c>
      <c r="C173" s="26" t="s">
        <v>112</v>
      </c>
      <c r="D173" s="395"/>
    </row>
    <row r="174" spans="2:5" s="3" customFormat="1">
      <c r="B174" s="511" t="s">
        <v>0</v>
      </c>
      <c r="C174" s="472"/>
      <c r="D174" s="396"/>
    </row>
    <row r="175" spans="2:5" s="30" customFormat="1">
      <c r="B175" s="11" t="s">
        <v>5</v>
      </c>
      <c r="C175" s="11"/>
      <c r="D175" s="91">
        <f>+'Հավելված N 2'!G155</f>
        <v>-41968.4</v>
      </c>
      <c r="E175" s="31"/>
    </row>
    <row r="182" spans="1:4" ht="21.95" customHeight="1">
      <c r="A182" s="509" t="s">
        <v>471</v>
      </c>
      <c r="B182" s="509"/>
      <c r="C182" s="509"/>
      <c r="D182" s="509"/>
    </row>
    <row r="183" spans="1:4" ht="38.65" customHeight="1">
      <c r="C183" s="226" t="s">
        <v>353</v>
      </c>
      <c r="D183" s="222"/>
    </row>
    <row r="184" spans="1:4">
      <c r="B184" s="518" t="s">
        <v>33</v>
      </c>
      <c r="C184" s="518"/>
      <c r="D184" s="518"/>
    </row>
    <row r="185" spans="1:4">
      <c r="B185" s="3"/>
      <c r="C185" s="3"/>
      <c r="D185" s="28"/>
    </row>
    <row r="186" spans="1:4">
      <c r="B186" s="3"/>
      <c r="C186" s="3"/>
    </row>
    <row r="188" spans="1:4" s="3" customFormat="1">
      <c r="B188" s="23" t="s">
        <v>35</v>
      </c>
      <c r="C188" s="23" t="s">
        <v>1</v>
      </c>
      <c r="D188" s="22"/>
    </row>
    <row r="189" spans="1:4" s="3" customFormat="1" ht="34.5">
      <c r="B189" s="24">
        <v>1236</v>
      </c>
      <c r="C189" s="18" t="s">
        <v>85</v>
      </c>
      <c r="D189" s="23"/>
    </row>
    <row r="190" spans="1:4" s="3" customFormat="1"/>
    <row r="191" spans="1:4" s="3" customFormat="1">
      <c r="B191" s="512" t="s">
        <v>2</v>
      </c>
      <c r="C191" s="513"/>
      <c r="D191" s="29"/>
    </row>
    <row r="192" spans="1:4" s="3" customFormat="1" ht="70.349999999999994" customHeight="1">
      <c r="B192" s="18" t="s">
        <v>3</v>
      </c>
      <c r="C192" s="21">
        <v>1236</v>
      </c>
      <c r="D192" s="320" t="s">
        <v>27</v>
      </c>
    </row>
    <row r="193" spans="2:5" s="3" customFormat="1" ht="34.5">
      <c r="B193" s="18" t="s">
        <v>4</v>
      </c>
      <c r="C193" s="21">
        <v>32001</v>
      </c>
      <c r="D193" s="9" t="s">
        <v>9</v>
      </c>
    </row>
    <row r="194" spans="2:5" s="3" customFormat="1" ht="34.5">
      <c r="B194" s="60" t="s">
        <v>66</v>
      </c>
      <c r="C194" s="26" t="s">
        <v>462</v>
      </c>
      <c r="D194" s="394"/>
    </row>
    <row r="195" spans="2:5" s="3" customFormat="1" ht="69">
      <c r="B195" s="18" t="s">
        <v>67</v>
      </c>
      <c r="C195" s="26" t="s">
        <v>463</v>
      </c>
      <c r="D195" s="395"/>
    </row>
    <row r="196" spans="2:5" s="3" customFormat="1" ht="51.75">
      <c r="B196" s="25" t="s">
        <v>68</v>
      </c>
      <c r="C196" s="26" t="s">
        <v>86</v>
      </c>
      <c r="D196" s="395"/>
    </row>
    <row r="197" spans="2:5" s="3" customFormat="1" ht="51.75">
      <c r="B197" s="124" t="s">
        <v>464</v>
      </c>
      <c r="C197" s="26" t="s">
        <v>465</v>
      </c>
      <c r="D197" s="395"/>
    </row>
    <row r="198" spans="2:5" s="3" customFormat="1">
      <c r="B198" s="511" t="s">
        <v>0</v>
      </c>
      <c r="C198" s="472"/>
      <c r="D198" s="396"/>
    </row>
    <row r="199" spans="2:5" s="3" customFormat="1" ht="17.649999999999999" customHeight="1">
      <c r="B199" s="514" t="s">
        <v>461</v>
      </c>
      <c r="C199" s="515"/>
      <c r="D199" s="10">
        <v>2</v>
      </c>
    </row>
    <row r="200" spans="2:5" s="30" customFormat="1">
      <c r="B200" s="11" t="s">
        <v>5</v>
      </c>
      <c r="C200" s="11"/>
      <c r="D200" s="91">
        <f>+'Հավելված N 2'!G98</f>
        <v>262552.3</v>
      </c>
      <c r="E200" s="31"/>
    </row>
    <row r="201" spans="2:5" s="324" customFormat="1" ht="7.5" customHeight="1"/>
    <row r="202" spans="2:5" s="3" customFormat="1" ht="70.349999999999994" customHeight="1">
      <c r="B202" s="18" t="s">
        <v>3</v>
      </c>
      <c r="C202" s="21">
        <v>1236</v>
      </c>
      <c r="D202" s="320" t="s">
        <v>27</v>
      </c>
    </row>
    <row r="203" spans="2:5" s="3" customFormat="1" ht="34.5">
      <c r="B203" s="18" t="s">
        <v>4</v>
      </c>
      <c r="C203" s="21">
        <v>32003</v>
      </c>
      <c r="D203" s="9" t="s">
        <v>9</v>
      </c>
    </row>
    <row r="204" spans="2:5" s="3" customFormat="1" ht="34.5">
      <c r="B204" s="60" t="s">
        <v>66</v>
      </c>
      <c r="C204" s="26" t="s">
        <v>468</v>
      </c>
      <c r="D204" s="394"/>
    </row>
    <row r="205" spans="2:5" s="3" customFormat="1" ht="86.25">
      <c r="B205" s="18" t="s">
        <v>67</v>
      </c>
      <c r="C205" s="26" t="s">
        <v>469</v>
      </c>
      <c r="D205" s="395"/>
    </row>
    <row r="206" spans="2:5" s="3" customFormat="1" ht="51.75">
      <c r="B206" s="25" t="s">
        <v>68</v>
      </c>
      <c r="C206" s="26" t="s">
        <v>86</v>
      </c>
      <c r="D206" s="395"/>
    </row>
    <row r="207" spans="2:5" s="3" customFormat="1" ht="69">
      <c r="B207" s="124" t="s">
        <v>87</v>
      </c>
      <c r="C207" s="26" t="s">
        <v>237</v>
      </c>
      <c r="D207" s="395"/>
    </row>
    <row r="208" spans="2:5" s="3" customFormat="1">
      <c r="B208" s="511" t="s">
        <v>0</v>
      </c>
      <c r="C208" s="472"/>
      <c r="D208" s="396"/>
    </row>
    <row r="209" spans="1:5" s="30" customFormat="1">
      <c r="B209" s="11" t="s">
        <v>5</v>
      </c>
      <c r="C209" s="11"/>
      <c r="D209" s="91">
        <f>+'Հավելված N 2'!G146</f>
        <v>36526.9</v>
      </c>
      <c r="E209" s="31"/>
    </row>
    <row r="215" spans="1:5" ht="21.95" customHeight="1">
      <c r="A215" s="509" t="s">
        <v>244</v>
      </c>
      <c r="B215" s="509"/>
      <c r="C215" s="509"/>
      <c r="D215" s="509"/>
    </row>
    <row r="216" spans="1:5" ht="38.65" customHeight="1">
      <c r="C216" s="226" t="s">
        <v>200</v>
      </c>
      <c r="D216" s="222"/>
    </row>
    <row r="217" spans="1:5">
      <c r="B217" s="518" t="s">
        <v>33</v>
      </c>
      <c r="C217" s="518"/>
      <c r="D217" s="518"/>
    </row>
    <row r="218" spans="1:5">
      <c r="B218" s="3"/>
      <c r="C218" s="3"/>
      <c r="D218" s="28"/>
    </row>
    <row r="219" spans="1:5">
      <c r="B219" s="3"/>
      <c r="C219" s="3"/>
    </row>
    <row r="220" spans="1:5" s="3" customFormat="1">
      <c r="B220" s="195" t="s">
        <v>35</v>
      </c>
      <c r="C220" s="195" t="s">
        <v>1</v>
      </c>
      <c r="D220" s="106"/>
    </row>
    <row r="221" spans="1:5" s="3" customFormat="1">
      <c r="B221" s="223">
        <v>1139</v>
      </c>
      <c r="C221" s="161" t="s">
        <v>240</v>
      </c>
      <c r="D221" s="195"/>
    </row>
    <row r="222" spans="1:5" s="3" customFormat="1"/>
    <row r="223" spans="1:5" s="3" customFormat="1">
      <c r="B223" s="485" t="s">
        <v>2</v>
      </c>
      <c r="C223" s="517"/>
      <c r="D223" s="195"/>
    </row>
    <row r="224" spans="1:5" s="3" customFormat="1" ht="70.349999999999994" customHeight="1">
      <c r="B224" s="18" t="s">
        <v>3</v>
      </c>
      <c r="C224" s="21">
        <v>1139</v>
      </c>
      <c r="D224" s="320" t="s">
        <v>27</v>
      </c>
    </row>
    <row r="225" spans="2:4" s="3" customFormat="1" ht="34.5">
      <c r="B225" s="161" t="s">
        <v>4</v>
      </c>
      <c r="C225" s="103">
        <v>11001</v>
      </c>
      <c r="D225" s="122" t="s">
        <v>9</v>
      </c>
    </row>
    <row r="226" spans="2:4" s="3" customFormat="1" ht="34.5">
      <c r="B226" s="217" t="s">
        <v>66</v>
      </c>
      <c r="C226" s="130" t="s">
        <v>240</v>
      </c>
      <c r="D226" s="394"/>
    </row>
    <row r="227" spans="2:4" s="3" customFormat="1" ht="69">
      <c r="B227" s="161" t="s">
        <v>67</v>
      </c>
      <c r="C227" s="130" t="s">
        <v>241</v>
      </c>
      <c r="D227" s="395"/>
    </row>
    <row r="228" spans="2:4" s="3" customFormat="1" ht="34.5">
      <c r="B228" s="218" t="s">
        <v>68</v>
      </c>
      <c r="C228" s="130" t="s">
        <v>236</v>
      </c>
      <c r="D228" s="395"/>
    </row>
    <row r="229" spans="2:4" s="3" customFormat="1" ht="51.75">
      <c r="B229" s="93" t="s">
        <v>242</v>
      </c>
      <c r="C229" s="130" t="s">
        <v>243</v>
      </c>
      <c r="D229" s="395"/>
    </row>
    <row r="230" spans="2:4" s="3" customFormat="1">
      <c r="B230" s="471" t="s">
        <v>0</v>
      </c>
      <c r="C230" s="472"/>
      <c r="D230" s="396"/>
    </row>
    <row r="231" spans="2:4" s="30" customFormat="1">
      <c r="B231" s="224" t="s">
        <v>5</v>
      </c>
      <c r="C231" s="224"/>
      <c r="D231" s="225">
        <f>+'Հավելված N 2'!G252</f>
        <v>4100.8</v>
      </c>
    </row>
    <row r="232" spans="2:4" ht="8.1" customHeight="1"/>
    <row r="233" spans="2:4" s="3" customFormat="1">
      <c r="B233" s="485" t="s">
        <v>2</v>
      </c>
      <c r="C233" s="517"/>
      <c r="D233" s="195"/>
    </row>
    <row r="234" spans="2:4" s="3" customFormat="1" ht="70.349999999999994" customHeight="1">
      <c r="B234" s="18" t="s">
        <v>3</v>
      </c>
      <c r="C234" s="21">
        <v>1139</v>
      </c>
      <c r="D234" s="320" t="s">
        <v>32</v>
      </c>
    </row>
    <row r="235" spans="2:4" s="3" customFormat="1" ht="34.5">
      <c r="B235" s="161" t="s">
        <v>4</v>
      </c>
      <c r="C235" s="103">
        <v>11001</v>
      </c>
      <c r="D235" s="122" t="s">
        <v>9</v>
      </c>
    </row>
    <row r="236" spans="2:4" s="3" customFormat="1" ht="34.5">
      <c r="B236" s="217" t="s">
        <v>66</v>
      </c>
      <c r="C236" s="130" t="s">
        <v>240</v>
      </c>
      <c r="D236" s="394"/>
    </row>
    <row r="237" spans="2:4" s="3" customFormat="1" ht="69">
      <c r="B237" s="161" t="s">
        <v>67</v>
      </c>
      <c r="C237" s="130" t="s">
        <v>241</v>
      </c>
      <c r="D237" s="395"/>
    </row>
    <row r="238" spans="2:4" s="3" customFormat="1" ht="34.5">
      <c r="B238" s="218" t="s">
        <v>68</v>
      </c>
      <c r="C238" s="130" t="s">
        <v>236</v>
      </c>
      <c r="D238" s="395"/>
    </row>
    <row r="239" spans="2:4" s="3" customFormat="1" ht="51.75">
      <c r="B239" s="93" t="s">
        <v>242</v>
      </c>
      <c r="C239" s="130" t="s">
        <v>243</v>
      </c>
      <c r="D239" s="395"/>
    </row>
    <row r="240" spans="2:4" s="3" customFormat="1">
      <c r="B240" s="471" t="s">
        <v>0</v>
      </c>
      <c r="C240" s="472"/>
      <c r="D240" s="396"/>
    </row>
    <row r="241" spans="2:4" s="30" customFormat="1">
      <c r="B241" s="224" t="s">
        <v>5</v>
      </c>
      <c r="C241" s="224"/>
      <c r="D241" s="225">
        <f>+'Հավելված N 2'!G260</f>
        <v>-4100.8</v>
      </c>
    </row>
  </sheetData>
  <mergeCells count="66">
    <mergeCell ref="D236:D240"/>
    <mergeCell ref="B240:C240"/>
    <mergeCell ref="A182:D182"/>
    <mergeCell ref="B184:D184"/>
    <mergeCell ref="A215:D215"/>
    <mergeCell ref="B217:D217"/>
    <mergeCell ref="B223:C223"/>
    <mergeCell ref="D226:D230"/>
    <mergeCell ref="B230:C230"/>
    <mergeCell ref="B233:C233"/>
    <mergeCell ref="B138:C138"/>
    <mergeCell ref="D204:D208"/>
    <mergeCell ref="B208:C208"/>
    <mergeCell ref="B167:C167"/>
    <mergeCell ref="D170:D174"/>
    <mergeCell ref="B174:C174"/>
    <mergeCell ref="B191:C191"/>
    <mergeCell ref="D194:D198"/>
    <mergeCell ref="B141:C141"/>
    <mergeCell ref="D144:D148"/>
    <mergeCell ref="B148:C148"/>
    <mergeCell ref="B198:C198"/>
    <mergeCell ref="B199:C199"/>
    <mergeCell ref="B154:C154"/>
    <mergeCell ref="D157:D161"/>
    <mergeCell ref="B161:C161"/>
    <mergeCell ref="D120:D124"/>
    <mergeCell ref="B124:C124"/>
    <mergeCell ref="B130:C130"/>
    <mergeCell ref="D133:D137"/>
    <mergeCell ref="B137:C137"/>
    <mergeCell ref="B117:C117"/>
    <mergeCell ref="B92:C92"/>
    <mergeCell ref="D95:D99"/>
    <mergeCell ref="B99:C99"/>
    <mergeCell ref="B105:C105"/>
    <mergeCell ref="D108:D112"/>
    <mergeCell ref="B112:C112"/>
    <mergeCell ref="B113:C113"/>
    <mergeCell ref="B114:C114"/>
    <mergeCell ref="B86:C86"/>
    <mergeCell ref="B52:C52"/>
    <mergeCell ref="D55:D59"/>
    <mergeCell ref="B59:C59"/>
    <mergeCell ref="B60:C60"/>
    <mergeCell ref="B66:C66"/>
    <mergeCell ref="D69:D73"/>
    <mergeCell ref="B73:C73"/>
    <mergeCell ref="B74:C74"/>
    <mergeCell ref="B77:C77"/>
    <mergeCell ref="D80:D84"/>
    <mergeCell ref="B84:C84"/>
    <mergeCell ref="B85:C85"/>
    <mergeCell ref="B46:D46"/>
    <mergeCell ref="A8:D8"/>
    <mergeCell ref="B10:D10"/>
    <mergeCell ref="C1:D1"/>
    <mergeCell ref="C2:D2"/>
    <mergeCell ref="C3:D3"/>
    <mergeCell ref="B6:D6"/>
    <mergeCell ref="A44:D44"/>
    <mergeCell ref="D31:D35"/>
    <mergeCell ref="B35:C35"/>
    <mergeCell ref="B16:C16"/>
    <mergeCell ref="D19:D23"/>
    <mergeCell ref="B23:C23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7"/>
  <sheetViews>
    <sheetView zoomScale="96" zoomScaleNormal="99" workbookViewId="0">
      <selection activeCell="I78" sqref="I78"/>
    </sheetView>
  </sheetViews>
  <sheetFormatPr defaultColWidth="9.140625" defaultRowHeight="17.25"/>
  <cols>
    <col min="1" max="4" width="18.28515625" style="35" customWidth="1"/>
    <col min="5" max="6" width="14.42578125" style="80" customWidth="1"/>
    <col min="7" max="7" width="17.7109375" style="81" customWidth="1"/>
    <col min="8" max="8" width="14.42578125" style="81" customWidth="1"/>
    <col min="9" max="9" width="30.28515625" style="80" customWidth="1"/>
    <col min="10" max="10" width="23.42578125" style="35" customWidth="1"/>
    <col min="11" max="11" width="14.42578125" style="35" bestFit="1" customWidth="1"/>
    <col min="12" max="16384" width="9.140625" style="35"/>
  </cols>
  <sheetData>
    <row r="1" spans="1:10" ht="33.4" customHeight="1">
      <c r="A1" s="74"/>
      <c r="B1" s="74"/>
      <c r="C1" s="74"/>
      <c r="D1" s="74"/>
      <c r="E1" s="75"/>
      <c r="F1" s="75"/>
      <c r="G1" s="76"/>
      <c r="H1" s="524" t="s">
        <v>474</v>
      </c>
      <c r="I1" s="524"/>
    </row>
    <row r="2" spans="1:10">
      <c r="A2" s="74"/>
      <c r="B2" s="74"/>
      <c r="C2" s="74"/>
      <c r="D2" s="74"/>
      <c r="E2" s="75"/>
      <c r="F2" s="75"/>
      <c r="G2" s="76"/>
      <c r="H2" s="525" t="s">
        <v>71</v>
      </c>
      <c r="I2" s="525"/>
    </row>
    <row r="3" spans="1:10">
      <c r="A3" s="74"/>
      <c r="B3" s="74"/>
      <c r="C3" s="74"/>
      <c r="D3" s="74"/>
      <c r="E3" s="75"/>
      <c r="F3" s="75"/>
      <c r="G3" s="76"/>
      <c r="H3" s="525" t="s">
        <v>6</v>
      </c>
      <c r="I3" s="525"/>
    </row>
    <row r="4" spans="1:10">
      <c r="A4" s="74"/>
      <c r="B4" s="74"/>
      <c r="C4" s="74"/>
      <c r="D4" s="74"/>
      <c r="E4" s="75"/>
      <c r="F4" s="75"/>
      <c r="G4" s="76"/>
      <c r="H4" s="76"/>
      <c r="I4" s="125"/>
    </row>
    <row r="5" spans="1:10">
      <c r="A5" s="74"/>
      <c r="B5" s="74"/>
      <c r="C5" s="74"/>
      <c r="D5" s="74"/>
      <c r="E5" s="75"/>
      <c r="F5" s="75"/>
      <c r="G5" s="76"/>
      <c r="H5" s="76"/>
      <c r="I5" s="125"/>
    </row>
    <row r="6" spans="1:10" ht="32.25" customHeight="1">
      <c r="A6" s="526" t="s">
        <v>72</v>
      </c>
      <c r="B6" s="526"/>
      <c r="C6" s="526"/>
      <c r="D6" s="526"/>
      <c r="E6" s="526"/>
      <c r="F6" s="526"/>
      <c r="G6" s="526"/>
      <c r="H6" s="526"/>
      <c r="I6" s="526"/>
    </row>
    <row r="7" spans="1:10" ht="21" customHeight="1">
      <c r="A7" s="526"/>
      <c r="B7" s="526"/>
      <c r="C7" s="526"/>
      <c r="D7" s="526"/>
      <c r="E7" s="526"/>
      <c r="F7" s="526"/>
      <c r="G7" s="526"/>
      <c r="H7" s="526"/>
      <c r="I7" s="526"/>
    </row>
    <row r="8" spans="1:10" ht="21" customHeight="1">
      <c r="A8" s="77"/>
      <c r="B8" s="77"/>
      <c r="C8" s="77"/>
      <c r="D8" s="77"/>
      <c r="E8" s="77"/>
      <c r="F8" s="77"/>
      <c r="G8" s="77"/>
      <c r="H8" s="77"/>
      <c r="I8" s="77"/>
    </row>
    <row r="9" spans="1:10" ht="21" customHeight="1">
      <c r="A9" s="77"/>
      <c r="B9" s="77"/>
      <c r="C9" s="77"/>
      <c r="D9" s="77"/>
      <c r="E9" s="77"/>
      <c r="F9" s="77"/>
      <c r="G9" s="77"/>
      <c r="H9" s="77"/>
      <c r="I9" s="77"/>
    </row>
    <row r="10" spans="1:10" ht="73.900000000000006" customHeight="1">
      <c r="A10" s="527" t="s">
        <v>36</v>
      </c>
      <c r="B10" s="527" t="s">
        <v>37</v>
      </c>
      <c r="C10" s="527"/>
      <c r="D10" s="527"/>
      <c r="E10" s="527" t="s">
        <v>38</v>
      </c>
      <c r="F10" s="527" t="s">
        <v>39</v>
      </c>
      <c r="G10" s="527" t="s">
        <v>40</v>
      </c>
      <c r="H10" s="490" t="s">
        <v>69</v>
      </c>
      <c r="I10" s="490"/>
    </row>
    <row r="11" spans="1:10" ht="21" customHeight="1">
      <c r="A11" s="527"/>
      <c r="B11" s="527"/>
      <c r="C11" s="527"/>
      <c r="D11" s="527"/>
      <c r="E11" s="527"/>
      <c r="F11" s="527"/>
      <c r="G11" s="527"/>
      <c r="H11" s="126" t="s">
        <v>41</v>
      </c>
      <c r="I11" s="78" t="s">
        <v>42</v>
      </c>
    </row>
    <row r="12" spans="1:10">
      <c r="A12" s="79">
        <v>1</v>
      </c>
      <c r="B12" s="528">
        <v>2</v>
      </c>
      <c r="C12" s="529"/>
      <c r="D12" s="530"/>
      <c r="E12" s="126">
        <v>3</v>
      </c>
      <c r="F12" s="126">
        <v>4</v>
      </c>
      <c r="G12" s="126">
        <v>5</v>
      </c>
      <c r="H12" s="126">
        <v>6</v>
      </c>
      <c r="I12" s="126">
        <v>7</v>
      </c>
    </row>
    <row r="13" spans="1:10" ht="44.85" customHeight="1">
      <c r="A13" s="531" t="s">
        <v>18</v>
      </c>
      <c r="B13" s="531"/>
      <c r="C13" s="531"/>
      <c r="D13" s="531"/>
      <c r="E13" s="531"/>
      <c r="F13" s="531"/>
      <c r="G13" s="531"/>
      <c r="H13" s="531"/>
      <c r="I13" s="53">
        <f>+I14+I21+I38+I77+I86+I90</f>
        <v>-654656.5</v>
      </c>
      <c r="J13" s="337"/>
    </row>
    <row r="14" spans="1:10" s="80" customFormat="1">
      <c r="A14" s="253" t="s">
        <v>140</v>
      </c>
      <c r="B14" s="253" t="s">
        <v>56</v>
      </c>
      <c r="C14" s="253" t="s">
        <v>157</v>
      </c>
      <c r="D14" s="532" t="s">
        <v>158</v>
      </c>
      <c r="E14" s="533"/>
      <c r="F14" s="533"/>
      <c r="G14" s="533"/>
      <c r="H14" s="534"/>
      <c r="I14" s="265">
        <f>+I15</f>
        <v>-205072.8</v>
      </c>
      <c r="J14" s="338"/>
    </row>
    <row r="15" spans="1:10" ht="54.75" customHeight="1">
      <c r="A15" s="255" t="s">
        <v>159</v>
      </c>
      <c r="B15" s="541" t="s">
        <v>160</v>
      </c>
      <c r="C15" s="542"/>
      <c r="D15" s="542"/>
      <c r="E15" s="542"/>
      <c r="F15" s="542"/>
      <c r="G15" s="542"/>
      <c r="H15" s="543"/>
      <c r="I15" s="273">
        <f>+I16+I18</f>
        <v>-205072.8</v>
      </c>
      <c r="J15" s="389"/>
    </row>
    <row r="16" spans="1:10" s="85" customFormat="1" ht="21" customHeight="1">
      <c r="A16" s="116"/>
      <c r="B16" s="403" t="s">
        <v>161</v>
      </c>
      <c r="C16" s="404"/>
      <c r="D16" s="539"/>
      <c r="E16" s="163" t="s">
        <v>77</v>
      </c>
      <c r="F16" s="163" t="s">
        <v>77</v>
      </c>
      <c r="G16" s="163" t="s">
        <v>77</v>
      </c>
      <c r="H16" s="164"/>
      <c r="I16" s="165">
        <f>+I17</f>
        <v>-203504.3</v>
      </c>
      <c r="J16" s="339"/>
    </row>
    <row r="17" spans="1:10" s="85" customFormat="1">
      <c r="A17" s="116" t="s">
        <v>335</v>
      </c>
      <c r="B17" s="540" t="s">
        <v>162</v>
      </c>
      <c r="C17" s="540"/>
      <c r="D17" s="540"/>
      <c r="E17" s="92" t="s">
        <v>147</v>
      </c>
      <c r="F17" s="92" t="s">
        <v>47</v>
      </c>
      <c r="G17" s="166">
        <v>203504300</v>
      </c>
      <c r="H17" s="167">
        <v>-1</v>
      </c>
      <c r="I17" s="62">
        <f>ROUNDDOWN(H17*G17/1000,1)</f>
        <v>-203504.3</v>
      </c>
    </row>
    <row r="18" spans="1:10" ht="16.5" customHeight="1">
      <c r="A18" s="274"/>
      <c r="B18" s="545" t="s">
        <v>48</v>
      </c>
      <c r="C18" s="546"/>
      <c r="D18" s="547"/>
      <c r="E18" s="275"/>
      <c r="F18" s="275"/>
      <c r="G18" s="276"/>
      <c r="H18" s="276"/>
      <c r="I18" s="277">
        <f>SUM(I19:I20)</f>
        <v>-1568.5</v>
      </c>
    </row>
    <row r="19" spans="1:10" s="279" customFormat="1" ht="17.649999999999999" customHeight="1">
      <c r="A19" s="160" t="s">
        <v>279</v>
      </c>
      <c r="B19" s="535" t="s">
        <v>57</v>
      </c>
      <c r="C19" s="535"/>
      <c r="D19" s="535"/>
      <c r="E19" s="268" t="s">
        <v>49</v>
      </c>
      <c r="F19" s="268" t="s">
        <v>73</v>
      </c>
      <c r="G19" s="278">
        <v>321800</v>
      </c>
      <c r="H19" s="178">
        <v>-1</v>
      </c>
      <c r="I19" s="62">
        <f t="shared" ref="I19:I20" si="0">ROUNDDOWN(H19*G19/1000,1)</f>
        <v>-321.8</v>
      </c>
    </row>
    <row r="20" spans="1:10" s="279" customFormat="1" ht="17.649999999999999" customHeight="1">
      <c r="A20" s="160" t="s">
        <v>280</v>
      </c>
      <c r="B20" s="535" t="s">
        <v>58</v>
      </c>
      <c r="C20" s="535"/>
      <c r="D20" s="535"/>
      <c r="E20" s="268" t="s">
        <v>50</v>
      </c>
      <c r="F20" s="268" t="s">
        <v>73</v>
      </c>
      <c r="G20" s="278">
        <v>1246700</v>
      </c>
      <c r="H20" s="178">
        <v>-1</v>
      </c>
      <c r="I20" s="62">
        <f t="shared" si="0"/>
        <v>-1246.7</v>
      </c>
    </row>
    <row r="21" spans="1:10" s="3" customFormat="1">
      <c r="A21" s="117" t="s">
        <v>140</v>
      </c>
      <c r="B21" s="117" t="s">
        <v>56</v>
      </c>
      <c r="C21" s="117" t="s">
        <v>154</v>
      </c>
      <c r="D21" s="532" t="s">
        <v>155</v>
      </c>
      <c r="E21" s="533"/>
      <c r="F21" s="533"/>
      <c r="G21" s="533"/>
      <c r="H21" s="534"/>
      <c r="I21" s="265">
        <f>+I22+I28</f>
        <v>-137993.59999999998</v>
      </c>
    </row>
    <row r="22" spans="1:10" s="84" customFormat="1" ht="54.75" customHeight="1">
      <c r="A22" s="161" t="s">
        <v>393</v>
      </c>
      <c r="B22" s="544" t="s">
        <v>179</v>
      </c>
      <c r="C22" s="544"/>
      <c r="D22" s="544"/>
      <c r="E22" s="544"/>
      <c r="F22" s="544"/>
      <c r="G22" s="544"/>
      <c r="H22" s="544"/>
      <c r="I22" s="162">
        <f>+I23+I25</f>
        <v>-92743.599999999991</v>
      </c>
    </row>
    <row r="23" spans="1:10" s="85" customFormat="1" ht="21" customHeight="1">
      <c r="A23" s="116"/>
      <c r="B23" s="403" t="s">
        <v>161</v>
      </c>
      <c r="C23" s="404"/>
      <c r="D23" s="539"/>
      <c r="E23" s="163" t="s">
        <v>77</v>
      </c>
      <c r="F23" s="163" t="s">
        <v>77</v>
      </c>
      <c r="G23" s="163" t="s">
        <v>77</v>
      </c>
      <c r="H23" s="164"/>
      <c r="I23" s="165">
        <f>+I24</f>
        <v>-90393.4</v>
      </c>
    </row>
    <row r="24" spans="1:10" s="85" customFormat="1">
      <c r="A24" s="116" t="s">
        <v>335</v>
      </c>
      <c r="B24" s="540" t="s">
        <v>162</v>
      </c>
      <c r="C24" s="540"/>
      <c r="D24" s="540"/>
      <c r="E24" s="92" t="s">
        <v>147</v>
      </c>
      <c r="F24" s="92" t="s">
        <v>47</v>
      </c>
      <c r="G24" s="166">
        <v>90393400</v>
      </c>
      <c r="H24" s="178">
        <v>-1</v>
      </c>
      <c r="I24" s="62">
        <f t="shared" ref="I24" si="1">ROUNDDOWN(H24*G24/1000,1)</f>
        <v>-90393.4</v>
      </c>
    </row>
    <row r="25" spans="1:10" s="85" customFormat="1" ht="21" customHeight="1">
      <c r="A25" s="116"/>
      <c r="B25" s="403" t="s">
        <v>48</v>
      </c>
      <c r="C25" s="404"/>
      <c r="D25" s="539"/>
      <c r="E25" s="163" t="s">
        <v>77</v>
      </c>
      <c r="F25" s="163" t="s">
        <v>77</v>
      </c>
      <c r="G25" s="163" t="s">
        <v>77</v>
      </c>
      <c r="H25" s="164"/>
      <c r="I25" s="165">
        <f>SUM(I26:I27)</f>
        <v>-2350.1999999999998</v>
      </c>
    </row>
    <row r="26" spans="1:10" s="85" customFormat="1">
      <c r="A26" s="116" t="s">
        <v>279</v>
      </c>
      <c r="B26" s="540" t="s">
        <v>57</v>
      </c>
      <c r="C26" s="540"/>
      <c r="D26" s="540"/>
      <c r="E26" s="92" t="s">
        <v>49</v>
      </c>
      <c r="F26" s="92" t="s">
        <v>47</v>
      </c>
      <c r="G26" s="166">
        <v>1807900</v>
      </c>
      <c r="H26" s="178">
        <v>-1</v>
      </c>
      <c r="I26" s="62">
        <f t="shared" ref="I26:I27" si="2">ROUNDDOWN(H26*G26/1000,1)</f>
        <v>-1807.9</v>
      </c>
    </row>
    <row r="27" spans="1:10" s="85" customFormat="1">
      <c r="A27" s="116" t="s">
        <v>280</v>
      </c>
      <c r="B27" s="540" t="s">
        <v>58</v>
      </c>
      <c r="C27" s="540"/>
      <c r="D27" s="540"/>
      <c r="E27" s="92" t="s">
        <v>50</v>
      </c>
      <c r="F27" s="92" t="s">
        <v>47</v>
      </c>
      <c r="G27" s="166">
        <v>542300</v>
      </c>
      <c r="H27" s="178">
        <v>-1</v>
      </c>
      <c r="I27" s="62">
        <f t="shared" si="2"/>
        <v>-542.29999999999995</v>
      </c>
    </row>
    <row r="28" spans="1:10" s="84" customFormat="1" ht="54.95" customHeight="1">
      <c r="A28" s="161" t="s">
        <v>395</v>
      </c>
      <c r="B28" s="544" t="s">
        <v>396</v>
      </c>
      <c r="C28" s="544"/>
      <c r="D28" s="544"/>
      <c r="E28" s="544"/>
      <c r="F28" s="544"/>
      <c r="G28" s="544"/>
      <c r="H28" s="544"/>
      <c r="I28" s="162">
        <f>+I29</f>
        <v>-45250</v>
      </c>
    </row>
    <row r="29" spans="1:10" s="85" customFormat="1" ht="21" customHeight="1">
      <c r="A29" s="116"/>
      <c r="B29" s="403" t="s">
        <v>347</v>
      </c>
      <c r="C29" s="404"/>
      <c r="D29" s="539"/>
      <c r="E29" s="163" t="s">
        <v>77</v>
      </c>
      <c r="F29" s="163" t="s">
        <v>77</v>
      </c>
      <c r="G29" s="163" t="s">
        <v>77</v>
      </c>
      <c r="H29" s="164"/>
      <c r="I29" s="165">
        <f>SUM(I30:I37)</f>
        <v>-45250</v>
      </c>
      <c r="J29" s="285"/>
    </row>
    <row r="30" spans="1:10" s="236" customFormat="1" ht="15.6" customHeight="1">
      <c r="A30" s="272" t="s">
        <v>403</v>
      </c>
      <c r="B30" s="551" t="s">
        <v>397</v>
      </c>
      <c r="C30" s="552"/>
      <c r="D30" s="553"/>
      <c r="E30" s="92" t="s">
        <v>49</v>
      </c>
      <c r="F30" s="92" t="s">
        <v>164</v>
      </c>
      <c r="G30" s="166">
        <v>3560000</v>
      </c>
      <c r="H30" s="178">
        <v>-1</v>
      </c>
      <c r="I30" s="62">
        <f t="shared" ref="I30:I37" si="3">ROUNDDOWN(H30*G30/1000,1)</f>
        <v>-3560</v>
      </c>
    </row>
    <row r="31" spans="1:10" s="236" customFormat="1" ht="15.6" customHeight="1">
      <c r="A31" s="272" t="s">
        <v>404</v>
      </c>
      <c r="B31" s="551" t="s">
        <v>397</v>
      </c>
      <c r="C31" s="552"/>
      <c r="D31" s="553"/>
      <c r="E31" s="92" t="s">
        <v>49</v>
      </c>
      <c r="F31" s="92" t="s">
        <v>164</v>
      </c>
      <c r="G31" s="166">
        <v>1200000</v>
      </c>
      <c r="H31" s="178">
        <v>-1</v>
      </c>
      <c r="I31" s="62">
        <f t="shared" si="3"/>
        <v>-1200</v>
      </c>
    </row>
    <row r="32" spans="1:10" s="85" customFormat="1" ht="15.6" customHeight="1">
      <c r="A32" s="272" t="s">
        <v>405</v>
      </c>
      <c r="B32" s="551" t="s">
        <v>398</v>
      </c>
      <c r="C32" s="552"/>
      <c r="D32" s="553"/>
      <c r="E32" s="92" t="s">
        <v>147</v>
      </c>
      <c r="F32" s="92" t="s">
        <v>164</v>
      </c>
      <c r="G32" s="166">
        <v>35145000</v>
      </c>
      <c r="H32" s="178">
        <v>-1</v>
      </c>
      <c r="I32" s="62">
        <f t="shared" si="3"/>
        <v>-35145</v>
      </c>
    </row>
    <row r="33" spans="1:9" s="236" customFormat="1" ht="15.6" customHeight="1">
      <c r="A33" s="272" t="s">
        <v>406</v>
      </c>
      <c r="B33" s="551" t="s">
        <v>399</v>
      </c>
      <c r="C33" s="552"/>
      <c r="D33" s="553"/>
      <c r="E33" s="92" t="s">
        <v>49</v>
      </c>
      <c r="F33" s="92" t="s">
        <v>164</v>
      </c>
      <c r="G33" s="166">
        <v>161000</v>
      </c>
      <c r="H33" s="178">
        <v>-1</v>
      </c>
      <c r="I33" s="62">
        <f t="shared" si="3"/>
        <v>-161</v>
      </c>
    </row>
    <row r="34" spans="1:9" s="236" customFormat="1" ht="15.6" customHeight="1">
      <c r="A34" s="272" t="s">
        <v>407</v>
      </c>
      <c r="B34" s="551" t="s">
        <v>400</v>
      </c>
      <c r="C34" s="552"/>
      <c r="D34" s="553"/>
      <c r="E34" s="92" t="s">
        <v>49</v>
      </c>
      <c r="F34" s="92" t="s">
        <v>164</v>
      </c>
      <c r="G34" s="166">
        <v>517000</v>
      </c>
      <c r="H34" s="178">
        <v>-2</v>
      </c>
      <c r="I34" s="62">
        <f t="shared" si="3"/>
        <v>-1034</v>
      </c>
    </row>
    <row r="35" spans="1:9" s="236" customFormat="1" ht="15.6" customHeight="1">
      <c r="A35" s="272" t="s">
        <v>408</v>
      </c>
      <c r="B35" s="551" t="s">
        <v>401</v>
      </c>
      <c r="C35" s="552"/>
      <c r="D35" s="553"/>
      <c r="E35" s="92" t="s">
        <v>49</v>
      </c>
      <c r="F35" s="92" t="s">
        <v>164</v>
      </c>
      <c r="G35" s="166">
        <v>1310000</v>
      </c>
      <c r="H35" s="178">
        <v>-2</v>
      </c>
      <c r="I35" s="62">
        <f t="shared" si="3"/>
        <v>-2620</v>
      </c>
    </row>
    <row r="36" spans="1:9" s="236" customFormat="1" ht="15.6" customHeight="1">
      <c r="A36" s="272" t="s">
        <v>409</v>
      </c>
      <c r="B36" s="551" t="s">
        <v>402</v>
      </c>
      <c r="C36" s="552"/>
      <c r="D36" s="553"/>
      <c r="E36" s="92" t="s">
        <v>49</v>
      </c>
      <c r="F36" s="92" t="s">
        <v>164</v>
      </c>
      <c r="G36" s="166">
        <v>180000</v>
      </c>
      <c r="H36" s="178">
        <v>-1</v>
      </c>
      <c r="I36" s="62">
        <f t="shared" si="3"/>
        <v>-180</v>
      </c>
    </row>
    <row r="37" spans="1:9" s="236" customFormat="1" ht="15.6" customHeight="1">
      <c r="A37" s="272" t="s">
        <v>410</v>
      </c>
      <c r="B37" s="551" t="s">
        <v>397</v>
      </c>
      <c r="C37" s="552"/>
      <c r="D37" s="553"/>
      <c r="E37" s="92" t="s">
        <v>49</v>
      </c>
      <c r="F37" s="92" t="s">
        <v>164</v>
      </c>
      <c r="G37" s="166">
        <v>1350000</v>
      </c>
      <c r="H37" s="178">
        <v>-1</v>
      </c>
      <c r="I37" s="62">
        <f t="shared" si="3"/>
        <v>-1350</v>
      </c>
    </row>
    <row r="38" spans="1:9" s="30" customFormat="1" ht="37.700000000000003" customHeight="1">
      <c r="A38" s="253" t="s">
        <v>140</v>
      </c>
      <c r="B38" s="253" t="s">
        <v>56</v>
      </c>
      <c r="C38" s="253" t="s">
        <v>141</v>
      </c>
      <c r="D38" s="532" t="s">
        <v>142</v>
      </c>
      <c r="E38" s="533"/>
      <c r="F38" s="533"/>
      <c r="G38" s="533"/>
      <c r="H38" s="534"/>
      <c r="I38" s="254">
        <f>+I39</f>
        <v>-132019.20000000001</v>
      </c>
    </row>
    <row r="39" spans="1:9" s="84" customFormat="1" ht="54.95" customHeight="1">
      <c r="A39" s="255" t="s">
        <v>143</v>
      </c>
      <c r="B39" s="541" t="s">
        <v>137</v>
      </c>
      <c r="C39" s="542"/>
      <c r="D39" s="542"/>
      <c r="E39" s="542"/>
      <c r="F39" s="542"/>
      <c r="G39" s="542"/>
      <c r="H39" s="543"/>
      <c r="I39" s="256">
        <f>+I40+I53</f>
        <v>-132019.20000000001</v>
      </c>
    </row>
    <row r="40" spans="1:9" s="30" customFormat="1" ht="21" customHeight="1">
      <c r="A40" s="257"/>
      <c r="B40" s="548" t="s">
        <v>76</v>
      </c>
      <c r="C40" s="549"/>
      <c r="D40" s="550"/>
      <c r="E40" s="258"/>
      <c r="F40" s="258"/>
      <c r="G40" s="258"/>
      <c r="H40" s="259"/>
      <c r="I40" s="260">
        <f>SUM(I41:I52)</f>
        <v>-131087.5</v>
      </c>
    </row>
    <row r="41" spans="1:9" s="85" customFormat="1" ht="18" customHeight="1">
      <c r="A41" s="160" t="s">
        <v>303</v>
      </c>
      <c r="B41" s="535" t="s">
        <v>247</v>
      </c>
      <c r="C41" s="535"/>
      <c r="D41" s="535"/>
      <c r="E41" s="261" t="s">
        <v>147</v>
      </c>
      <c r="F41" s="261" t="s">
        <v>73</v>
      </c>
      <c r="G41" s="262"/>
      <c r="H41" s="263"/>
      <c r="I41" s="62">
        <v>-9272.1</v>
      </c>
    </row>
    <row r="42" spans="1:9" s="85" customFormat="1" ht="18" customHeight="1">
      <c r="A42" s="160" t="s">
        <v>304</v>
      </c>
      <c r="B42" s="535" t="s">
        <v>247</v>
      </c>
      <c r="C42" s="535"/>
      <c r="D42" s="535"/>
      <c r="E42" s="261" t="s">
        <v>147</v>
      </c>
      <c r="F42" s="261" t="s">
        <v>73</v>
      </c>
      <c r="G42" s="262"/>
      <c r="H42" s="263"/>
      <c r="I42" s="62">
        <f>-38169.3-21.6-516.9</f>
        <v>-38707.800000000003</v>
      </c>
    </row>
    <row r="43" spans="1:9" s="85" customFormat="1" ht="18" customHeight="1">
      <c r="A43" s="160" t="s">
        <v>308</v>
      </c>
      <c r="B43" s="535" t="s">
        <v>247</v>
      </c>
      <c r="C43" s="535"/>
      <c r="D43" s="535"/>
      <c r="E43" s="261" t="s">
        <v>147</v>
      </c>
      <c r="F43" s="261" t="s">
        <v>73</v>
      </c>
      <c r="G43" s="262"/>
      <c r="H43" s="263"/>
      <c r="I43" s="62">
        <f>-3731.7-11444.6</f>
        <v>-15176.3</v>
      </c>
    </row>
    <row r="44" spans="1:9" s="85" customFormat="1" ht="18" customHeight="1">
      <c r="A44" s="160" t="s">
        <v>315</v>
      </c>
      <c r="B44" s="535" t="s">
        <v>247</v>
      </c>
      <c r="C44" s="535"/>
      <c r="D44" s="535"/>
      <c r="E44" s="261" t="s">
        <v>147</v>
      </c>
      <c r="F44" s="261" t="s">
        <v>73</v>
      </c>
      <c r="G44" s="262">
        <v>33804132</v>
      </c>
      <c r="H44" s="263">
        <v>-1</v>
      </c>
      <c r="I44" s="62">
        <f>ROUNDDOWN(H44*G44/1000,1)</f>
        <v>-33804.1</v>
      </c>
    </row>
    <row r="45" spans="1:9" s="85" customFormat="1" ht="18" customHeight="1">
      <c r="A45" s="160" t="s">
        <v>310</v>
      </c>
      <c r="B45" s="535" t="s">
        <v>247</v>
      </c>
      <c r="C45" s="535"/>
      <c r="D45" s="535"/>
      <c r="E45" s="261" t="s">
        <v>147</v>
      </c>
      <c r="F45" s="261" t="s">
        <v>73</v>
      </c>
      <c r="G45" s="262">
        <v>32363728</v>
      </c>
      <c r="H45" s="263">
        <v>-1</v>
      </c>
      <c r="I45" s="62">
        <f>ROUNDDOWN(H45*G45/1000,1)</f>
        <v>-32363.7</v>
      </c>
    </row>
    <row r="46" spans="1:9" s="85" customFormat="1" ht="18" customHeight="1">
      <c r="A46" s="160" t="s">
        <v>313</v>
      </c>
      <c r="B46" s="535" t="s">
        <v>247</v>
      </c>
      <c r="C46" s="535"/>
      <c r="D46" s="535"/>
      <c r="E46" s="261" t="s">
        <v>147</v>
      </c>
      <c r="F46" s="261" t="s">
        <v>73</v>
      </c>
      <c r="G46" s="262"/>
      <c r="H46" s="263"/>
      <c r="I46" s="62">
        <v>35375.800000000003</v>
      </c>
    </row>
    <row r="47" spans="1:9" s="85" customFormat="1" ht="18" customHeight="1">
      <c r="A47" s="160" t="s">
        <v>307</v>
      </c>
      <c r="B47" s="535" t="s">
        <v>247</v>
      </c>
      <c r="C47" s="535"/>
      <c r="D47" s="535"/>
      <c r="E47" s="261" t="s">
        <v>306</v>
      </c>
      <c r="F47" s="261" t="s">
        <v>73</v>
      </c>
      <c r="G47" s="262"/>
      <c r="H47" s="263"/>
      <c r="I47" s="62">
        <f>-257.7-16809.3</f>
        <v>-17067</v>
      </c>
    </row>
    <row r="48" spans="1:9" s="85" customFormat="1" ht="18" customHeight="1">
      <c r="A48" s="160" t="s">
        <v>305</v>
      </c>
      <c r="B48" s="535" t="s">
        <v>247</v>
      </c>
      <c r="C48" s="535"/>
      <c r="D48" s="535"/>
      <c r="E48" s="261" t="s">
        <v>147</v>
      </c>
      <c r="F48" s="261" t="s">
        <v>73</v>
      </c>
      <c r="G48" s="262"/>
      <c r="H48" s="263"/>
      <c r="I48" s="62">
        <f>33192-1414</f>
        <v>31778</v>
      </c>
    </row>
    <row r="49" spans="1:9" s="85" customFormat="1" ht="18" customHeight="1">
      <c r="A49" s="160" t="s">
        <v>312</v>
      </c>
      <c r="B49" s="535" t="s">
        <v>247</v>
      </c>
      <c r="C49" s="535"/>
      <c r="D49" s="535"/>
      <c r="E49" s="261" t="s">
        <v>147</v>
      </c>
      <c r="F49" s="261" t="s">
        <v>73</v>
      </c>
      <c r="G49" s="262"/>
      <c r="H49" s="263"/>
      <c r="I49" s="62">
        <v>2304.8000000000002</v>
      </c>
    </row>
    <row r="50" spans="1:9" s="85" customFormat="1" ht="18" customHeight="1">
      <c r="A50" s="160" t="s">
        <v>328</v>
      </c>
      <c r="B50" s="535" t="s">
        <v>247</v>
      </c>
      <c r="C50" s="535"/>
      <c r="D50" s="535"/>
      <c r="E50" s="261" t="s">
        <v>49</v>
      </c>
      <c r="F50" s="261" t="s">
        <v>73</v>
      </c>
      <c r="G50" s="262"/>
      <c r="H50" s="263"/>
      <c r="I50" s="62">
        <f>-10688.8-32289.5+30</f>
        <v>-42948.3</v>
      </c>
    </row>
    <row r="51" spans="1:9" s="85" customFormat="1" ht="18" customHeight="1">
      <c r="A51" s="160" t="s">
        <v>309</v>
      </c>
      <c r="B51" s="535" t="s">
        <v>247</v>
      </c>
      <c r="C51" s="535"/>
      <c r="D51" s="535"/>
      <c r="E51" s="261" t="s">
        <v>147</v>
      </c>
      <c r="F51" s="261" t="s">
        <v>73</v>
      </c>
      <c r="G51" s="262"/>
      <c r="H51" s="263"/>
      <c r="I51" s="62">
        <f>-162.6-82</f>
        <v>-244.6</v>
      </c>
    </row>
    <row r="52" spans="1:9" s="85" customFormat="1" ht="18" customHeight="1">
      <c r="A52" s="160" t="s">
        <v>311</v>
      </c>
      <c r="B52" s="535" t="s">
        <v>247</v>
      </c>
      <c r="C52" s="535"/>
      <c r="D52" s="535"/>
      <c r="E52" s="261" t="s">
        <v>147</v>
      </c>
      <c r="F52" s="261" t="s">
        <v>73</v>
      </c>
      <c r="G52" s="262">
        <v>10962272</v>
      </c>
      <c r="H52" s="263">
        <v>-1</v>
      </c>
      <c r="I52" s="62">
        <f>ROUNDDOWN(H52*G52/1000,1)</f>
        <v>-10962.2</v>
      </c>
    </row>
    <row r="53" spans="1:9" s="85" customFormat="1" ht="21" customHeight="1">
      <c r="A53" s="170"/>
      <c r="B53" s="548" t="s">
        <v>48</v>
      </c>
      <c r="C53" s="549"/>
      <c r="D53" s="550"/>
      <c r="E53" s="258" t="s">
        <v>77</v>
      </c>
      <c r="F53" s="258" t="s">
        <v>77</v>
      </c>
      <c r="G53" s="258" t="s">
        <v>77</v>
      </c>
      <c r="H53" s="264"/>
      <c r="I53" s="260">
        <f>SUM(I54:I76)</f>
        <v>-931.69999999999982</v>
      </c>
    </row>
    <row r="54" spans="1:9" s="85" customFormat="1" ht="17.649999999999999" customHeight="1">
      <c r="A54" s="160" t="s">
        <v>279</v>
      </c>
      <c r="B54" s="535" t="s">
        <v>57</v>
      </c>
      <c r="C54" s="535"/>
      <c r="D54" s="535"/>
      <c r="E54" s="261" t="s">
        <v>49</v>
      </c>
      <c r="F54" s="261" t="s">
        <v>73</v>
      </c>
      <c r="G54" s="262"/>
      <c r="H54" s="263"/>
      <c r="I54" s="62">
        <v>-29.3</v>
      </c>
    </row>
    <row r="55" spans="1:9" s="85" customFormat="1" ht="17.649999999999999" customHeight="1">
      <c r="A55" s="160" t="s">
        <v>270</v>
      </c>
      <c r="B55" s="535" t="s">
        <v>57</v>
      </c>
      <c r="C55" s="535"/>
      <c r="D55" s="535"/>
      <c r="E55" s="261" t="s">
        <v>49</v>
      </c>
      <c r="F55" s="261" t="s">
        <v>73</v>
      </c>
      <c r="G55" s="262">
        <v>937350</v>
      </c>
      <c r="H55" s="263">
        <v>-1</v>
      </c>
      <c r="I55" s="62">
        <f>ROUNDDOWN(H55*G55/1000,1)</f>
        <v>-937.3</v>
      </c>
    </row>
    <row r="56" spans="1:9" s="85" customFormat="1" ht="17.649999999999999" customHeight="1">
      <c r="A56" s="160" t="s">
        <v>288</v>
      </c>
      <c r="B56" s="535" t="s">
        <v>57</v>
      </c>
      <c r="C56" s="535"/>
      <c r="D56" s="535"/>
      <c r="E56" s="261" t="s">
        <v>49</v>
      </c>
      <c r="F56" s="261" t="s">
        <v>73</v>
      </c>
      <c r="G56" s="262"/>
      <c r="H56" s="263"/>
      <c r="I56" s="62">
        <f>-263.7-120</f>
        <v>-383.7</v>
      </c>
    </row>
    <row r="57" spans="1:9" s="85" customFormat="1" ht="17.649999999999999" customHeight="1">
      <c r="A57" s="160" t="s">
        <v>322</v>
      </c>
      <c r="B57" s="535" t="s">
        <v>57</v>
      </c>
      <c r="C57" s="535"/>
      <c r="D57" s="535"/>
      <c r="E57" s="261" t="s">
        <v>49</v>
      </c>
      <c r="F57" s="261" t="s">
        <v>73</v>
      </c>
      <c r="G57" s="262"/>
      <c r="H57" s="263"/>
      <c r="I57" s="62">
        <f>-320.4-27.7</f>
        <v>-348.09999999999997</v>
      </c>
    </row>
    <row r="58" spans="1:9" s="85" customFormat="1" ht="17.649999999999999" customHeight="1">
      <c r="A58" s="160" t="s">
        <v>317</v>
      </c>
      <c r="B58" s="535" t="s">
        <v>57</v>
      </c>
      <c r="C58" s="535"/>
      <c r="D58" s="535"/>
      <c r="E58" s="261" t="s">
        <v>49</v>
      </c>
      <c r="F58" s="261" t="s">
        <v>73</v>
      </c>
      <c r="G58" s="262">
        <v>92890</v>
      </c>
      <c r="H58" s="263">
        <v>-1</v>
      </c>
      <c r="I58" s="62">
        <f>ROUND(H58*G58/1000,1)</f>
        <v>-92.9</v>
      </c>
    </row>
    <row r="59" spans="1:9" s="85" customFormat="1" ht="17.649999999999999" customHeight="1">
      <c r="A59" s="160" t="s">
        <v>317</v>
      </c>
      <c r="B59" s="535" t="s">
        <v>57</v>
      </c>
      <c r="C59" s="535"/>
      <c r="D59" s="535"/>
      <c r="E59" s="261" t="s">
        <v>49</v>
      </c>
      <c r="F59" s="261" t="s">
        <v>73</v>
      </c>
      <c r="G59" s="262"/>
      <c r="H59" s="263"/>
      <c r="I59" s="62">
        <v>-232.1</v>
      </c>
    </row>
    <row r="60" spans="1:9" s="85" customFormat="1" ht="17.649999999999999" customHeight="1">
      <c r="A60" s="160" t="s">
        <v>314</v>
      </c>
      <c r="B60" s="535" t="s">
        <v>57</v>
      </c>
      <c r="C60" s="535"/>
      <c r="D60" s="535"/>
      <c r="E60" s="261" t="s">
        <v>49</v>
      </c>
      <c r="F60" s="261" t="s">
        <v>73</v>
      </c>
      <c r="G60" s="262"/>
      <c r="H60" s="263"/>
      <c r="I60" s="62">
        <f>-233.2-78.9</f>
        <v>-312.10000000000002</v>
      </c>
    </row>
    <row r="61" spans="1:9" s="85" customFormat="1" ht="17.649999999999999" customHeight="1">
      <c r="A61" s="160" t="s">
        <v>332</v>
      </c>
      <c r="B61" s="535" t="s">
        <v>57</v>
      </c>
      <c r="C61" s="535"/>
      <c r="D61" s="535"/>
      <c r="E61" s="261" t="s">
        <v>49</v>
      </c>
      <c r="F61" s="261" t="s">
        <v>73</v>
      </c>
      <c r="G61" s="262"/>
      <c r="H61" s="263"/>
      <c r="I61" s="62">
        <v>1628.3</v>
      </c>
    </row>
    <row r="62" spans="1:9" s="85" customFormat="1" ht="17.649999999999999" customHeight="1">
      <c r="A62" s="160" t="s">
        <v>319</v>
      </c>
      <c r="B62" s="535" t="s">
        <v>57</v>
      </c>
      <c r="C62" s="535"/>
      <c r="D62" s="535"/>
      <c r="E62" s="261" t="s">
        <v>49</v>
      </c>
      <c r="F62" s="261" t="s">
        <v>73</v>
      </c>
      <c r="G62" s="262"/>
      <c r="H62" s="263"/>
      <c r="I62" s="62">
        <v>-35.799999999999997</v>
      </c>
    </row>
    <row r="63" spans="1:9" s="85" customFormat="1" ht="17.649999999999999" customHeight="1">
      <c r="A63" s="160" t="s">
        <v>329</v>
      </c>
      <c r="B63" s="535" t="s">
        <v>57</v>
      </c>
      <c r="C63" s="535"/>
      <c r="D63" s="535"/>
      <c r="E63" s="261" t="s">
        <v>49</v>
      </c>
      <c r="F63" s="261" t="s">
        <v>73</v>
      </c>
      <c r="G63" s="262"/>
      <c r="H63" s="263"/>
      <c r="I63" s="62">
        <f>-65.8-542</f>
        <v>-607.79999999999995</v>
      </c>
    </row>
    <row r="64" spans="1:9" s="85" customFormat="1" ht="17.649999999999999" customHeight="1">
      <c r="A64" s="160" t="s">
        <v>321</v>
      </c>
      <c r="B64" s="535" t="s">
        <v>57</v>
      </c>
      <c r="C64" s="535"/>
      <c r="D64" s="535"/>
      <c r="E64" s="261" t="s">
        <v>49</v>
      </c>
      <c r="F64" s="261" t="s">
        <v>73</v>
      </c>
      <c r="G64" s="262"/>
      <c r="H64" s="263"/>
      <c r="I64" s="62">
        <v>-48.5</v>
      </c>
    </row>
    <row r="65" spans="1:11" s="85" customFormat="1" ht="17.649999999999999" customHeight="1">
      <c r="A65" s="160" t="s">
        <v>280</v>
      </c>
      <c r="B65" s="535" t="s">
        <v>58</v>
      </c>
      <c r="C65" s="535"/>
      <c r="D65" s="535"/>
      <c r="E65" s="261" t="s">
        <v>148</v>
      </c>
      <c r="F65" s="261" t="s">
        <v>73</v>
      </c>
      <c r="G65" s="262"/>
      <c r="H65" s="263"/>
      <c r="I65" s="62">
        <v>175.9</v>
      </c>
    </row>
    <row r="66" spans="1:11" s="85" customFormat="1" ht="17.649999999999999" customHeight="1">
      <c r="A66" s="160" t="s">
        <v>320</v>
      </c>
      <c r="B66" s="535" t="s">
        <v>58</v>
      </c>
      <c r="C66" s="535"/>
      <c r="D66" s="535"/>
      <c r="E66" s="261" t="s">
        <v>148</v>
      </c>
      <c r="F66" s="261" t="s">
        <v>73</v>
      </c>
      <c r="G66" s="262"/>
      <c r="H66" s="263"/>
      <c r="I66" s="62">
        <f>-116.1-350</f>
        <v>-466.1</v>
      </c>
    </row>
    <row r="67" spans="1:11" s="85" customFormat="1" ht="17.649999999999999" customHeight="1">
      <c r="A67" s="160" t="s">
        <v>323</v>
      </c>
      <c r="B67" s="535" t="s">
        <v>58</v>
      </c>
      <c r="C67" s="535"/>
      <c r="D67" s="535"/>
      <c r="E67" s="261" t="s">
        <v>148</v>
      </c>
      <c r="F67" s="261" t="s">
        <v>73</v>
      </c>
      <c r="G67" s="262"/>
      <c r="H67" s="263"/>
      <c r="I67" s="62">
        <f>-91.3</f>
        <v>-91.3</v>
      </c>
    </row>
    <row r="68" spans="1:11" s="85" customFormat="1" ht="17.649999999999999" customHeight="1">
      <c r="A68" s="160" t="s">
        <v>316</v>
      </c>
      <c r="B68" s="535" t="s">
        <v>58</v>
      </c>
      <c r="C68" s="535"/>
      <c r="D68" s="535"/>
      <c r="E68" s="261" t="s">
        <v>148</v>
      </c>
      <c r="F68" s="261" t="s">
        <v>73</v>
      </c>
      <c r="G68" s="262"/>
      <c r="H68" s="263"/>
      <c r="I68" s="62">
        <v>-169.8</v>
      </c>
    </row>
    <row r="69" spans="1:11" s="85" customFormat="1" ht="17.649999999999999" customHeight="1">
      <c r="A69" s="160" t="s">
        <v>318</v>
      </c>
      <c r="B69" s="535" t="s">
        <v>58</v>
      </c>
      <c r="C69" s="535"/>
      <c r="D69" s="535"/>
      <c r="E69" s="261" t="s">
        <v>148</v>
      </c>
      <c r="F69" s="261" t="s">
        <v>73</v>
      </c>
      <c r="G69" s="262">
        <v>324900</v>
      </c>
      <c r="H69" s="263">
        <v>-1</v>
      </c>
      <c r="I69" s="62">
        <f>+ROUNDDOWN(H69*G69/1000,1)</f>
        <v>-324.89999999999998</v>
      </c>
    </row>
    <row r="70" spans="1:11" s="85" customFormat="1" ht="17.649999999999999" customHeight="1">
      <c r="A70" s="160" t="s">
        <v>333</v>
      </c>
      <c r="B70" s="535" t="s">
        <v>58</v>
      </c>
      <c r="C70" s="535"/>
      <c r="D70" s="535"/>
      <c r="E70" s="261" t="s">
        <v>148</v>
      </c>
      <c r="F70" s="261" t="s">
        <v>73</v>
      </c>
      <c r="G70" s="262"/>
      <c r="H70" s="263"/>
      <c r="I70" s="62">
        <v>292.7</v>
      </c>
    </row>
    <row r="71" spans="1:11" s="85" customFormat="1" ht="17.649999999999999" customHeight="1">
      <c r="A71" s="160" t="s">
        <v>324</v>
      </c>
      <c r="B71" s="535" t="s">
        <v>58</v>
      </c>
      <c r="C71" s="535"/>
      <c r="D71" s="535"/>
      <c r="E71" s="261" t="s">
        <v>49</v>
      </c>
      <c r="F71" s="261" t="s">
        <v>73</v>
      </c>
      <c r="G71" s="262"/>
      <c r="H71" s="263"/>
      <c r="I71" s="62">
        <v>-39</v>
      </c>
    </row>
    <row r="72" spans="1:11" s="85" customFormat="1" ht="17.649999999999999" customHeight="1">
      <c r="A72" s="160" t="s">
        <v>330</v>
      </c>
      <c r="B72" s="535" t="s">
        <v>58</v>
      </c>
      <c r="C72" s="535"/>
      <c r="D72" s="535"/>
      <c r="E72" s="261" t="s">
        <v>50</v>
      </c>
      <c r="F72" s="261" t="s">
        <v>73</v>
      </c>
      <c r="G72" s="262"/>
      <c r="H72" s="263"/>
      <c r="I72" s="62">
        <f>-2.7-463</f>
        <v>-465.7</v>
      </c>
    </row>
    <row r="73" spans="1:11" s="85" customFormat="1" ht="17.649999999999999" customHeight="1">
      <c r="A73" s="160" t="s">
        <v>326</v>
      </c>
      <c r="B73" s="535" t="s">
        <v>58</v>
      </c>
      <c r="C73" s="535"/>
      <c r="D73" s="535"/>
      <c r="E73" s="261" t="s">
        <v>148</v>
      </c>
      <c r="F73" s="261" t="s">
        <v>73</v>
      </c>
      <c r="G73" s="262">
        <v>150000</v>
      </c>
      <c r="H73" s="263">
        <v>-1</v>
      </c>
      <c r="I73" s="62">
        <f>+ROUNDDOWN(H73*G73/1000,1)</f>
        <v>-150</v>
      </c>
    </row>
    <row r="74" spans="1:11" s="85" customFormat="1" ht="17.649999999999999" customHeight="1">
      <c r="A74" s="160" t="s">
        <v>325</v>
      </c>
      <c r="B74" s="535" t="s">
        <v>58</v>
      </c>
      <c r="C74" s="535"/>
      <c r="D74" s="535"/>
      <c r="E74" s="261" t="s">
        <v>50</v>
      </c>
      <c r="F74" s="261" t="s">
        <v>73</v>
      </c>
      <c r="G74" s="262"/>
      <c r="H74" s="263"/>
      <c r="I74" s="62">
        <v>-174.2</v>
      </c>
    </row>
    <row r="75" spans="1:11" s="85" customFormat="1">
      <c r="A75" s="160" t="s">
        <v>331</v>
      </c>
      <c r="B75" s="535" t="s">
        <v>275</v>
      </c>
      <c r="C75" s="535"/>
      <c r="D75" s="535"/>
      <c r="E75" s="261" t="s">
        <v>49</v>
      </c>
      <c r="F75" s="261" t="s">
        <v>47</v>
      </c>
      <c r="G75" s="262">
        <v>1700000</v>
      </c>
      <c r="H75" s="263">
        <v>1</v>
      </c>
      <c r="I75" s="62">
        <f t="shared" ref="I75:I76" si="4">+ROUNDDOWN(H75*G75/1000,1)</f>
        <v>1700</v>
      </c>
    </row>
    <row r="76" spans="1:11" s="85" customFormat="1" ht="17.649999999999999" customHeight="1">
      <c r="A76" s="160">
        <v>50531140</v>
      </c>
      <c r="B76" s="535" t="s">
        <v>145</v>
      </c>
      <c r="C76" s="535"/>
      <c r="D76" s="535"/>
      <c r="E76" s="261" t="s">
        <v>49</v>
      </c>
      <c r="F76" s="261" t="s">
        <v>47</v>
      </c>
      <c r="G76" s="262">
        <v>180000</v>
      </c>
      <c r="H76" s="263">
        <v>1</v>
      </c>
      <c r="I76" s="62">
        <f t="shared" si="4"/>
        <v>180</v>
      </c>
    </row>
    <row r="77" spans="1:11" s="376" customFormat="1" ht="17.850000000000001" customHeight="1">
      <c r="A77" s="253" t="s">
        <v>74</v>
      </c>
      <c r="B77" s="253" t="s">
        <v>56</v>
      </c>
      <c r="C77" s="253" t="s">
        <v>75</v>
      </c>
      <c r="D77" s="532" t="s">
        <v>103</v>
      </c>
      <c r="E77" s="533"/>
      <c r="F77" s="533"/>
      <c r="G77" s="533"/>
      <c r="H77" s="534"/>
      <c r="I77" s="230">
        <f>+I78</f>
        <v>-42047.7</v>
      </c>
    </row>
    <row r="78" spans="1:11" s="233" customFormat="1" ht="54.95" customHeight="1">
      <c r="A78" s="231" t="s">
        <v>165</v>
      </c>
      <c r="B78" s="535" t="s">
        <v>106</v>
      </c>
      <c r="C78" s="535"/>
      <c r="D78" s="535"/>
      <c r="E78" s="535"/>
      <c r="F78" s="535"/>
      <c r="G78" s="535"/>
      <c r="H78" s="535"/>
      <c r="I78" s="232">
        <f>+I79</f>
        <v>-42047.7</v>
      </c>
      <c r="J78" s="318"/>
      <c r="K78" s="318"/>
    </row>
    <row r="79" spans="1:11" s="30" customFormat="1" ht="21" customHeight="1">
      <c r="A79" s="234"/>
      <c r="B79" s="417" t="s">
        <v>249</v>
      </c>
      <c r="C79" s="417"/>
      <c r="D79" s="417"/>
      <c r="E79" s="234"/>
      <c r="F79" s="234"/>
      <c r="G79" s="234"/>
      <c r="H79" s="234"/>
      <c r="I79" s="179">
        <f>SUM(I80:I85)</f>
        <v>-42047.7</v>
      </c>
    </row>
    <row r="80" spans="1:11" s="85" customFormat="1" ht="18" customHeight="1">
      <c r="A80" s="116" t="s">
        <v>252</v>
      </c>
      <c r="B80" s="536" t="s">
        <v>255</v>
      </c>
      <c r="C80" s="537"/>
      <c r="D80" s="538"/>
      <c r="E80" s="92" t="s">
        <v>49</v>
      </c>
      <c r="F80" s="92" t="s">
        <v>163</v>
      </c>
      <c r="G80" s="166"/>
      <c r="H80" s="178"/>
      <c r="I80" s="179">
        <v>-10944.4</v>
      </c>
    </row>
    <row r="81" spans="1:9" s="85" customFormat="1" ht="18" customHeight="1">
      <c r="A81" s="116" t="s">
        <v>253</v>
      </c>
      <c r="B81" s="536" t="s">
        <v>255</v>
      </c>
      <c r="C81" s="537"/>
      <c r="D81" s="538"/>
      <c r="E81" s="92" t="s">
        <v>49</v>
      </c>
      <c r="F81" s="92" t="s">
        <v>163</v>
      </c>
      <c r="G81" s="166"/>
      <c r="H81" s="178"/>
      <c r="I81" s="179">
        <v>-16601.3</v>
      </c>
    </row>
    <row r="82" spans="1:9" s="85" customFormat="1" ht="18" customHeight="1">
      <c r="A82" s="116" t="s">
        <v>498</v>
      </c>
      <c r="B82" s="536" t="s">
        <v>256</v>
      </c>
      <c r="C82" s="537"/>
      <c r="D82" s="538"/>
      <c r="E82" s="92" t="s">
        <v>49</v>
      </c>
      <c r="F82" s="92" t="s">
        <v>163</v>
      </c>
      <c r="G82" s="166"/>
      <c r="H82" s="178"/>
      <c r="I82" s="179">
        <v>-384.8</v>
      </c>
    </row>
    <row r="83" spans="1:9" s="85" customFormat="1" ht="18" customHeight="1">
      <c r="A83" s="116" t="s">
        <v>499</v>
      </c>
      <c r="B83" s="536" t="s">
        <v>256</v>
      </c>
      <c r="C83" s="537"/>
      <c r="D83" s="538"/>
      <c r="E83" s="92" t="s">
        <v>49</v>
      </c>
      <c r="F83" s="92" t="s">
        <v>163</v>
      </c>
      <c r="G83" s="166"/>
      <c r="H83" s="178"/>
      <c r="I83" s="179">
        <v>-1040</v>
      </c>
    </row>
    <row r="84" spans="1:9" s="85" customFormat="1" ht="18" customHeight="1">
      <c r="A84" s="116" t="s">
        <v>500</v>
      </c>
      <c r="B84" s="536" t="s">
        <v>256</v>
      </c>
      <c r="C84" s="537"/>
      <c r="D84" s="538"/>
      <c r="E84" s="92" t="s">
        <v>49</v>
      </c>
      <c r="F84" s="92" t="s">
        <v>163</v>
      </c>
      <c r="G84" s="166"/>
      <c r="H84" s="178"/>
      <c r="I84" s="179">
        <v>-811.2</v>
      </c>
    </row>
    <row r="85" spans="1:9" s="85" customFormat="1" ht="18" customHeight="1">
      <c r="A85" s="116" t="s">
        <v>254</v>
      </c>
      <c r="B85" s="536" t="s">
        <v>255</v>
      </c>
      <c r="C85" s="537"/>
      <c r="D85" s="538"/>
      <c r="E85" s="92" t="s">
        <v>49</v>
      </c>
      <c r="F85" s="92" t="s">
        <v>163</v>
      </c>
      <c r="G85" s="166"/>
      <c r="H85" s="178"/>
      <c r="I85" s="179">
        <v>-12266</v>
      </c>
    </row>
    <row r="86" spans="1:9" s="3" customFormat="1">
      <c r="A86" s="117" t="s">
        <v>74</v>
      </c>
      <c r="B86" s="117" t="s">
        <v>337</v>
      </c>
      <c r="C86" s="117" t="s">
        <v>75</v>
      </c>
      <c r="D86" s="532" t="s">
        <v>338</v>
      </c>
      <c r="E86" s="533"/>
      <c r="F86" s="533"/>
      <c r="G86" s="533"/>
      <c r="H86" s="534"/>
      <c r="I86" s="265">
        <f>+I87</f>
        <v>4100.8</v>
      </c>
    </row>
    <row r="87" spans="1:9" s="84" customFormat="1" ht="54.95" customHeight="1">
      <c r="A87" s="161" t="s">
        <v>339</v>
      </c>
      <c r="B87" s="544" t="s">
        <v>342</v>
      </c>
      <c r="C87" s="544"/>
      <c r="D87" s="544"/>
      <c r="E87" s="544"/>
      <c r="F87" s="544"/>
      <c r="G87" s="544"/>
      <c r="H87" s="544"/>
      <c r="I87" s="162">
        <f>+I88</f>
        <v>4100.8</v>
      </c>
    </row>
    <row r="88" spans="1:9" s="85" customFormat="1" ht="21" customHeight="1">
      <c r="A88" s="116"/>
      <c r="B88" s="403" t="s">
        <v>48</v>
      </c>
      <c r="C88" s="404"/>
      <c r="D88" s="539"/>
      <c r="E88" s="163" t="s">
        <v>77</v>
      </c>
      <c r="F88" s="163" t="s">
        <v>77</v>
      </c>
      <c r="G88" s="163" t="s">
        <v>77</v>
      </c>
      <c r="H88" s="164"/>
      <c r="I88" s="165">
        <f>+I89</f>
        <v>4100.8</v>
      </c>
    </row>
    <row r="89" spans="1:9" s="85" customFormat="1" ht="17.649999999999999" customHeight="1">
      <c r="A89" s="160" t="s">
        <v>343</v>
      </c>
      <c r="B89" s="535" t="s">
        <v>144</v>
      </c>
      <c r="C89" s="535"/>
      <c r="D89" s="535"/>
      <c r="E89" s="92" t="s">
        <v>49</v>
      </c>
      <c r="F89" s="92" t="s">
        <v>47</v>
      </c>
      <c r="G89" s="166">
        <v>4100796</v>
      </c>
      <c r="H89" s="167">
        <v>1</v>
      </c>
      <c r="I89" s="165">
        <f t="shared" ref="I89" si="5">+ROUND(H89*G89/1000,1)</f>
        <v>4100.8</v>
      </c>
    </row>
    <row r="90" spans="1:9" s="3" customFormat="1">
      <c r="A90" s="117" t="s">
        <v>74</v>
      </c>
      <c r="B90" s="117" t="s">
        <v>150</v>
      </c>
      <c r="C90" s="117" t="s">
        <v>75</v>
      </c>
      <c r="D90" s="532" t="s">
        <v>117</v>
      </c>
      <c r="E90" s="533"/>
      <c r="F90" s="533"/>
      <c r="G90" s="533"/>
      <c r="H90" s="534"/>
      <c r="I90" s="265">
        <f>+I91+I110</f>
        <v>-141623.99999999997</v>
      </c>
    </row>
    <row r="91" spans="1:9" s="84" customFormat="1" ht="54.95" customHeight="1">
      <c r="A91" s="161" t="s">
        <v>151</v>
      </c>
      <c r="B91" s="544" t="s">
        <v>149</v>
      </c>
      <c r="C91" s="544"/>
      <c r="D91" s="544"/>
      <c r="E91" s="544"/>
      <c r="F91" s="544"/>
      <c r="G91" s="544"/>
      <c r="H91" s="544"/>
      <c r="I91" s="162">
        <f>+I92+I96</f>
        <v>-125464.19999999998</v>
      </c>
    </row>
    <row r="92" spans="1:9" s="30" customFormat="1" ht="21" customHeight="1">
      <c r="A92" s="172"/>
      <c r="B92" s="403" t="s">
        <v>76</v>
      </c>
      <c r="C92" s="404"/>
      <c r="D92" s="539"/>
      <c r="E92" s="163"/>
      <c r="F92" s="163"/>
      <c r="G92" s="163"/>
      <c r="H92" s="173"/>
      <c r="I92" s="165">
        <f>SUM(I93:I95)</f>
        <v>-97646.499999999985</v>
      </c>
    </row>
    <row r="93" spans="1:9" s="271" customFormat="1" ht="18" customHeight="1">
      <c r="A93" s="266" t="s">
        <v>278</v>
      </c>
      <c r="B93" s="554" t="s">
        <v>152</v>
      </c>
      <c r="C93" s="554"/>
      <c r="D93" s="554"/>
      <c r="E93" s="267" t="s">
        <v>147</v>
      </c>
      <c r="F93" s="268" t="s">
        <v>73</v>
      </c>
      <c r="G93" s="269"/>
      <c r="H93" s="270"/>
      <c r="I93" s="62">
        <v>-191216.8</v>
      </c>
    </row>
    <row r="94" spans="1:9" s="85" customFormat="1" ht="18" customHeight="1">
      <c r="A94" s="116" t="s">
        <v>269</v>
      </c>
      <c r="B94" s="540" t="s">
        <v>152</v>
      </c>
      <c r="C94" s="540"/>
      <c r="D94" s="540"/>
      <c r="E94" s="177" t="s">
        <v>147</v>
      </c>
      <c r="F94" s="92" t="s">
        <v>73</v>
      </c>
      <c r="G94" s="166"/>
      <c r="H94" s="167"/>
      <c r="I94" s="62">
        <f>93758.8+12227.7</f>
        <v>105986.5</v>
      </c>
    </row>
    <row r="95" spans="1:9" s="85" customFormat="1" ht="18" customHeight="1">
      <c r="A95" s="116" t="s">
        <v>287</v>
      </c>
      <c r="B95" s="540" t="s">
        <v>153</v>
      </c>
      <c r="C95" s="540"/>
      <c r="D95" s="540"/>
      <c r="E95" s="92" t="s">
        <v>49</v>
      </c>
      <c r="F95" s="92" t="s">
        <v>73</v>
      </c>
      <c r="G95" s="166"/>
      <c r="H95" s="178"/>
      <c r="I95" s="179">
        <f>-6086-6330.2</f>
        <v>-12416.2</v>
      </c>
    </row>
    <row r="96" spans="1:9" s="85" customFormat="1" ht="21" customHeight="1">
      <c r="A96" s="116"/>
      <c r="B96" s="403" t="s">
        <v>48</v>
      </c>
      <c r="C96" s="404"/>
      <c r="D96" s="539"/>
      <c r="E96" s="163" t="s">
        <v>77</v>
      </c>
      <c r="F96" s="163" t="s">
        <v>77</v>
      </c>
      <c r="G96" s="163" t="s">
        <v>77</v>
      </c>
      <c r="H96" s="164"/>
      <c r="I96" s="165">
        <f>SUM(I97:I109)</f>
        <v>-27817.700000000004</v>
      </c>
    </row>
    <row r="97" spans="1:9" s="271" customFormat="1">
      <c r="A97" s="266" t="s">
        <v>279</v>
      </c>
      <c r="B97" s="554" t="s">
        <v>57</v>
      </c>
      <c r="C97" s="554"/>
      <c r="D97" s="554"/>
      <c r="E97" s="268" t="s">
        <v>49</v>
      </c>
      <c r="F97" s="268" t="s">
        <v>47</v>
      </c>
      <c r="G97" s="269"/>
      <c r="H97" s="270"/>
      <c r="I97" s="62">
        <v>-2679.5</v>
      </c>
    </row>
    <row r="98" spans="1:9" s="85" customFormat="1">
      <c r="A98" s="116" t="s">
        <v>270</v>
      </c>
      <c r="B98" s="540" t="s">
        <v>57</v>
      </c>
      <c r="C98" s="540"/>
      <c r="D98" s="540"/>
      <c r="E98" s="92" t="s">
        <v>49</v>
      </c>
      <c r="F98" s="92" t="s">
        <v>47</v>
      </c>
      <c r="G98" s="166">
        <v>2292900</v>
      </c>
      <c r="H98" s="167">
        <v>-1</v>
      </c>
      <c r="I98" s="62">
        <f>+ROUND(G98*H98/1000,1)</f>
        <v>-2292.9</v>
      </c>
    </row>
    <row r="99" spans="1:9" s="85" customFormat="1">
      <c r="A99" s="116" t="s">
        <v>288</v>
      </c>
      <c r="B99" s="540" t="s">
        <v>57</v>
      </c>
      <c r="C99" s="540"/>
      <c r="D99" s="540"/>
      <c r="E99" s="92" t="s">
        <v>49</v>
      </c>
      <c r="F99" s="92" t="s">
        <v>47</v>
      </c>
      <c r="G99" s="166"/>
      <c r="H99" s="167"/>
      <c r="I99" s="62">
        <f>-545.6-68.5</f>
        <v>-614.1</v>
      </c>
    </row>
    <row r="100" spans="1:9" s="85" customFormat="1">
      <c r="A100" s="116" t="s">
        <v>271</v>
      </c>
      <c r="B100" s="540" t="s">
        <v>57</v>
      </c>
      <c r="C100" s="540"/>
      <c r="D100" s="540"/>
      <c r="E100" s="92" t="s">
        <v>49</v>
      </c>
      <c r="F100" s="92" t="s">
        <v>47</v>
      </c>
      <c r="G100" s="166"/>
      <c r="H100" s="167"/>
      <c r="I100" s="62">
        <v>604.79999999999995</v>
      </c>
    </row>
    <row r="101" spans="1:9" s="271" customFormat="1">
      <c r="A101" s="266" t="s">
        <v>280</v>
      </c>
      <c r="B101" s="554" t="s">
        <v>58</v>
      </c>
      <c r="C101" s="554"/>
      <c r="D101" s="554"/>
      <c r="E101" s="268" t="s">
        <v>50</v>
      </c>
      <c r="F101" s="268" t="s">
        <v>47</v>
      </c>
      <c r="G101" s="269"/>
      <c r="H101" s="270"/>
      <c r="I101" s="62">
        <v>-998.4</v>
      </c>
    </row>
    <row r="102" spans="1:9" s="85" customFormat="1">
      <c r="A102" s="116" t="s">
        <v>272</v>
      </c>
      <c r="B102" s="540" t="s">
        <v>58</v>
      </c>
      <c r="C102" s="540"/>
      <c r="D102" s="540"/>
      <c r="E102" s="92" t="s">
        <v>50</v>
      </c>
      <c r="F102" s="92" t="s">
        <v>47</v>
      </c>
      <c r="G102" s="166"/>
      <c r="H102" s="167"/>
      <c r="I102" s="62">
        <v>592.79999999999995</v>
      </c>
    </row>
    <row r="103" spans="1:9" s="85" customFormat="1">
      <c r="A103" s="116" t="s">
        <v>289</v>
      </c>
      <c r="B103" s="540" t="s">
        <v>58</v>
      </c>
      <c r="C103" s="540"/>
      <c r="D103" s="540"/>
      <c r="E103" s="92" t="s">
        <v>50</v>
      </c>
      <c r="F103" s="92" t="s">
        <v>47</v>
      </c>
      <c r="G103" s="166"/>
      <c r="H103" s="167"/>
      <c r="I103" s="62">
        <f>-7.7-58.7</f>
        <v>-66.400000000000006</v>
      </c>
    </row>
    <row r="104" spans="1:9" s="85" customFormat="1" ht="17.649999999999999" customHeight="1">
      <c r="A104" s="116" t="s">
        <v>274</v>
      </c>
      <c r="B104" s="540" t="s">
        <v>275</v>
      </c>
      <c r="C104" s="540"/>
      <c r="D104" s="540"/>
      <c r="E104" s="92" t="s">
        <v>49</v>
      </c>
      <c r="F104" s="92" t="s">
        <v>47</v>
      </c>
      <c r="G104" s="166">
        <v>6782500</v>
      </c>
      <c r="H104" s="167">
        <v>-1</v>
      </c>
      <c r="I104" s="62">
        <f>+ROUND(G104*H104/1000,1)</f>
        <v>-6782.5</v>
      </c>
    </row>
    <row r="105" spans="1:9" s="85" customFormat="1" ht="17.649999999999999" customHeight="1">
      <c r="A105" s="116" t="s">
        <v>281</v>
      </c>
      <c r="B105" s="540" t="s">
        <v>275</v>
      </c>
      <c r="C105" s="540"/>
      <c r="D105" s="540"/>
      <c r="E105" s="92" t="s">
        <v>49</v>
      </c>
      <c r="F105" s="92" t="s">
        <v>47</v>
      </c>
      <c r="G105" s="166"/>
      <c r="H105" s="167"/>
      <c r="I105" s="62">
        <v>-11882.6</v>
      </c>
    </row>
    <row r="106" spans="1:9" s="85" customFormat="1" ht="17.649999999999999" customHeight="1">
      <c r="A106" s="116" t="s">
        <v>285</v>
      </c>
      <c r="B106" s="540" t="s">
        <v>275</v>
      </c>
      <c r="C106" s="540"/>
      <c r="D106" s="540"/>
      <c r="E106" s="92" t="s">
        <v>49</v>
      </c>
      <c r="F106" s="92" t="s">
        <v>47</v>
      </c>
      <c r="G106" s="166">
        <v>1987700</v>
      </c>
      <c r="H106" s="167">
        <v>-1</v>
      </c>
      <c r="I106" s="62">
        <f>+ROUND(G106*H106/1000,1)</f>
        <v>-1987.7</v>
      </c>
    </row>
    <row r="107" spans="1:9" s="85" customFormat="1" ht="17.649999999999999" customHeight="1">
      <c r="A107" s="116" t="s">
        <v>276</v>
      </c>
      <c r="B107" s="540" t="s">
        <v>145</v>
      </c>
      <c r="C107" s="540"/>
      <c r="D107" s="540"/>
      <c r="E107" s="92" t="s">
        <v>49</v>
      </c>
      <c r="F107" s="92" t="s">
        <v>47</v>
      </c>
      <c r="G107" s="166">
        <v>516400</v>
      </c>
      <c r="H107" s="167">
        <v>-1</v>
      </c>
      <c r="I107" s="62">
        <f>+ROUND(G107*H107/1000,1)</f>
        <v>-516.4</v>
      </c>
    </row>
    <row r="108" spans="1:9" s="85" customFormat="1" ht="17.649999999999999" customHeight="1">
      <c r="A108" s="116" t="s">
        <v>282</v>
      </c>
      <c r="B108" s="540" t="s">
        <v>145</v>
      </c>
      <c r="C108" s="540"/>
      <c r="D108" s="540"/>
      <c r="E108" s="92" t="s">
        <v>49</v>
      </c>
      <c r="F108" s="92" t="s">
        <v>47</v>
      </c>
      <c r="G108" s="166"/>
      <c r="H108" s="167"/>
      <c r="I108" s="62">
        <v>-841.4</v>
      </c>
    </row>
    <row r="109" spans="1:9" s="85" customFormat="1" ht="17.649999999999999" customHeight="1">
      <c r="A109" s="116" t="s">
        <v>284</v>
      </c>
      <c r="B109" s="540" t="s">
        <v>145</v>
      </c>
      <c r="C109" s="540"/>
      <c r="D109" s="540"/>
      <c r="E109" s="92" t="s">
        <v>49</v>
      </c>
      <c r="F109" s="92" t="s">
        <v>47</v>
      </c>
      <c r="G109" s="166">
        <v>353400</v>
      </c>
      <c r="H109" s="167">
        <v>-1</v>
      </c>
      <c r="I109" s="62">
        <f>+ROUND(G109*H109/1000,1)</f>
        <v>-353.4</v>
      </c>
    </row>
    <row r="110" spans="1:9" s="84" customFormat="1" ht="54.95" customHeight="1">
      <c r="A110" s="161" t="s">
        <v>473</v>
      </c>
      <c r="B110" s="544" t="s">
        <v>438</v>
      </c>
      <c r="C110" s="544"/>
      <c r="D110" s="544"/>
      <c r="E110" s="544"/>
      <c r="F110" s="544"/>
      <c r="G110" s="544"/>
      <c r="H110" s="544"/>
      <c r="I110" s="162">
        <f>+I111</f>
        <v>-16159.800000000001</v>
      </c>
    </row>
    <row r="111" spans="1:9" s="30" customFormat="1" ht="21" customHeight="1">
      <c r="A111" s="172"/>
      <c r="B111" s="403" t="s">
        <v>76</v>
      </c>
      <c r="C111" s="404"/>
      <c r="D111" s="539"/>
      <c r="E111" s="163"/>
      <c r="F111" s="163"/>
      <c r="G111" s="163"/>
      <c r="H111" s="173"/>
      <c r="I111" s="165">
        <f>+I112</f>
        <v>-16159.800000000001</v>
      </c>
    </row>
    <row r="112" spans="1:9" s="85" customFormat="1" ht="17.649999999999999" customHeight="1">
      <c r="A112" s="116" t="s">
        <v>336</v>
      </c>
      <c r="B112" s="540" t="s">
        <v>153</v>
      </c>
      <c r="C112" s="540"/>
      <c r="D112" s="540"/>
      <c r="E112" s="92" t="s">
        <v>49</v>
      </c>
      <c r="F112" s="92" t="s">
        <v>73</v>
      </c>
      <c r="G112" s="166"/>
      <c r="H112" s="167"/>
      <c r="I112" s="62">
        <f>-17570.4+1410.6</f>
        <v>-16159.800000000001</v>
      </c>
    </row>
    <row r="115" spans="1:10" s="3" customFormat="1" ht="45" customHeight="1">
      <c r="A115" s="555" t="s">
        <v>353</v>
      </c>
      <c r="B115" s="556"/>
      <c r="C115" s="556"/>
      <c r="D115" s="556"/>
      <c r="E115" s="556"/>
      <c r="F115" s="556"/>
      <c r="G115" s="556"/>
      <c r="H115" s="557"/>
      <c r="I115" s="288">
        <f>+I116+I124</f>
        <v>299079.2</v>
      </c>
      <c r="J115" s="289"/>
    </row>
    <row r="116" spans="1:10" s="3" customFormat="1">
      <c r="A116" s="117" t="s">
        <v>74</v>
      </c>
      <c r="B116" s="117" t="s">
        <v>359</v>
      </c>
      <c r="C116" s="117" t="s">
        <v>75</v>
      </c>
      <c r="D116" s="532" t="s">
        <v>360</v>
      </c>
      <c r="E116" s="533"/>
      <c r="F116" s="533"/>
      <c r="G116" s="533"/>
      <c r="H116" s="534"/>
      <c r="I116" s="254">
        <f>+I117</f>
        <v>262552.3</v>
      </c>
      <c r="J116" s="290"/>
    </row>
    <row r="117" spans="1:10" s="84" customFormat="1" ht="54.95" customHeight="1">
      <c r="A117" s="161" t="s">
        <v>361</v>
      </c>
      <c r="B117" s="544" t="s">
        <v>362</v>
      </c>
      <c r="C117" s="544"/>
      <c r="D117" s="544"/>
      <c r="E117" s="544"/>
      <c r="F117" s="544"/>
      <c r="G117" s="544"/>
      <c r="H117" s="544"/>
      <c r="I117" s="162">
        <f>+I118+I120</f>
        <v>262552.3</v>
      </c>
    </row>
    <row r="118" spans="1:10" s="85" customFormat="1" ht="21" customHeight="1">
      <c r="A118" s="116"/>
      <c r="B118" s="403" t="s">
        <v>161</v>
      </c>
      <c r="C118" s="404"/>
      <c r="D118" s="539"/>
      <c r="E118" s="163" t="s">
        <v>77</v>
      </c>
      <c r="F118" s="163" t="s">
        <v>77</v>
      </c>
      <c r="G118" s="163" t="s">
        <v>77</v>
      </c>
      <c r="H118" s="164"/>
      <c r="I118" s="165">
        <f>+I119</f>
        <v>254041.8</v>
      </c>
    </row>
    <row r="119" spans="1:10" s="85" customFormat="1">
      <c r="A119" s="116" t="s">
        <v>503</v>
      </c>
      <c r="B119" s="540" t="s">
        <v>504</v>
      </c>
      <c r="C119" s="540"/>
      <c r="D119" s="540"/>
      <c r="E119" s="92" t="s">
        <v>358</v>
      </c>
      <c r="F119" s="92" t="s">
        <v>47</v>
      </c>
      <c r="G119" s="166"/>
      <c r="H119" s="167"/>
      <c r="I119" s="165">
        <v>254041.8</v>
      </c>
    </row>
    <row r="120" spans="1:10" s="85" customFormat="1" ht="21" customHeight="1">
      <c r="A120" s="116"/>
      <c r="B120" s="403" t="s">
        <v>48</v>
      </c>
      <c r="C120" s="404"/>
      <c r="D120" s="539"/>
      <c r="E120" s="163" t="s">
        <v>77</v>
      </c>
      <c r="F120" s="163" t="s">
        <v>77</v>
      </c>
      <c r="G120" s="163" t="s">
        <v>77</v>
      </c>
      <c r="H120" s="164"/>
      <c r="I120" s="165">
        <f>SUM(I121:I123)</f>
        <v>8510.5</v>
      </c>
    </row>
    <row r="121" spans="1:10" s="85" customFormat="1">
      <c r="A121" s="116" t="s">
        <v>505</v>
      </c>
      <c r="B121" s="540" t="s">
        <v>57</v>
      </c>
      <c r="C121" s="540"/>
      <c r="D121" s="540"/>
      <c r="E121" s="92" t="s">
        <v>49</v>
      </c>
      <c r="F121" s="92" t="s">
        <v>47</v>
      </c>
      <c r="G121" s="166"/>
      <c r="H121" s="167"/>
      <c r="I121" s="62">
        <v>7089</v>
      </c>
    </row>
    <row r="122" spans="1:10" s="271" customFormat="1">
      <c r="A122" s="116" t="s">
        <v>506</v>
      </c>
      <c r="B122" s="554" t="s">
        <v>58</v>
      </c>
      <c r="C122" s="554"/>
      <c r="D122" s="554"/>
      <c r="E122" s="268" t="s">
        <v>50</v>
      </c>
      <c r="F122" s="268" t="s">
        <v>47</v>
      </c>
      <c r="G122" s="269"/>
      <c r="H122" s="270"/>
      <c r="I122" s="62">
        <v>1111.9000000000001</v>
      </c>
    </row>
    <row r="123" spans="1:10" s="85" customFormat="1" ht="18" customHeight="1">
      <c r="A123" s="116">
        <v>71311360</v>
      </c>
      <c r="B123" s="536" t="s">
        <v>363</v>
      </c>
      <c r="C123" s="537"/>
      <c r="D123" s="538"/>
      <c r="E123" s="92" t="s">
        <v>49</v>
      </c>
      <c r="F123" s="92" t="s">
        <v>47</v>
      </c>
      <c r="G123" s="166">
        <v>309600</v>
      </c>
      <c r="H123" s="167">
        <v>1</v>
      </c>
      <c r="I123" s="165">
        <f>+ROUNDUP(H123*G123/1000,1)</f>
        <v>309.60000000000002</v>
      </c>
    </row>
    <row r="124" spans="1:10" s="3" customFormat="1">
      <c r="A124" s="117" t="s">
        <v>74</v>
      </c>
      <c r="B124" s="117" t="s">
        <v>56</v>
      </c>
      <c r="C124" s="117" t="s">
        <v>75</v>
      </c>
      <c r="D124" s="532" t="s">
        <v>103</v>
      </c>
      <c r="E124" s="533"/>
      <c r="F124" s="533"/>
      <c r="G124" s="533"/>
      <c r="H124" s="534"/>
      <c r="I124" s="254">
        <f>+I125</f>
        <v>36526.9</v>
      </c>
      <c r="J124" s="290"/>
    </row>
    <row r="125" spans="1:10" s="84" customFormat="1" ht="54.95" customHeight="1">
      <c r="A125" s="161" t="s">
        <v>354</v>
      </c>
      <c r="B125" s="544" t="s">
        <v>355</v>
      </c>
      <c r="C125" s="544"/>
      <c r="D125" s="544"/>
      <c r="E125" s="544"/>
      <c r="F125" s="544"/>
      <c r="G125" s="544"/>
      <c r="H125" s="544"/>
      <c r="I125" s="162">
        <f>+I126</f>
        <v>36526.9</v>
      </c>
      <c r="J125" s="291"/>
    </row>
    <row r="126" spans="1:10" s="85" customFormat="1" ht="21" customHeight="1">
      <c r="A126" s="116"/>
      <c r="B126" s="403" t="s">
        <v>161</v>
      </c>
      <c r="C126" s="404"/>
      <c r="D126" s="539"/>
      <c r="E126" s="163" t="s">
        <v>77</v>
      </c>
      <c r="F126" s="163" t="s">
        <v>77</v>
      </c>
      <c r="G126" s="163" t="s">
        <v>77</v>
      </c>
      <c r="H126" s="164"/>
      <c r="I126" s="165">
        <f>+I127</f>
        <v>36526.9</v>
      </c>
    </row>
    <row r="127" spans="1:10" s="85" customFormat="1">
      <c r="A127" s="116" t="s">
        <v>356</v>
      </c>
      <c r="B127" s="540" t="s">
        <v>357</v>
      </c>
      <c r="C127" s="540"/>
      <c r="D127" s="540"/>
      <c r="E127" s="92" t="s">
        <v>358</v>
      </c>
      <c r="F127" s="92" t="s">
        <v>47</v>
      </c>
      <c r="G127" s="166"/>
      <c r="H127" s="167"/>
      <c r="I127" s="165">
        <v>36526.9</v>
      </c>
    </row>
  </sheetData>
  <mergeCells count="124">
    <mergeCell ref="A115:H115"/>
    <mergeCell ref="D124:H124"/>
    <mergeCell ref="B125:H125"/>
    <mergeCell ref="B126:D126"/>
    <mergeCell ref="B123:D123"/>
    <mergeCell ref="B127:D127"/>
    <mergeCell ref="D116:H116"/>
    <mergeCell ref="B117:H117"/>
    <mergeCell ref="B120:D120"/>
    <mergeCell ref="B118:D118"/>
    <mergeCell ref="B119:D119"/>
    <mergeCell ref="B121:D121"/>
    <mergeCell ref="B122:D122"/>
    <mergeCell ref="B28:H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56:D56"/>
    <mergeCell ref="B61:D61"/>
    <mergeCell ref="B70:D70"/>
    <mergeCell ref="B108:D108"/>
    <mergeCell ref="B109:D109"/>
    <mergeCell ref="B106:D106"/>
    <mergeCell ref="B107:D107"/>
    <mergeCell ref="B101:D101"/>
    <mergeCell ref="B57:D57"/>
    <mergeCell ref="B67:D67"/>
    <mergeCell ref="B71:D71"/>
    <mergeCell ref="B54:D54"/>
    <mergeCell ref="B69:D69"/>
    <mergeCell ref="B65:D65"/>
    <mergeCell ref="B62:D62"/>
    <mergeCell ref="B93:D93"/>
    <mergeCell ref="B88:D88"/>
    <mergeCell ref="B89:D89"/>
    <mergeCell ref="B97:D97"/>
    <mergeCell ref="B102:D102"/>
    <mergeCell ref="D86:H86"/>
    <mergeCell ref="B112:D112"/>
    <mergeCell ref="B92:D92"/>
    <mergeCell ref="B94:D94"/>
    <mergeCell ref="B74:D74"/>
    <mergeCell ref="B98:D98"/>
    <mergeCell ref="B105:D105"/>
    <mergeCell ref="B96:D96"/>
    <mergeCell ref="D90:H90"/>
    <mergeCell ref="B91:H91"/>
    <mergeCell ref="B81:D81"/>
    <mergeCell ref="B85:D85"/>
    <mergeCell ref="B110:H110"/>
    <mergeCell ref="B111:D111"/>
    <mergeCell ref="B95:D95"/>
    <mergeCell ref="B99:D99"/>
    <mergeCell ref="B103:D103"/>
    <mergeCell ref="B100:D100"/>
    <mergeCell ref="B104:D104"/>
    <mergeCell ref="B87:H87"/>
    <mergeCell ref="B83:D83"/>
    <mergeCell ref="B84:D84"/>
    <mergeCell ref="B82:D82"/>
    <mergeCell ref="B18:D18"/>
    <mergeCell ref="B19:D19"/>
    <mergeCell ref="B68:D68"/>
    <mergeCell ref="B60:D60"/>
    <mergeCell ref="B75:D75"/>
    <mergeCell ref="D38:H38"/>
    <mergeCell ref="B39:H39"/>
    <mergeCell ref="B63:D63"/>
    <mergeCell ref="B76:D76"/>
    <mergeCell ref="B40:D40"/>
    <mergeCell ref="B20:D20"/>
    <mergeCell ref="B42:D42"/>
    <mergeCell ref="B53:D53"/>
    <mergeCell ref="B41:D41"/>
    <mergeCell ref="B73:D73"/>
    <mergeCell ref="B50:D50"/>
    <mergeCell ref="B72:D72"/>
    <mergeCell ref="B66:D66"/>
    <mergeCell ref="B55:D55"/>
    <mergeCell ref="B64:D64"/>
    <mergeCell ref="B46:D46"/>
    <mergeCell ref="B51:D51"/>
    <mergeCell ref="B58:D58"/>
    <mergeCell ref="B59:D59"/>
    <mergeCell ref="B12:D12"/>
    <mergeCell ref="A13:H13"/>
    <mergeCell ref="D77:H77"/>
    <mergeCell ref="B78:H78"/>
    <mergeCell ref="B79:D79"/>
    <mergeCell ref="B80:D80"/>
    <mergeCell ref="B48:D48"/>
    <mergeCell ref="B47:D47"/>
    <mergeCell ref="B43:D43"/>
    <mergeCell ref="B44:D44"/>
    <mergeCell ref="B52:D52"/>
    <mergeCell ref="B45:D45"/>
    <mergeCell ref="B16:D16"/>
    <mergeCell ref="B17:D17"/>
    <mergeCell ref="D14:H14"/>
    <mergeCell ref="B15:H15"/>
    <mergeCell ref="D21:H21"/>
    <mergeCell ref="B49:D49"/>
    <mergeCell ref="B22:H22"/>
    <mergeCell ref="B23:D23"/>
    <mergeCell ref="B24:D24"/>
    <mergeCell ref="B25:D25"/>
    <mergeCell ref="B26:D26"/>
    <mergeCell ref="B27:D27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</mergeCells>
  <pageMargins left="0.25" right="0.25" top="0.75" bottom="0.75" header="0.3" footer="0.3"/>
  <pageSetup paperSize="9" scale="54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zoomScale="76" zoomScaleNormal="70" zoomScaleSheetLayoutView="100" workbookViewId="0">
      <selection activeCell="F1" sqref="F1:G1"/>
    </sheetView>
  </sheetViews>
  <sheetFormatPr defaultColWidth="9.140625" defaultRowHeight="17.25"/>
  <cols>
    <col min="1" max="3" width="8.85546875" style="3" customWidth="1"/>
    <col min="4" max="4" width="10.28515625" style="3" customWidth="1"/>
    <col min="5" max="5" width="14.5703125" style="3" customWidth="1"/>
    <col min="6" max="6" width="62.140625" style="3" customWidth="1"/>
    <col min="7" max="7" width="27.5703125" style="3" customWidth="1"/>
    <col min="8" max="8" width="49.85546875" style="3" customWidth="1"/>
    <col min="9" max="9" width="14.28515625" style="3" customWidth="1"/>
    <col min="10" max="16384" width="9.140625" style="3"/>
  </cols>
  <sheetData>
    <row r="1" spans="1:7" ht="38.1" customHeight="1">
      <c r="F1" s="524" t="s">
        <v>490</v>
      </c>
      <c r="G1" s="524"/>
    </row>
    <row r="2" spans="1:7" ht="17.45" customHeight="1">
      <c r="G2" s="32" t="s">
        <v>71</v>
      </c>
    </row>
    <row r="3" spans="1:7" ht="17.45" customHeight="1">
      <c r="G3" s="32" t="s">
        <v>6</v>
      </c>
    </row>
    <row r="6" spans="1:7" ht="52.5" customHeight="1">
      <c r="A6" s="402" t="s">
        <v>219</v>
      </c>
      <c r="B6" s="402"/>
      <c r="C6" s="402"/>
      <c r="D6" s="402"/>
      <c r="E6" s="402"/>
      <c r="F6" s="402"/>
      <c r="G6" s="402"/>
    </row>
    <row r="8" spans="1:7">
      <c r="G8" s="284"/>
    </row>
    <row r="9" spans="1:7" s="14" customFormat="1" ht="99" customHeight="1">
      <c r="A9" s="417" t="s">
        <v>16</v>
      </c>
      <c r="B9" s="417"/>
      <c r="C9" s="417"/>
      <c r="D9" s="417" t="s">
        <v>8</v>
      </c>
      <c r="E9" s="417"/>
      <c r="F9" s="417" t="s">
        <v>11</v>
      </c>
      <c r="G9" s="320" t="s">
        <v>51</v>
      </c>
    </row>
    <row r="10" spans="1:7" s="14" customFormat="1" ht="45" customHeight="1">
      <c r="A10" s="92" t="s">
        <v>211</v>
      </c>
      <c r="B10" s="92" t="s">
        <v>212</v>
      </c>
      <c r="C10" s="92" t="s">
        <v>17</v>
      </c>
      <c r="D10" s="92" t="s">
        <v>10</v>
      </c>
      <c r="E10" s="92" t="s">
        <v>90</v>
      </c>
      <c r="F10" s="417"/>
      <c r="G10" s="92" t="s">
        <v>9</v>
      </c>
    </row>
    <row r="11" spans="1:7" s="14" customFormat="1" ht="22.7" customHeight="1">
      <c r="A11" s="93"/>
      <c r="B11" s="93"/>
      <c r="C11" s="93"/>
      <c r="D11" s="92"/>
      <c r="E11" s="92"/>
      <c r="F11" s="98" t="s">
        <v>14</v>
      </c>
      <c r="G11" s="94">
        <f>+G13+G33</f>
        <v>0</v>
      </c>
    </row>
    <row r="12" spans="1:7" s="14" customFormat="1" ht="22.7" customHeight="1">
      <c r="A12" s="93"/>
      <c r="B12" s="93"/>
      <c r="C12" s="93"/>
      <c r="D12" s="92"/>
      <c r="E12" s="92"/>
      <c r="F12" s="93" t="s">
        <v>92</v>
      </c>
      <c r="G12" s="94"/>
    </row>
    <row r="13" spans="1:7" s="85" customFormat="1" ht="27" customHeight="1">
      <c r="A13" s="116"/>
      <c r="B13" s="116"/>
      <c r="C13" s="116"/>
      <c r="D13" s="92"/>
      <c r="E13" s="92"/>
      <c r="F13" s="98" t="s">
        <v>206</v>
      </c>
      <c r="G13" s="94">
        <f t="shared" ref="G13" si="0">+G14</f>
        <v>-4100.8</v>
      </c>
    </row>
    <row r="14" spans="1:7" ht="34.5">
      <c r="A14" s="558" t="s">
        <v>213</v>
      </c>
      <c r="B14" s="558"/>
      <c r="C14" s="558"/>
      <c r="D14" s="558"/>
      <c r="E14" s="558"/>
      <c r="F14" s="104" t="s">
        <v>197</v>
      </c>
      <c r="G14" s="94">
        <f t="shared" ref="G14" si="1">+G16</f>
        <v>-4100.8</v>
      </c>
    </row>
    <row r="15" spans="1:7">
      <c r="A15" s="558"/>
      <c r="B15" s="558"/>
      <c r="C15" s="558"/>
      <c r="D15" s="558"/>
      <c r="E15" s="558"/>
      <c r="F15" s="93" t="s">
        <v>12</v>
      </c>
      <c r="G15" s="203"/>
    </row>
    <row r="16" spans="1:7" ht="34.5">
      <c r="A16" s="558"/>
      <c r="B16" s="558" t="s">
        <v>214</v>
      </c>
      <c r="C16" s="558"/>
      <c r="D16" s="558"/>
      <c r="E16" s="558"/>
      <c r="F16" s="104" t="s">
        <v>198</v>
      </c>
      <c r="G16" s="94">
        <f t="shared" ref="G16" si="2">+G18</f>
        <v>-4100.8</v>
      </c>
    </row>
    <row r="17" spans="1:7">
      <c r="A17" s="558"/>
      <c r="B17" s="558"/>
      <c r="C17" s="558"/>
      <c r="D17" s="558"/>
      <c r="E17" s="558"/>
      <c r="F17" s="93" t="s">
        <v>12</v>
      </c>
      <c r="G17" s="203"/>
    </row>
    <row r="18" spans="1:7">
      <c r="A18" s="558"/>
      <c r="B18" s="558"/>
      <c r="C18" s="558" t="s">
        <v>214</v>
      </c>
      <c r="D18" s="558"/>
      <c r="E18" s="558"/>
      <c r="F18" s="98" t="s">
        <v>199</v>
      </c>
      <c r="G18" s="204">
        <f t="shared" ref="G18" si="3">+G20</f>
        <v>-4100.8</v>
      </c>
    </row>
    <row r="19" spans="1:7" ht="18" customHeight="1">
      <c r="A19" s="558"/>
      <c r="B19" s="558"/>
      <c r="C19" s="558"/>
      <c r="D19" s="558"/>
      <c r="E19" s="558"/>
      <c r="F19" s="93" t="s">
        <v>12</v>
      </c>
      <c r="G19" s="205"/>
    </row>
    <row r="20" spans="1:7">
      <c r="A20" s="558"/>
      <c r="B20" s="558"/>
      <c r="C20" s="558"/>
      <c r="D20" s="558"/>
      <c r="E20" s="558"/>
      <c r="F20" s="93" t="s">
        <v>215</v>
      </c>
      <c r="G20" s="204">
        <f t="shared" ref="G20" si="4">+G22</f>
        <v>-4100.8</v>
      </c>
    </row>
    <row r="21" spans="1:7">
      <c r="A21" s="558"/>
      <c r="B21" s="558"/>
      <c r="C21" s="558"/>
      <c r="D21" s="558"/>
      <c r="E21" s="558"/>
      <c r="F21" s="93" t="s">
        <v>12</v>
      </c>
      <c r="G21" s="206"/>
    </row>
    <row r="22" spans="1:7" s="30" customFormat="1" ht="22.7" customHeight="1">
      <c r="A22" s="558"/>
      <c r="B22" s="558"/>
      <c r="C22" s="558"/>
      <c r="D22" s="558" t="s">
        <v>216</v>
      </c>
      <c r="E22" s="559" t="s">
        <v>217</v>
      </c>
      <c r="F22" s="559" t="s">
        <v>199</v>
      </c>
      <c r="G22" s="204">
        <f t="shared" ref="G22" si="5">+G24</f>
        <v>-4100.8</v>
      </c>
    </row>
    <row r="23" spans="1:7" ht="17.649999999999999" customHeight="1">
      <c r="A23" s="558"/>
      <c r="B23" s="558"/>
      <c r="C23" s="558"/>
      <c r="D23" s="558"/>
      <c r="E23" s="207"/>
      <c r="F23" s="93" t="s">
        <v>12</v>
      </c>
      <c r="G23" s="166"/>
    </row>
    <row r="24" spans="1:7" ht="20.100000000000001" customHeight="1">
      <c r="A24" s="558"/>
      <c r="B24" s="558"/>
      <c r="C24" s="558"/>
      <c r="D24" s="558"/>
      <c r="E24" s="208" t="s">
        <v>218</v>
      </c>
      <c r="F24" s="98" t="s">
        <v>199</v>
      </c>
      <c r="G24" s="209">
        <f t="shared" ref="G24" si="6">+G26</f>
        <v>-4100.8</v>
      </c>
    </row>
    <row r="25" spans="1:7" ht="17.649999999999999" customHeight="1">
      <c r="A25" s="558"/>
      <c r="B25" s="558"/>
      <c r="C25" s="558"/>
      <c r="D25" s="558"/>
      <c r="E25" s="560"/>
      <c r="F25" s="93" t="s">
        <v>22</v>
      </c>
      <c r="G25" s="210"/>
    </row>
    <row r="26" spans="1:7">
      <c r="A26" s="558"/>
      <c r="B26" s="558"/>
      <c r="C26" s="558"/>
      <c r="D26" s="558"/>
      <c r="E26" s="560"/>
      <c r="F26" s="103" t="s">
        <v>215</v>
      </c>
      <c r="G26" s="211">
        <f t="shared" ref="G26" si="7">+G28</f>
        <v>-4100.8</v>
      </c>
    </row>
    <row r="27" spans="1:7" ht="51.75">
      <c r="A27" s="558"/>
      <c r="B27" s="558"/>
      <c r="C27" s="558"/>
      <c r="D27" s="558"/>
      <c r="E27" s="560"/>
      <c r="F27" s="93" t="s">
        <v>19</v>
      </c>
      <c r="G27" s="210"/>
    </row>
    <row r="28" spans="1:7" ht="17.649999999999999" customHeight="1">
      <c r="A28" s="558"/>
      <c r="B28" s="558"/>
      <c r="C28" s="558"/>
      <c r="D28" s="558"/>
      <c r="E28" s="560"/>
      <c r="F28" s="92" t="s">
        <v>13</v>
      </c>
      <c r="G28" s="166">
        <f t="shared" ref="G28:G29" si="8">+G29</f>
        <v>-4100.8</v>
      </c>
    </row>
    <row r="29" spans="1:7" ht="17.649999999999999" customHeight="1">
      <c r="A29" s="558"/>
      <c r="B29" s="558"/>
      <c r="C29" s="558"/>
      <c r="D29" s="558"/>
      <c r="E29" s="560"/>
      <c r="F29" s="93" t="s">
        <v>63</v>
      </c>
      <c r="G29" s="210">
        <f t="shared" si="8"/>
        <v>-4100.8</v>
      </c>
    </row>
    <row r="30" spans="1:7" ht="17.649999999999999" customHeight="1">
      <c r="A30" s="558"/>
      <c r="B30" s="558"/>
      <c r="C30" s="558"/>
      <c r="D30" s="558"/>
      <c r="E30" s="560"/>
      <c r="F30" s="201" t="s">
        <v>184</v>
      </c>
      <c r="G30" s="210">
        <f>+G31</f>
        <v>-4100.8</v>
      </c>
    </row>
    <row r="31" spans="1:7" ht="17.649999999999999" customHeight="1">
      <c r="A31" s="558"/>
      <c r="B31" s="558"/>
      <c r="C31" s="558"/>
      <c r="D31" s="558"/>
      <c r="E31" s="560"/>
      <c r="F31" s="201" t="s">
        <v>246</v>
      </c>
      <c r="G31" s="210">
        <f>+'Հավելված N 2'!G260</f>
        <v>-4100.8</v>
      </c>
    </row>
    <row r="32" spans="1:7" ht="9.4" customHeight="1">
      <c r="A32" s="212"/>
      <c r="B32" s="213"/>
      <c r="C32" s="109"/>
      <c r="D32" s="93"/>
      <c r="E32" s="93"/>
    </row>
    <row r="33" spans="1:7" s="85" customFormat="1" ht="34.5">
      <c r="A33" s="116"/>
      <c r="B33" s="116"/>
      <c r="C33" s="116"/>
      <c r="D33" s="116"/>
      <c r="E33" s="116"/>
      <c r="F33" s="98" t="s">
        <v>23</v>
      </c>
      <c r="G33" s="94">
        <f>+G34</f>
        <v>4100.8</v>
      </c>
    </row>
    <row r="34" spans="1:7" s="14" customFormat="1" ht="17.45" customHeight="1">
      <c r="A34" s="411" t="s">
        <v>80</v>
      </c>
      <c r="B34" s="391"/>
      <c r="C34" s="55"/>
      <c r="D34" s="420"/>
      <c r="E34" s="394"/>
      <c r="F34" s="98" t="s">
        <v>82</v>
      </c>
      <c r="G34" s="94">
        <f>+G36</f>
        <v>4100.8</v>
      </c>
    </row>
    <row r="35" spans="1:7" s="14" customFormat="1" ht="16.350000000000001" customHeight="1">
      <c r="A35" s="412"/>
      <c r="B35" s="393"/>
      <c r="C35" s="56"/>
      <c r="D35" s="421"/>
      <c r="E35" s="395"/>
      <c r="F35" s="93" t="s">
        <v>12</v>
      </c>
      <c r="G35" s="193"/>
    </row>
    <row r="36" spans="1:7" s="14" customFormat="1">
      <c r="A36" s="412"/>
      <c r="B36" s="411" t="s">
        <v>177</v>
      </c>
      <c r="C36" s="56"/>
      <c r="D36" s="421"/>
      <c r="E36" s="395"/>
      <c r="F36" s="98" t="s">
        <v>425</v>
      </c>
      <c r="G36" s="118">
        <f>+G38</f>
        <v>4100.8</v>
      </c>
    </row>
    <row r="37" spans="1:7" s="14" customFormat="1" ht="16.899999999999999" customHeight="1">
      <c r="A37" s="412"/>
      <c r="B37" s="412"/>
      <c r="C37" s="56"/>
      <c r="D37" s="421"/>
      <c r="E37" s="395"/>
      <c r="F37" s="93" t="s">
        <v>12</v>
      </c>
      <c r="G37" s="118"/>
    </row>
    <row r="38" spans="1:7" s="14" customFormat="1">
      <c r="A38" s="412"/>
      <c r="B38" s="412"/>
      <c r="C38" s="411" t="s">
        <v>81</v>
      </c>
      <c r="D38" s="421"/>
      <c r="E38" s="395"/>
      <c r="F38" s="98" t="s">
        <v>338</v>
      </c>
      <c r="G38" s="118">
        <f t="shared" ref="G38" si="9">+G40</f>
        <v>4100.8</v>
      </c>
    </row>
    <row r="39" spans="1:7" s="14" customFormat="1" ht="16.899999999999999" customHeight="1">
      <c r="A39" s="412"/>
      <c r="B39" s="412"/>
      <c r="C39" s="412"/>
      <c r="D39" s="421"/>
      <c r="E39" s="395"/>
      <c r="F39" s="93" t="s">
        <v>12</v>
      </c>
      <c r="G39" s="118"/>
    </row>
    <row r="40" spans="1:7" s="14" customFormat="1" ht="34.5">
      <c r="A40" s="412"/>
      <c r="B40" s="412"/>
      <c r="C40" s="412"/>
      <c r="D40" s="421"/>
      <c r="E40" s="395"/>
      <c r="F40" s="116" t="s">
        <v>18</v>
      </c>
      <c r="G40" s="118">
        <f>+G42</f>
        <v>4100.8</v>
      </c>
    </row>
    <row r="41" spans="1:7" s="14" customFormat="1" ht="16.899999999999999" customHeight="1">
      <c r="A41" s="412"/>
      <c r="B41" s="412"/>
      <c r="C41" s="412"/>
      <c r="D41" s="422"/>
      <c r="E41" s="396"/>
      <c r="F41" s="93" t="s">
        <v>12</v>
      </c>
      <c r="G41" s="118"/>
    </row>
    <row r="42" spans="1:7" s="14" customFormat="1" ht="34.9" customHeight="1">
      <c r="A42" s="412"/>
      <c r="B42" s="412"/>
      <c r="C42" s="412"/>
      <c r="D42" s="168">
        <v>1148</v>
      </c>
      <c r="E42" s="561" t="s">
        <v>426</v>
      </c>
      <c r="F42" s="562"/>
      <c r="G42" s="2">
        <f t="shared" ref="G42" si="10">+G44</f>
        <v>4100.8</v>
      </c>
    </row>
    <row r="43" spans="1:7" s="14" customFormat="1" ht="16.899999999999999" customHeight="1">
      <c r="A43" s="412"/>
      <c r="B43" s="412"/>
      <c r="C43" s="412"/>
      <c r="D43" s="168"/>
      <c r="E43" s="128"/>
      <c r="F43" s="93" t="s">
        <v>12</v>
      </c>
      <c r="G43" s="2"/>
    </row>
    <row r="44" spans="1:7" s="14" customFormat="1" ht="69">
      <c r="A44" s="412"/>
      <c r="B44" s="412"/>
      <c r="C44" s="412"/>
      <c r="D44" s="420"/>
      <c r="E44" s="119">
        <v>32005</v>
      </c>
      <c r="F44" s="229" t="s">
        <v>427</v>
      </c>
      <c r="G44" s="15">
        <f>+G46</f>
        <v>4100.8</v>
      </c>
    </row>
    <row r="45" spans="1:7" s="14" customFormat="1" ht="15.6" customHeight="1">
      <c r="A45" s="412"/>
      <c r="B45" s="412"/>
      <c r="C45" s="412"/>
      <c r="D45" s="421"/>
      <c r="E45" s="424"/>
      <c r="F45" s="93" t="s">
        <v>22</v>
      </c>
      <c r="G45" s="5"/>
    </row>
    <row r="46" spans="1:7" s="16" customFormat="1" ht="36.6" customHeight="1">
      <c r="A46" s="412"/>
      <c r="B46" s="412"/>
      <c r="C46" s="412"/>
      <c r="D46" s="421"/>
      <c r="E46" s="425"/>
      <c r="F46" s="129" t="s">
        <v>18</v>
      </c>
      <c r="G46" s="73">
        <f t="shared" ref="G46" si="11">+G48</f>
        <v>4100.8</v>
      </c>
    </row>
    <row r="47" spans="1:7" s="14" customFormat="1" ht="51.75">
      <c r="A47" s="412"/>
      <c r="B47" s="412"/>
      <c r="C47" s="412"/>
      <c r="D47" s="421"/>
      <c r="E47" s="425"/>
      <c r="F47" s="93" t="s">
        <v>19</v>
      </c>
      <c r="G47" s="5"/>
    </row>
    <row r="48" spans="1:7" s="14" customFormat="1" ht="16.899999999999999" customHeight="1">
      <c r="A48" s="412"/>
      <c r="B48" s="412"/>
      <c r="C48" s="412"/>
      <c r="D48" s="421"/>
      <c r="E48" s="425"/>
      <c r="F48" s="122" t="s">
        <v>13</v>
      </c>
      <c r="G48" s="6">
        <f>+G49</f>
        <v>4100.8</v>
      </c>
    </row>
    <row r="49" spans="1:7" s="14" customFormat="1" ht="16.899999999999999" customHeight="1">
      <c r="A49" s="412"/>
      <c r="B49" s="412"/>
      <c r="C49" s="412"/>
      <c r="D49" s="421"/>
      <c r="E49" s="425"/>
      <c r="F49" s="93" t="s">
        <v>52</v>
      </c>
      <c r="G49" s="7">
        <f t="shared" ref="G49:G51" si="12">+G50</f>
        <v>4100.8</v>
      </c>
    </row>
    <row r="50" spans="1:7" s="14" customFormat="1" ht="15.6" customHeight="1">
      <c r="A50" s="412"/>
      <c r="B50" s="412"/>
      <c r="C50" s="412"/>
      <c r="D50" s="421"/>
      <c r="E50" s="425"/>
      <c r="F50" s="93" t="s">
        <v>53</v>
      </c>
      <c r="G50" s="7">
        <f>+G51</f>
        <v>4100.8</v>
      </c>
    </row>
    <row r="51" spans="1:7" s="14" customFormat="1" ht="16.149999999999999" customHeight="1">
      <c r="A51" s="412"/>
      <c r="B51" s="412"/>
      <c r="C51" s="412"/>
      <c r="D51" s="421"/>
      <c r="E51" s="425"/>
      <c r="F51" s="228" t="s">
        <v>172</v>
      </c>
      <c r="G51" s="57">
        <f t="shared" si="12"/>
        <v>4100.8</v>
      </c>
    </row>
    <row r="52" spans="1:7" s="14" customFormat="1" ht="16.149999999999999" customHeight="1">
      <c r="A52" s="413"/>
      <c r="B52" s="413"/>
      <c r="C52" s="413"/>
      <c r="D52" s="422"/>
      <c r="E52" s="426"/>
      <c r="F52" s="228" t="s">
        <v>173</v>
      </c>
      <c r="G52" s="57">
        <f>+'Հավելված N 2'!G178</f>
        <v>4100.8</v>
      </c>
    </row>
  </sheetData>
  <mergeCells count="24">
    <mergeCell ref="B34:B35"/>
    <mergeCell ref="A34:A52"/>
    <mergeCell ref="B36:B52"/>
    <mergeCell ref="E42:F42"/>
    <mergeCell ref="E45:E52"/>
    <mergeCell ref="C38:C52"/>
    <mergeCell ref="D44:D52"/>
    <mergeCell ref="D34:D41"/>
    <mergeCell ref="E34:E41"/>
    <mergeCell ref="A14:A31"/>
    <mergeCell ref="B14:B15"/>
    <mergeCell ref="C14:C17"/>
    <mergeCell ref="D14:D21"/>
    <mergeCell ref="E14:E21"/>
    <mergeCell ref="B16:B31"/>
    <mergeCell ref="C18:C31"/>
    <mergeCell ref="D22:D31"/>
    <mergeCell ref="E22:F22"/>
    <mergeCell ref="E25:E31"/>
    <mergeCell ref="A6:G6"/>
    <mergeCell ref="A9:C9"/>
    <mergeCell ref="D9:E9"/>
    <mergeCell ref="F9:F10"/>
    <mergeCell ref="F1:G1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  <vt:lpstr>Հավելված N 8</vt:lpstr>
      <vt:lpstr>Հավելված N 9</vt:lpstr>
      <vt:lpstr>Հավելված N 10</vt:lpstr>
      <vt:lpstr>Հավելված N 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https://mul2-edu.gov.am/tasks/1676085/oneclick?token=3f56da2fb9fc28198c23d4d48972a287</cp:keywords>
  <cp:lastModifiedBy>Merri Saribekyan</cp:lastModifiedBy>
  <cp:lastPrinted>2024-10-09T14:45:31Z</cp:lastPrinted>
  <dcterms:created xsi:type="dcterms:W3CDTF">2022-01-04T07:12:58Z</dcterms:created>
  <dcterms:modified xsi:type="dcterms:W3CDTF">2024-12-12T06:17:39Z</dcterms:modified>
</cp:coreProperties>
</file>