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lena\Downloads\"/>
    </mc:Choice>
  </mc:AlternateContent>
  <xr:revisionPtr revIDLastSave="0" documentId="13_ncr:1_{6A030F97-7135-4478-92D7-A0B1D04D03B3}" xr6:coauthVersionLast="47" xr6:coauthVersionMax="47" xr10:uidLastSave="{00000000-0000-0000-0000-000000000000}"/>
  <bookViews>
    <workbookView xWindow="-120" yWindow="-120" windowWidth="21840" windowHeight="13140" tabRatio="869" activeTab="3" xr2:uid="{00000000-000D-0000-FFFF-FFFF00000000}"/>
  </bookViews>
  <sheets>
    <sheet name="Հավելված N 1" sheetId="27" r:id="rId1"/>
    <sheet name="Հավելված N 2" sheetId="32" r:id="rId2"/>
    <sheet name="Հավելված N 3" sheetId="36" r:id="rId3"/>
    <sheet name="Հավելված N 4" sheetId="35" r:id="rId4"/>
    <sheet name="Հավելված N 5" sheetId="29" r:id="rId5"/>
    <sheet name="Հավելված N 6" sheetId="63" r:id="rId6"/>
    <sheet name="Հավելված N 7" sheetId="41" r:id="rId7"/>
  </sheets>
  <definedNames>
    <definedName name="a" localSheetId="5">#REF!</definedName>
    <definedName name="a">#REF!</definedName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35" l="1"/>
  <c r="G19" i="36"/>
  <c r="D19" i="36" s="1"/>
  <c r="I30" i="41"/>
  <c r="H18" i="36"/>
  <c r="F18" i="36"/>
  <c r="E18" i="36"/>
  <c r="D171" i="35"/>
  <c r="G18" i="36" l="1"/>
  <c r="D18" i="36"/>
  <c r="H145" i="32" l="1"/>
  <c r="G145" i="32"/>
  <c r="E127" i="35"/>
  <c r="D119" i="35"/>
  <c r="F112" i="35"/>
  <c r="E112" i="35"/>
  <c r="F110" i="35"/>
  <c r="E110" i="35"/>
  <c r="F108" i="35"/>
  <c r="E108" i="35"/>
  <c r="E106" i="35" l="1"/>
  <c r="F106" i="35"/>
  <c r="H144" i="32"/>
  <c r="G144" i="32"/>
  <c r="G134" i="32"/>
  <c r="G133" i="32" s="1"/>
  <c r="G123" i="32"/>
  <c r="G121" i="32"/>
  <c r="G120" i="32" s="1"/>
  <c r="G110" i="32"/>
  <c r="G75" i="32"/>
  <c r="H77" i="32"/>
  <c r="H76" i="32" s="1"/>
  <c r="G77" i="32"/>
  <c r="G76" i="32" s="1"/>
  <c r="G56" i="32"/>
  <c r="G32" i="32"/>
  <c r="G34" i="32"/>
  <c r="G33" i="32" s="1"/>
  <c r="E172" i="35"/>
  <c r="E181" i="35"/>
  <c r="E177" i="35"/>
  <c r="D182" i="35"/>
  <c r="D180" i="35"/>
  <c r="D178" i="35"/>
  <c r="D176" i="35"/>
  <c r="D175" i="35"/>
  <c r="D174" i="35"/>
  <c r="D173" i="35"/>
  <c r="D170" i="35"/>
  <c r="E149" i="35"/>
  <c r="E163" i="35"/>
  <c r="D164" i="35"/>
  <c r="D162" i="35"/>
  <c r="D161" i="35"/>
  <c r="D160" i="35"/>
  <c r="D159" i="35"/>
  <c r="D158" i="35"/>
  <c r="D156" i="35"/>
  <c r="D155" i="35"/>
  <c r="D154" i="35"/>
  <c r="D153" i="35"/>
  <c r="D152" i="35"/>
  <c r="D150" i="35"/>
  <c r="D148" i="35"/>
  <c r="D147" i="35"/>
  <c r="D146" i="35"/>
  <c r="D145" i="35"/>
  <c r="D139" i="35"/>
  <c r="D131" i="35"/>
  <c r="D128" i="35"/>
  <c r="D126" i="35"/>
  <c r="D125" i="35"/>
  <c r="D123" i="35"/>
  <c r="D122" i="35"/>
  <c r="D118" i="35"/>
  <c r="D115" i="35"/>
  <c r="D116" i="35"/>
  <c r="D101" i="35"/>
  <c r="E100" i="35"/>
  <c r="D99" i="35"/>
  <c r="E98" i="35"/>
  <c r="D97" i="35"/>
  <c r="E96" i="35"/>
  <c r="E93" i="35"/>
  <c r="D95" i="35"/>
  <c r="D92" i="35"/>
  <c r="E91" i="35"/>
  <c r="D94" i="35"/>
  <c r="E84" i="35"/>
  <c r="E82" i="35" s="1"/>
  <c r="F79" i="35"/>
  <c r="H56" i="32" s="1"/>
  <c r="D65" i="36"/>
  <c r="E89" i="35" l="1"/>
  <c r="E87" i="35" l="1"/>
  <c r="G132" i="32"/>
  <c r="G131" i="32" s="1"/>
  <c r="G130" i="32" s="1"/>
  <c r="G129" i="32" s="1"/>
  <c r="G128" i="32" s="1"/>
  <c r="G126" i="32" s="1"/>
  <c r="G124" i="32" l="1"/>
  <c r="D100" i="27" s="1"/>
  <c r="D117" i="29" s="1"/>
  <c r="D117" i="63"/>
  <c r="D78" i="35"/>
  <c r="E55" i="35"/>
  <c r="D72" i="35"/>
  <c r="E71" i="35"/>
  <c r="D70" i="35"/>
  <c r="E69" i="35"/>
  <c r="E67" i="35"/>
  <c r="D68" i="35"/>
  <c r="E64" i="35"/>
  <c r="D66" i="35"/>
  <c r="D65" i="35"/>
  <c r="E62" i="35"/>
  <c r="E61" i="35" s="1"/>
  <c r="D62" i="35"/>
  <c r="D60" i="35"/>
  <c r="E59" i="35"/>
  <c r="D58" i="35"/>
  <c r="D57" i="35"/>
  <c r="D56" i="35"/>
  <c r="E53" i="35"/>
  <c r="D43" i="35" l="1"/>
  <c r="E42" i="35"/>
  <c r="E40" i="35" s="1"/>
  <c r="G97" i="32" s="1"/>
  <c r="D37" i="35"/>
  <c r="E36" i="35"/>
  <c r="E26" i="35"/>
  <c r="E28" i="35"/>
  <c r="D29" i="35"/>
  <c r="E24" i="35" l="1"/>
  <c r="G86" i="32" s="1"/>
  <c r="D27" i="35"/>
  <c r="D21" i="35" l="1"/>
  <c r="E20" i="35"/>
  <c r="F18" i="35"/>
  <c r="E18" i="35"/>
  <c r="E16" i="35" l="1"/>
  <c r="I156" i="41" l="1"/>
  <c r="I138" i="41" s="1"/>
  <c r="I139" i="41"/>
  <c r="E73" i="36"/>
  <c r="I95" i="41"/>
  <c r="I195" i="41"/>
  <c r="I188" i="41"/>
  <c r="I187" i="41" s="1"/>
  <c r="F144" i="36"/>
  <c r="D144" i="36" s="1"/>
  <c r="F182" i="35" s="1"/>
  <c r="F181" i="35" s="1"/>
  <c r="F142" i="36"/>
  <c r="D142" i="36" s="1"/>
  <c r="H143" i="36"/>
  <c r="G143" i="36"/>
  <c r="E143" i="36"/>
  <c r="H141" i="36"/>
  <c r="G141" i="36"/>
  <c r="E141" i="36"/>
  <c r="E139" i="36"/>
  <c r="G139" i="36"/>
  <c r="H139" i="36"/>
  <c r="F140" i="36"/>
  <c r="F139" i="36" s="1"/>
  <c r="F180" i="35" l="1"/>
  <c r="F179" i="35" s="1"/>
  <c r="E180" i="35"/>
  <c r="E179" i="35" s="1"/>
  <c r="F143" i="36"/>
  <c r="D143" i="36" s="1"/>
  <c r="F141" i="36"/>
  <c r="D141" i="36" s="1"/>
  <c r="D140" i="36"/>
  <c r="F178" i="35" s="1"/>
  <c r="F177" i="35" s="1"/>
  <c r="D139" i="36"/>
  <c r="F138" i="36"/>
  <c r="F137" i="36"/>
  <c r="F136" i="36"/>
  <c r="E134" i="36"/>
  <c r="G134" i="36"/>
  <c r="H134" i="36"/>
  <c r="F135" i="36"/>
  <c r="F134" i="36" l="1"/>
  <c r="D138" i="36"/>
  <c r="F176" i="35" s="1"/>
  <c r="D137" i="36"/>
  <c r="F175" i="35" s="1"/>
  <c r="D136" i="36"/>
  <c r="F174" i="35" s="1"/>
  <c r="D135" i="36"/>
  <c r="F173" i="35" s="1"/>
  <c r="F133" i="36"/>
  <c r="F132" i="36"/>
  <c r="F172" i="35" l="1"/>
  <c r="F131" i="36"/>
  <c r="F129" i="36" s="1"/>
  <c r="D134" i="36"/>
  <c r="D133" i="36"/>
  <c r="F171" i="35" s="1"/>
  <c r="D132" i="36"/>
  <c r="H131" i="36"/>
  <c r="H129" i="36" s="1"/>
  <c r="G131" i="36"/>
  <c r="G129" i="36" s="1"/>
  <c r="E128" i="36"/>
  <c r="E123" i="36"/>
  <c r="E124" i="36"/>
  <c r="E125" i="36"/>
  <c r="E126" i="36"/>
  <c r="E122" i="36"/>
  <c r="F170" i="35" l="1"/>
  <c r="F169" i="35" s="1"/>
  <c r="F167" i="35" s="1"/>
  <c r="E170" i="35"/>
  <c r="E169" i="35" s="1"/>
  <c r="E167" i="35" s="1"/>
  <c r="E131" i="36"/>
  <c r="E129" i="36" s="1"/>
  <c r="F165" i="35" l="1"/>
  <c r="H172" i="32"/>
  <c r="H171" i="32" s="1"/>
  <c r="H170" i="32" s="1"/>
  <c r="H169" i="32" s="1"/>
  <c r="H168" i="32" s="1"/>
  <c r="H166" i="32" s="1"/>
  <c r="G172" i="32"/>
  <c r="G171" i="32" s="1"/>
  <c r="G170" i="32" s="1"/>
  <c r="G169" i="32" s="1"/>
  <c r="G168" i="32" s="1"/>
  <c r="G166" i="32" s="1"/>
  <c r="E165" i="35"/>
  <c r="D131" i="36"/>
  <c r="D129" i="36"/>
  <c r="H164" i="32" l="1"/>
  <c r="E124" i="27" s="1"/>
  <c r="E159" i="29" s="1"/>
  <c r="E159" i="63"/>
  <c r="G164" i="32"/>
  <c r="D124" i="27" s="1"/>
  <c r="D159" i="29" s="1"/>
  <c r="D159" i="63"/>
  <c r="D126" i="36"/>
  <c r="D125" i="36"/>
  <c r="D124" i="36"/>
  <c r="D123" i="36"/>
  <c r="D122" i="36"/>
  <c r="H121" i="36"/>
  <c r="G121" i="36"/>
  <c r="F121" i="36"/>
  <c r="E159" i="35" l="1"/>
  <c r="F159" i="35"/>
  <c r="E158" i="35"/>
  <c r="F158" i="35"/>
  <c r="E162" i="35"/>
  <c r="F162" i="35"/>
  <c r="F161" i="35"/>
  <c r="E161" i="35"/>
  <c r="F160" i="35"/>
  <c r="E160" i="35"/>
  <c r="E121" i="36"/>
  <c r="D121" i="36" s="1"/>
  <c r="F157" i="35" l="1"/>
  <c r="E157" i="35"/>
  <c r="F115" i="36"/>
  <c r="G115" i="36"/>
  <c r="H115" i="36"/>
  <c r="E118" i="36"/>
  <c r="D118" i="36" s="1"/>
  <c r="E116" i="36"/>
  <c r="E117" i="36"/>
  <c r="E119" i="36"/>
  <c r="E120" i="36"/>
  <c r="E154" i="35" l="1"/>
  <c r="F154" i="35"/>
  <c r="E115" i="36"/>
  <c r="D120" i="36"/>
  <c r="D119" i="36"/>
  <c r="D117" i="36"/>
  <c r="D116" i="36"/>
  <c r="E114" i="36"/>
  <c r="D114" i="36" s="1"/>
  <c r="F150" i="35" s="1"/>
  <c r="F149" i="35" s="1"/>
  <c r="H113" i="36"/>
  <c r="G113" i="36"/>
  <c r="F113" i="36"/>
  <c r="F108" i="36"/>
  <c r="G108" i="36"/>
  <c r="H108" i="36"/>
  <c r="E110" i="36"/>
  <c r="E111" i="36"/>
  <c r="E112" i="36"/>
  <c r="E109" i="36"/>
  <c r="I136" i="41"/>
  <c r="I137" i="41"/>
  <c r="F104" i="36"/>
  <c r="F102" i="36" s="1"/>
  <c r="H104" i="36"/>
  <c r="H102" i="36" s="1"/>
  <c r="E104" i="36"/>
  <c r="E102" i="36" s="1"/>
  <c r="I115" i="41"/>
  <c r="E99" i="36"/>
  <c r="E101" i="36"/>
  <c r="I133" i="41"/>
  <c r="H100" i="36"/>
  <c r="G100" i="36"/>
  <c r="F100" i="36"/>
  <c r="F98" i="36"/>
  <c r="G98" i="36"/>
  <c r="H98" i="36"/>
  <c r="E97" i="36"/>
  <c r="E96" i="36"/>
  <c r="I130" i="41"/>
  <c r="H95" i="36"/>
  <c r="G95" i="36"/>
  <c r="F95" i="36"/>
  <c r="I129" i="41"/>
  <c r="E94" i="36"/>
  <c r="E93" i="36"/>
  <c r="H92" i="36"/>
  <c r="G92" i="36"/>
  <c r="F92" i="36"/>
  <c r="E91" i="36"/>
  <c r="D91" i="36" s="1"/>
  <c r="E90" i="36"/>
  <c r="I128" i="41"/>
  <c r="H89" i="36"/>
  <c r="G89" i="36"/>
  <c r="F89" i="36"/>
  <c r="E88" i="36"/>
  <c r="E87" i="36"/>
  <c r="I127" i="41"/>
  <c r="H86" i="36"/>
  <c r="G86" i="36"/>
  <c r="G84" i="36" s="1"/>
  <c r="F86" i="36"/>
  <c r="H84" i="36" l="1"/>
  <c r="F84" i="36"/>
  <c r="F155" i="35"/>
  <c r="E155" i="35"/>
  <c r="F153" i="35"/>
  <c r="E153" i="35"/>
  <c r="F152" i="35"/>
  <c r="E152" i="35"/>
  <c r="E156" i="35"/>
  <c r="F156" i="35"/>
  <c r="F119" i="35"/>
  <c r="E119" i="35"/>
  <c r="E113" i="36"/>
  <c r="D113" i="36" s="1"/>
  <c r="D115" i="36"/>
  <c r="E108" i="36"/>
  <c r="G105" i="36"/>
  <c r="I126" i="41"/>
  <c r="I114" i="41" s="1"/>
  <c r="I135" i="41"/>
  <c r="D110" i="36"/>
  <c r="D111" i="36"/>
  <c r="D97" i="36"/>
  <c r="D101" i="36"/>
  <c r="E100" i="36"/>
  <c r="D100" i="36" s="1"/>
  <c r="D99" i="36"/>
  <c r="F128" i="35" s="1"/>
  <c r="F127" i="35" s="1"/>
  <c r="E98" i="36"/>
  <c r="D96" i="36"/>
  <c r="E95" i="36"/>
  <c r="D95" i="36" s="1"/>
  <c r="D94" i="36"/>
  <c r="E89" i="36"/>
  <c r="D89" i="36" s="1"/>
  <c r="D93" i="36"/>
  <c r="F122" i="35" s="1"/>
  <c r="E92" i="36"/>
  <c r="D92" i="36" s="1"/>
  <c r="E86" i="36"/>
  <c r="D90" i="36"/>
  <c r="E151" i="35" l="1"/>
  <c r="D109" i="36"/>
  <c r="I134" i="41"/>
  <c r="E146" i="35"/>
  <c r="F146" i="35"/>
  <c r="F145" i="35"/>
  <c r="E145" i="35"/>
  <c r="F151" i="35"/>
  <c r="F147" i="35"/>
  <c r="E147" i="35"/>
  <c r="E84" i="36"/>
  <c r="E125" i="35"/>
  <c r="F125" i="35"/>
  <c r="F131" i="35"/>
  <c r="F130" i="35" s="1"/>
  <c r="E131" i="35"/>
  <c r="E130" i="35" s="1"/>
  <c r="E123" i="35"/>
  <c r="E121" i="35" s="1"/>
  <c r="F123" i="35"/>
  <c r="F121" i="35" s="1"/>
  <c r="E118" i="35"/>
  <c r="E117" i="35" s="1"/>
  <c r="F118" i="35"/>
  <c r="F117" i="35" s="1"/>
  <c r="F126" i="35"/>
  <c r="E126" i="35"/>
  <c r="D108" i="36"/>
  <c r="F124" i="35" l="1"/>
  <c r="E124" i="35"/>
  <c r="E83" i="36"/>
  <c r="E82" i="36" s="1"/>
  <c r="G82" i="36"/>
  <c r="H82" i="36"/>
  <c r="F82" i="36"/>
  <c r="E81" i="36"/>
  <c r="E80" i="36" s="1"/>
  <c r="G80" i="36"/>
  <c r="H80" i="36"/>
  <c r="F80" i="36"/>
  <c r="E79" i="36"/>
  <c r="E78" i="36" s="1"/>
  <c r="H78" i="36"/>
  <c r="F78" i="36"/>
  <c r="F75" i="36"/>
  <c r="G75" i="36"/>
  <c r="H75" i="36"/>
  <c r="E77" i="36"/>
  <c r="E76" i="36"/>
  <c r="H68" i="36"/>
  <c r="E68" i="36"/>
  <c r="E66" i="36" s="1"/>
  <c r="F73" i="36"/>
  <c r="H73" i="36"/>
  <c r="I113" i="41"/>
  <c r="I112" i="41"/>
  <c r="I101" i="41" s="1"/>
  <c r="I94" i="41" s="1"/>
  <c r="I93" i="41"/>
  <c r="I92" i="41"/>
  <c r="I91" i="41"/>
  <c r="I90" i="41"/>
  <c r="I88" i="41"/>
  <c r="I87" i="41" s="1"/>
  <c r="E60" i="36"/>
  <c r="D60" i="36" s="1"/>
  <c r="F72" i="35" s="1"/>
  <c r="F71" i="35" s="1"/>
  <c r="H59" i="36"/>
  <c r="G59" i="36"/>
  <c r="F59" i="36"/>
  <c r="E58" i="36"/>
  <c r="D58" i="36" s="1"/>
  <c r="F70" i="35" s="1"/>
  <c r="F69" i="35" s="1"/>
  <c r="H57" i="36"/>
  <c r="G57" i="36"/>
  <c r="F57" i="36"/>
  <c r="E75" i="36" l="1"/>
  <c r="E71" i="36" s="1"/>
  <c r="H71" i="36"/>
  <c r="F71" i="36"/>
  <c r="D83" i="36"/>
  <c r="F101" i="35" s="1"/>
  <c r="F100" i="35" s="1"/>
  <c r="D82" i="36"/>
  <c r="D81" i="36"/>
  <c r="F99" i="35" s="1"/>
  <c r="F98" i="35" s="1"/>
  <c r="D80" i="36"/>
  <c r="D79" i="36"/>
  <c r="F97" i="35" s="1"/>
  <c r="F96" i="35" s="1"/>
  <c r="G78" i="36"/>
  <c r="D78" i="36" s="1"/>
  <c r="G70" i="36"/>
  <c r="G68" i="36" s="1"/>
  <c r="G74" i="36"/>
  <c r="D74" i="36" s="1"/>
  <c r="F92" i="35" s="1"/>
  <c r="F69" i="36"/>
  <c r="F68" i="36" s="1"/>
  <c r="I89" i="41"/>
  <c r="I86" i="41" s="1"/>
  <c r="D76" i="36"/>
  <c r="F94" i="35" s="1"/>
  <c r="E59" i="36"/>
  <c r="D59" i="36" s="1"/>
  <c r="E57" i="36"/>
  <c r="D57" i="36" s="1"/>
  <c r="I84" i="41"/>
  <c r="I82" i="41"/>
  <c r="E55" i="36"/>
  <c r="H55" i="36"/>
  <c r="F55" i="36"/>
  <c r="F52" i="36"/>
  <c r="H52" i="36"/>
  <c r="I85" i="41"/>
  <c r="I83" i="41"/>
  <c r="E53" i="36"/>
  <c r="E52" i="36" s="1"/>
  <c r="E51" i="36"/>
  <c r="H50" i="36"/>
  <c r="G50" i="36"/>
  <c r="F50" i="36"/>
  <c r="E49" i="36"/>
  <c r="H48" i="36"/>
  <c r="G48" i="36"/>
  <c r="F48" i="36"/>
  <c r="F44" i="36"/>
  <c r="G44" i="36"/>
  <c r="H44" i="36"/>
  <c r="E47" i="36"/>
  <c r="D47" i="36" s="1"/>
  <c r="F58" i="35" s="1"/>
  <c r="E46" i="36"/>
  <c r="D46" i="36" s="1"/>
  <c r="F57" i="35" s="1"/>
  <c r="I72" i="41"/>
  <c r="I62" i="41"/>
  <c r="I51" i="41"/>
  <c r="I50" i="41" s="1"/>
  <c r="F42" i="36"/>
  <c r="G42" i="36"/>
  <c r="H42" i="36"/>
  <c r="E43" i="36"/>
  <c r="E42" i="36" s="1"/>
  <c r="F91" i="35" l="1"/>
  <c r="H134" i="32"/>
  <c r="H133" i="32" s="1"/>
  <c r="D75" i="36"/>
  <c r="G73" i="36"/>
  <c r="G71" i="36" s="1"/>
  <c r="D71" i="36" s="1"/>
  <c r="D77" i="36"/>
  <c r="F95" i="35" s="1"/>
  <c r="F93" i="35" s="1"/>
  <c r="G56" i="36"/>
  <c r="I61" i="41"/>
  <c r="I49" i="41" s="1"/>
  <c r="G54" i="36"/>
  <c r="G52" i="36" s="1"/>
  <c r="E45" i="36"/>
  <c r="E44" i="36" s="1"/>
  <c r="F89" i="35" l="1"/>
  <c r="H132" i="32" s="1"/>
  <c r="H131" i="32" s="1"/>
  <c r="H130" i="32" s="1"/>
  <c r="H129" i="32" s="1"/>
  <c r="H128" i="32" s="1"/>
  <c r="H126" i="32" s="1"/>
  <c r="D73" i="36"/>
  <c r="D54" i="36"/>
  <c r="F66" i="35" s="1"/>
  <c r="H124" i="32" l="1"/>
  <c r="E100" i="27" s="1"/>
  <c r="E117" i="29" s="1"/>
  <c r="E117" i="63"/>
  <c r="F87" i="35"/>
  <c r="I38" i="41"/>
  <c r="E41" i="36"/>
  <c r="F37" i="36"/>
  <c r="F36" i="36" s="1"/>
  <c r="F34" i="36" s="1"/>
  <c r="I46" i="41"/>
  <c r="I44" i="41"/>
  <c r="H36" i="36"/>
  <c r="H34" i="36" s="1"/>
  <c r="G36" i="36"/>
  <c r="G34" i="36" s="1"/>
  <c r="E36" i="36"/>
  <c r="E34" i="36" s="1"/>
  <c r="I19" i="41"/>
  <c r="I18" i="41"/>
  <c r="H32" i="36"/>
  <c r="F32" i="36"/>
  <c r="E32" i="36"/>
  <c r="G33" i="36" l="1"/>
  <c r="G32" i="36" s="1"/>
  <c r="D32" i="36" s="1"/>
  <c r="D37" i="36"/>
  <c r="F43" i="35" s="1"/>
  <c r="F42" i="35" s="1"/>
  <c r="F40" i="35" s="1"/>
  <c r="D36" i="36"/>
  <c r="I43" i="41"/>
  <c r="D34" i="36"/>
  <c r="I17" i="41"/>
  <c r="I16" i="41"/>
  <c r="I14" i="41"/>
  <c r="I35" i="41"/>
  <c r="E27" i="36"/>
  <c r="H97" i="32" l="1"/>
  <c r="H96" i="32" s="1"/>
  <c r="H95" i="32" s="1"/>
  <c r="H94" i="32" s="1"/>
  <c r="H93" i="32" s="1"/>
  <c r="H91" i="32" s="1"/>
  <c r="D33" i="36"/>
  <c r="F37" i="35" s="1"/>
  <c r="I13" i="41"/>
  <c r="F31" i="36"/>
  <c r="I15" i="41"/>
  <c r="D27" i="36"/>
  <c r="F29" i="35" s="1"/>
  <c r="F28" i="35" s="1"/>
  <c r="H26" i="36"/>
  <c r="G26" i="36"/>
  <c r="F26" i="36"/>
  <c r="I12" i="41" l="1"/>
  <c r="H89" i="32"/>
  <c r="H87" i="32" s="1"/>
  <c r="E63" i="63"/>
  <c r="F36" i="35"/>
  <c r="H34" i="32"/>
  <c r="H33" i="32" s="1"/>
  <c r="I11" i="41"/>
  <c r="E26" i="36"/>
  <c r="D26" i="36" s="1"/>
  <c r="E25" i="36"/>
  <c r="E55" i="27" l="1"/>
  <c r="E63" i="29" s="1"/>
  <c r="H24" i="36"/>
  <c r="H22" i="36" s="1"/>
  <c r="G24" i="36"/>
  <c r="G22" i="36" s="1"/>
  <c r="F24" i="36"/>
  <c r="F22" i="36" s="1"/>
  <c r="D25" i="36"/>
  <c r="F27" i="35" s="1"/>
  <c r="G20" i="36"/>
  <c r="G16" i="36" s="1"/>
  <c r="H20" i="36"/>
  <c r="H16" i="36" s="1"/>
  <c r="E20" i="36"/>
  <c r="E16" i="36" s="1"/>
  <c r="F21" i="36"/>
  <c r="F20" i="36" s="1"/>
  <c r="F16" i="36" s="1"/>
  <c r="I28" i="41"/>
  <c r="I27" i="41" l="1"/>
  <c r="E24" i="36"/>
  <c r="I34" i="41"/>
  <c r="D24" i="36" l="1"/>
  <c r="E22" i="36"/>
  <c r="D52" i="35"/>
  <c r="F40" i="36" l="1"/>
  <c r="F38" i="36" s="1"/>
  <c r="G40" i="36"/>
  <c r="H40" i="36"/>
  <c r="H38" i="36" s="1"/>
  <c r="E40" i="36"/>
  <c r="D41" i="36" l="1"/>
  <c r="F52" i="35" s="1"/>
  <c r="F51" i="35" s="1"/>
  <c r="E51" i="35" l="1"/>
  <c r="E46" i="35" s="1"/>
  <c r="G108" i="32" s="1"/>
  <c r="D53" i="36" l="1"/>
  <c r="F65" i="35" s="1"/>
  <c r="F64" i="35" s="1"/>
  <c r="D51" i="36"/>
  <c r="F62" i="35" s="1"/>
  <c r="F61" i="35" s="1"/>
  <c r="E50" i="36"/>
  <c r="D50" i="36" s="1"/>
  <c r="D49" i="36"/>
  <c r="F60" i="35" s="1"/>
  <c r="F59" i="35" s="1"/>
  <c r="E48" i="36"/>
  <c r="D45" i="36"/>
  <c r="F56" i="35" s="1"/>
  <c r="F55" i="35" s="1"/>
  <c r="D44" i="36"/>
  <c r="D48" i="36" l="1"/>
  <c r="E38" i="36"/>
  <c r="D56" i="36"/>
  <c r="F68" i="35" s="1"/>
  <c r="G55" i="36"/>
  <c r="F67" i="35" l="1"/>
  <c r="H110" i="32"/>
  <c r="D55" i="36"/>
  <c r="G38" i="36"/>
  <c r="G107" i="32" l="1"/>
  <c r="D54" i="35" l="1"/>
  <c r="D43" i="36"/>
  <c r="F54" i="35" s="1"/>
  <c r="F53" i="35" s="1"/>
  <c r="F46" i="35" s="1"/>
  <c r="H108" i="32" s="1"/>
  <c r="D52" i="36" l="1"/>
  <c r="G55" i="32" l="1"/>
  <c r="G54" i="32" s="1"/>
  <c r="G53" i="32" s="1"/>
  <c r="G52" i="32" s="1"/>
  <c r="G50" i="32" s="1"/>
  <c r="D195" i="63" s="1"/>
  <c r="D86" i="35" l="1"/>
  <c r="D85" i="35"/>
  <c r="D35" i="35"/>
  <c r="E77" i="35" l="1"/>
  <c r="E75" i="35" s="1"/>
  <c r="G49" i="32" s="1"/>
  <c r="G48" i="32" l="1"/>
  <c r="G47" i="32" s="1"/>
  <c r="G46" i="32" s="1"/>
  <c r="G45" i="32" s="1"/>
  <c r="E73" i="35"/>
  <c r="H55" i="32"/>
  <c r="H54" i="32" s="1"/>
  <c r="H53" i="32" s="1"/>
  <c r="H52" i="32" s="1"/>
  <c r="H50" i="32" s="1"/>
  <c r="E195" i="63" s="1"/>
  <c r="G43" i="32" l="1"/>
  <c r="G30" i="36"/>
  <c r="G28" i="36" s="1"/>
  <c r="H30" i="36"/>
  <c r="H28" i="36" s="1"/>
  <c r="E30" i="36"/>
  <c r="E28" i="36" s="1"/>
  <c r="G41" i="32" l="1"/>
  <c r="D90" i="63"/>
  <c r="D105" i="36"/>
  <c r="F139" i="35" s="1"/>
  <c r="G104" i="36"/>
  <c r="G102" i="36" s="1"/>
  <c r="D104" i="36" l="1"/>
  <c r="D40" i="36"/>
  <c r="D42" i="36"/>
  <c r="H107" i="32" l="1"/>
  <c r="H127" i="36"/>
  <c r="H106" i="36" s="1"/>
  <c r="F127" i="36"/>
  <c r="F106" i="36" s="1"/>
  <c r="E127" i="36"/>
  <c r="E106" i="36" s="1"/>
  <c r="D88" i="36" l="1"/>
  <c r="D128" i="36"/>
  <c r="F164" i="35" s="1"/>
  <c r="F163" i="35" s="1"/>
  <c r="G127" i="36"/>
  <c r="E116" i="35" l="1"/>
  <c r="E114" i="35" s="1"/>
  <c r="E104" i="35" s="1"/>
  <c r="G143" i="32" s="1"/>
  <c r="G142" i="32" s="1"/>
  <c r="G141" i="32" s="1"/>
  <c r="F116" i="35"/>
  <c r="D112" i="36"/>
  <c r="I26" i="41"/>
  <c r="D127" i="36"/>
  <c r="G106" i="36"/>
  <c r="D106" i="36" s="1"/>
  <c r="E148" i="35" l="1"/>
  <c r="E144" i="35" s="1"/>
  <c r="E142" i="35" s="1"/>
  <c r="G163" i="32" s="1"/>
  <c r="G162" i="32" s="1"/>
  <c r="G161" i="32" s="1"/>
  <c r="G160" i="32" s="1"/>
  <c r="G159" i="32" s="1"/>
  <c r="G157" i="32" s="1"/>
  <c r="D149" i="63" s="1"/>
  <c r="F148" i="35"/>
  <c r="F144" i="35" s="1"/>
  <c r="F142" i="35" s="1"/>
  <c r="H163" i="32" s="1"/>
  <c r="H162" i="32" s="1"/>
  <c r="H161" i="32" s="1"/>
  <c r="H160" i="32" s="1"/>
  <c r="H159" i="32" s="1"/>
  <c r="H157" i="32" s="1"/>
  <c r="E149" i="63" s="1"/>
  <c r="D87" i="36"/>
  <c r="F115" i="35" s="1"/>
  <c r="F114" i="35" s="1"/>
  <c r="F104" i="35" s="1"/>
  <c r="H143" i="32" s="1"/>
  <c r="D86" i="36"/>
  <c r="E140" i="35" l="1"/>
  <c r="F140" i="35"/>
  <c r="G155" i="32"/>
  <c r="D118" i="27" s="1"/>
  <c r="D149" i="29" s="1"/>
  <c r="H155" i="32"/>
  <c r="E118" i="27" s="1"/>
  <c r="E149" i="29" s="1"/>
  <c r="F66" i="36" l="1"/>
  <c r="H66" i="36"/>
  <c r="H63" i="36"/>
  <c r="H61" i="36" s="1"/>
  <c r="E63" i="36"/>
  <c r="E61" i="36" s="1"/>
  <c r="E14" i="36" s="1"/>
  <c r="H14" i="36" l="1"/>
  <c r="D70" i="36"/>
  <c r="F86" i="35" s="1"/>
  <c r="H123" i="32" s="1"/>
  <c r="F26" i="35" l="1"/>
  <c r="F24" i="35" s="1"/>
  <c r="H86" i="32" s="1"/>
  <c r="D22" i="36"/>
  <c r="E138" i="35" l="1"/>
  <c r="E136" i="35" s="1"/>
  <c r="G154" i="32" s="1"/>
  <c r="G66" i="36"/>
  <c r="F138" i="35" l="1"/>
  <c r="F136" i="35" s="1"/>
  <c r="H154" i="32" s="1"/>
  <c r="D98" i="36" l="1"/>
  <c r="D69" i="36" l="1"/>
  <c r="F85" i="35" s="1"/>
  <c r="F84" i="35" l="1"/>
  <c r="F82" i="35" s="1"/>
  <c r="H121" i="32"/>
  <c r="H120" i="32" s="1"/>
  <c r="E80" i="35"/>
  <c r="G122" i="32"/>
  <c r="G119" i="32" s="1"/>
  <c r="D66" i="36"/>
  <c r="D68" i="36"/>
  <c r="G63" i="36" l="1"/>
  <c r="G61" i="36" s="1"/>
  <c r="G14" i="36" s="1"/>
  <c r="F30" i="36"/>
  <c r="F28" i="36" s="1"/>
  <c r="E48" i="27" l="1"/>
  <c r="D31" i="36"/>
  <c r="D30" i="36"/>
  <c r="E34" i="35" l="1"/>
  <c r="E32" i="35" s="1"/>
  <c r="F35" i="35"/>
  <c r="D21" i="36"/>
  <c r="F21" i="35" s="1"/>
  <c r="F34" i="35" l="1"/>
  <c r="F32" i="35" s="1"/>
  <c r="H32" i="32"/>
  <c r="F20" i="35"/>
  <c r="F16" i="35" s="1"/>
  <c r="H75" i="32"/>
  <c r="G74" i="32"/>
  <c r="D16" i="36"/>
  <c r="D20" i="36"/>
  <c r="G73" i="32" l="1"/>
  <c r="G72" i="32" s="1"/>
  <c r="E44" i="35"/>
  <c r="E38" i="35" s="1"/>
  <c r="G109" i="32"/>
  <c r="G106" i="32" s="1"/>
  <c r="F44" i="35"/>
  <c r="F38" i="35" s="1"/>
  <c r="H109" i="32"/>
  <c r="H106" i="32" s="1"/>
  <c r="E14" i="35"/>
  <c r="G71" i="32" l="1"/>
  <c r="G69" i="32" s="1"/>
  <c r="D25" i="63" s="1"/>
  <c r="G105" i="32"/>
  <c r="G104" i="32" s="1"/>
  <c r="G102" i="32" s="1"/>
  <c r="D77" i="63" s="1"/>
  <c r="H105" i="32"/>
  <c r="H104" i="32" s="1"/>
  <c r="H102" i="32" s="1"/>
  <c r="E77" i="63" s="1"/>
  <c r="E22" i="35"/>
  <c r="G85" i="32"/>
  <c r="G84" i="32" s="1"/>
  <c r="G83" i="32" s="1"/>
  <c r="G82" i="32" s="1"/>
  <c r="G80" i="32" s="1"/>
  <c r="D35" i="63" s="1"/>
  <c r="F22" i="35"/>
  <c r="H85" i="32"/>
  <c r="H84" i="32" s="1"/>
  <c r="H83" i="32" s="1"/>
  <c r="H82" i="32" s="1"/>
  <c r="H80" i="32" s="1"/>
  <c r="E35" i="63" s="1"/>
  <c r="G67" i="32" l="1"/>
  <c r="H100" i="32"/>
  <c r="E68" i="27" s="1"/>
  <c r="E77" i="29" s="1"/>
  <c r="G100" i="32"/>
  <c r="G98" i="32" s="1"/>
  <c r="G96" i="32" s="1"/>
  <c r="H78" i="32"/>
  <c r="E29" i="27" s="1"/>
  <c r="E35" i="29" s="1"/>
  <c r="G78" i="32"/>
  <c r="I22" i="41"/>
  <c r="G95" i="32" l="1"/>
  <c r="G94" i="32" s="1"/>
  <c r="G93" i="32" s="1"/>
  <c r="G91" i="32" s="1"/>
  <c r="D23" i="27"/>
  <c r="D25" i="29" s="1"/>
  <c r="G65" i="32"/>
  <c r="H98" i="32"/>
  <c r="D68" i="27"/>
  <c r="D29" i="27"/>
  <c r="D35" i="29" s="1"/>
  <c r="G89" i="32" l="1"/>
  <c r="D63" i="63"/>
  <c r="D61" i="27"/>
  <c r="D77" i="29"/>
  <c r="F14" i="35"/>
  <c r="H74" i="32"/>
  <c r="D16" i="27"/>
  <c r="G87" i="32" l="1"/>
  <c r="D55" i="27"/>
  <c r="H73" i="32"/>
  <c r="H72" i="32" s="1"/>
  <c r="D63" i="29" l="1"/>
  <c r="D48" i="27"/>
  <c r="H71" i="32"/>
  <c r="H69" i="32" s="1"/>
  <c r="E25" i="63" s="1"/>
  <c r="H67" i="32" l="1"/>
  <c r="I25" i="41"/>
  <c r="F64" i="36" s="1"/>
  <c r="E23" i="27" l="1"/>
  <c r="E25" i="29" s="1"/>
  <c r="H65" i="32"/>
  <c r="F63" i="36"/>
  <c r="D64" i="36"/>
  <c r="F78" i="35" s="1"/>
  <c r="I24" i="41"/>
  <c r="I21" i="41" s="1"/>
  <c r="I20" i="41" s="1"/>
  <c r="E16" i="27" l="1"/>
  <c r="F61" i="36"/>
  <c r="F14" i="36" s="1"/>
  <c r="D38" i="36" l="1"/>
  <c r="G39" i="32" l="1"/>
  <c r="G37" i="32" s="1"/>
  <c r="G35" i="32" s="1"/>
  <c r="D81" i="27"/>
  <c r="D90" i="29" s="1"/>
  <c r="D74" i="27" l="1"/>
  <c r="D28" i="36"/>
  <c r="G153" i="32"/>
  <c r="G152" i="32" l="1"/>
  <c r="G151" i="32" s="1"/>
  <c r="G150" i="32" s="1"/>
  <c r="G148" i="32" s="1"/>
  <c r="D139" i="63" s="1"/>
  <c r="G146" i="32" l="1"/>
  <c r="D112" i="27" s="1"/>
  <c r="D139" i="29" s="1"/>
  <c r="H153" i="32"/>
  <c r="I10" i="41"/>
  <c r="H152" i="32" l="1"/>
  <c r="H151" i="32" s="1"/>
  <c r="H150" i="32" s="1"/>
  <c r="H148" i="32" s="1"/>
  <c r="E139" i="63" s="1"/>
  <c r="F77" i="35"/>
  <c r="F75" i="35" s="1"/>
  <c r="G118" i="32"/>
  <c r="G117" i="32" s="1"/>
  <c r="G115" i="32" s="1"/>
  <c r="D106" i="63" s="1"/>
  <c r="H146" i="32" l="1"/>
  <c r="E112" i="27" s="1"/>
  <c r="E139" i="29" s="1"/>
  <c r="F73" i="35"/>
  <c r="H49" i="32"/>
  <c r="H48" i="32" s="1"/>
  <c r="H47" i="32" s="1"/>
  <c r="H46" i="32" s="1"/>
  <c r="H45" i="32" s="1"/>
  <c r="H43" i="32" s="1"/>
  <c r="E90" i="63" s="1"/>
  <c r="E30" i="35"/>
  <c r="G31" i="32"/>
  <c r="G113" i="32"/>
  <c r="D63" i="36"/>
  <c r="D61" i="36"/>
  <c r="D94" i="27" l="1"/>
  <c r="D106" i="29" s="1"/>
  <c r="H41" i="32"/>
  <c r="H39" i="32" s="1"/>
  <c r="G30" i="32"/>
  <c r="G29" i="32" s="1"/>
  <c r="F80" i="35"/>
  <c r="H122" i="32"/>
  <c r="H119" i="32" l="1"/>
  <c r="H118" i="32" s="1"/>
  <c r="H117" i="32" s="1"/>
  <c r="H115" i="32" s="1"/>
  <c r="E106" i="63" s="1"/>
  <c r="G28" i="32"/>
  <c r="G26" i="32" s="1"/>
  <c r="D50" i="63" s="1"/>
  <c r="E81" i="27"/>
  <c r="H37" i="32"/>
  <c r="H35" i="32" s="1"/>
  <c r="E134" i="35"/>
  <c r="F134" i="35"/>
  <c r="E74" i="27" l="1"/>
  <c r="E90" i="29"/>
  <c r="H113" i="32"/>
  <c r="G24" i="32"/>
  <c r="E94" i="27" l="1"/>
  <c r="E106" i="29" s="1"/>
  <c r="D42" i="27"/>
  <c r="G22" i="32"/>
  <c r="G20" i="32" s="1"/>
  <c r="G18" i="32" s="1"/>
  <c r="G16" i="32" s="1"/>
  <c r="G14" i="32" s="1"/>
  <c r="D50" i="29" l="1"/>
  <c r="D35" i="27"/>
  <c r="F30" i="35"/>
  <c r="H31" i="32"/>
  <c r="D102" i="36"/>
  <c r="H30" i="32" l="1"/>
  <c r="H29" i="32" s="1"/>
  <c r="H28" i="32" l="1"/>
  <c r="H26" i="32" s="1"/>
  <c r="E50" i="63" s="1"/>
  <c r="H24" i="32" l="1"/>
  <c r="E61" i="27"/>
  <c r="E42" i="27" l="1"/>
  <c r="H22" i="32"/>
  <c r="H20" i="32" s="1"/>
  <c r="H18" i="32" s="1"/>
  <c r="H16" i="32" s="1"/>
  <c r="H14" i="32" s="1"/>
  <c r="G12" i="36"/>
  <c r="F12" i="36"/>
  <c r="H12" i="36"/>
  <c r="E35" i="27" l="1"/>
  <c r="E50" i="29"/>
  <c r="E102" i="35"/>
  <c r="E12" i="35" s="1"/>
  <c r="G140" i="32"/>
  <c r="G139" i="32" s="1"/>
  <c r="G137" i="32" s="1"/>
  <c r="D128" i="63" s="1"/>
  <c r="G135" i="32" l="1"/>
  <c r="D106" i="27" l="1"/>
  <c r="D128" i="29" s="1"/>
  <c r="G111" i="32"/>
  <c r="G63" i="32" s="1"/>
  <c r="D87" i="27" l="1"/>
  <c r="D14" i="27" s="1"/>
  <c r="G61" i="32"/>
  <c r="G59" i="32" s="1"/>
  <c r="G57" i="32" s="1"/>
  <c r="G13" i="32" s="1"/>
  <c r="G192" i="32" s="1"/>
  <c r="G191" i="32" s="1"/>
  <c r="G190" i="32" s="1"/>
  <c r="G189" i="32" s="1"/>
  <c r="G187" i="32" s="1"/>
  <c r="D182" i="63" s="1"/>
  <c r="G185" i="32" l="1"/>
  <c r="G183" i="32" l="1"/>
  <c r="G181" i="32" s="1"/>
  <c r="G179" i="32" s="1"/>
  <c r="G177" i="32" s="1"/>
  <c r="G175" i="32" s="1"/>
  <c r="G174" i="32" s="1"/>
  <c r="G11" i="32" s="1"/>
  <c r="D139" i="27"/>
  <c r="D84" i="36"/>
  <c r="H142" i="32"/>
  <c r="F102" i="35"/>
  <c r="F12" i="35" s="1"/>
  <c r="D132" i="27" l="1"/>
  <c r="D130" i="27" s="1"/>
  <c r="D12" i="27" s="1"/>
  <c r="D182" i="29"/>
  <c r="H141" i="32"/>
  <c r="H140" i="32" s="1"/>
  <c r="H139" i="32" s="1"/>
  <c r="H137" i="32" s="1"/>
  <c r="E128" i="63" s="1"/>
  <c r="E12" i="36"/>
  <c r="D12" i="36" s="1"/>
  <c r="D14" i="36"/>
  <c r="H135" i="32" l="1"/>
  <c r="H111" i="32" s="1"/>
  <c r="H63" i="32" s="1"/>
  <c r="H61" i="32" s="1"/>
  <c r="H59" i="32" s="1"/>
  <c r="E106" i="27" l="1"/>
  <c r="H57" i="32"/>
  <c r="H13" i="32" s="1"/>
  <c r="H192" i="32" s="1"/>
  <c r="H191" i="32" s="1"/>
  <c r="H190" i="32" s="1"/>
  <c r="H189" i="32" s="1"/>
  <c r="H187" i="32" s="1"/>
  <c r="E182" i="63" s="1"/>
  <c r="E87" i="27" l="1"/>
  <c r="E14" i="27" s="1"/>
  <c r="E128" i="29"/>
  <c r="H185" i="32"/>
  <c r="E139" i="27" l="1"/>
  <c r="H183" i="32"/>
  <c r="H181" i="32" s="1"/>
  <c r="H179" i="32" s="1"/>
  <c r="H177" i="32" s="1"/>
  <c r="H175" i="32" s="1"/>
  <c r="H174" i="32" s="1"/>
  <c r="H11" i="32" s="1"/>
  <c r="E132" i="27" l="1"/>
  <c r="E130" i="27" s="1"/>
  <c r="E12" i="27" s="1"/>
  <c r="E182" i="29"/>
</calcChain>
</file>

<file path=xl/sharedStrings.xml><?xml version="1.0" encoding="utf-8"?>
<sst xmlns="http://schemas.openxmlformats.org/spreadsheetml/2006/main" count="1900" uniqueCount="461">
  <si>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</si>
  <si>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</si>
  <si>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</si>
  <si>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</si>
  <si>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</si>
  <si>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</si>
  <si>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</si>
  <si>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</si>
  <si>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</si>
  <si>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</si>
  <si>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</si>
  <si>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</si>
  <si>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</si>
  <si>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</si>
  <si>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</si>
  <si>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</si>
  <si>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</si>
  <si>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</si>
  <si>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</si>
  <si>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</si>
  <si>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</si>
  <si>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</si>
  <si>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</si>
  <si>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</si>
  <si>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</si>
  <si>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</si>
  <si>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</si>
  <si>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</si>
  <si>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</si>
  <si>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</si>
  <si>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</si>
  <si>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</si>
  <si>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</si>
  <si>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</si>
  <si>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</si>
  <si>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</si>
  <si>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</si>
  <si>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</si>
  <si>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</si>
  <si>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</si>
  <si>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</si>
  <si>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</si>
  <si>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</si>
  <si>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</si>
  <si>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</si>
  <si>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</si>
  <si>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</si>
  <si>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</si>
  <si>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</si>
  <si>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</si>
  <si>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</si>
  <si>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</si>
  <si>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</si>
  <si>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</si>
  <si>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</si>
  <si>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</si>
  <si>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</si>
  <si>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</si>
  <si>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</si>
  <si>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</si>
  <si>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</si>
  <si>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</si>
  <si>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</si>
  <si>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</si>
  <si>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</si>
  <si>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</si>
  <si>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</si>
  <si>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</si>
  <si>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</si>
  <si>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</si>
  <si>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</si>
  <si>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</si>
  <si>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</si>
  <si>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</si>
  <si>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</si>
  <si>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</si>
  <si>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</si>
  <si>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</si>
  <si>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</si>
  <si>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</si>
  <si>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</si>
  <si>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</si>
  <si>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</si>
  <si>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</si>
  <si>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</si>
  <si>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</si>
  <si>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>դրամ</t>
  </si>
  <si>
    <t>ՄԱ</t>
  </si>
  <si>
    <t xml:space="preserve">Ցուցանիշների փոփոխությունը (ավելացումները նշված են դրական նշանով)  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</si>
  <si>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</si>
  <si>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</si>
  <si>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</si>
  <si>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</si>
  <si>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</si>
  <si>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</si>
  <si>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</si>
  <si>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</si>
  <si>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</si>
  <si>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</si>
  <si>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</si>
  <si>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</si>
  <si>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</si>
  <si>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</si>
  <si>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</si>
  <si>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</si>
  <si>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</si>
  <si>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</si>
  <si>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</si>
  <si>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</si>
  <si>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 Կազմակերպությունների թիվը, որտեղ կատարվում են ներդրումները, հատ </t>
  </si>
  <si>
    <t>Կրթական օբյեկտների շենքային պայմանների բարելավում</t>
  </si>
  <si>
    <t>ՀՀ Արագածոտնի մարզ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</si>
  <si>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</si>
  <si>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>Ցուցանիշների փոփոխությունը (ավելացումները նշված են դրական նշանով, իսկ նվազեցումները՝ փակագծերում)</t>
  </si>
  <si>
    <t>Հավելված N 7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</si>
  <si>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</si>
  <si>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</si>
  <si>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</si>
  <si>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</si>
  <si>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Ակտիվն օգտագործող կազմակերպությունների անվանումները </t>
  </si>
  <si>
    <t xml:space="preserve">Միջոցառման դասիչը` </t>
  </si>
  <si>
    <t>02</t>
  </si>
  <si>
    <t>Ինն ամիս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</si>
  <si>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</si>
  <si>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 2023 թվականի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</si>
  <si>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</si>
  <si>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ՀՀ կառավարության  2023 թվականի 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</si>
  <si>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</si>
  <si>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ՀԱՅԱՍՏԱՆԻ ՀԱՆՐԱՊԵՏՈՒԹՅԱՆ ԿԱՌԱՎԱՐՈՒԹՅԱՆ 2022 ԹՎԱԿԱՆԻ ԴԵԿՏԵՄԲԵՐԻ 29-Ի 
N 2111-Ն ՈՐՈՇՄԱՆ N 10 ՀԱՎԵԼՎԱԾՈՒՄ ԿԱՏԱՐՎՈՂ ՓՈՓՈԽՈՒԹՅՈՒՆՆԵՐԸ ԵՎ ԼՐԱՑՈՒՄՆԵՐԸ
</t>
  </si>
  <si>
    <t xml:space="preserve"> այդ թվում՝ ըստ ուղղությունների</t>
  </si>
  <si>
    <t>ՀՀ Արմավիրի մարզ</t>
  </si>
  <si>
    <t>08</t>
  </si>
  <si>
    <t xml:space="preserve"> ՀԱՆԳԻՍՏ, ՄՇԱԿՈՒՅԹ ԵՎ ԿՐՈՆ</t>
  </si>
  <si>
    <t>05</t>
  </si>
  <si>
    <t xml:space="preserve"> Ինն ամիս</t>
  </si>
  <si>
    <t>Միջոցառման անվանումը՝</t>
  </si>
  <si>
    <t>Նկարագրությունը՝</t>
  </si>
  <si>
    <t>Միջոցառման տեսակը՝</t>
  </si>
  <si>
    <t>ՀՀ Շիրակի մարզ</t>
  </si>
  <si>
    <t>ՀՀ քաղաքաշինության կոմիտե</t>
  </si>
  <si>
    <t xml:space="preserve"> Փոքրաքանակ երեխաներով համալրված հանրակրթական դպրոցների և կրթահամալիրների մոդուլային շենքերի կառուցում</t>
  </si>
  <si>
    <t>ՀՀ կառավարություն</t>
  </si>
  <si>
    <t xml:space="preserve"> - Շենքերի և շինությունների շինարարություն</t>
  </si>
  <si>
    <t xml:space="preserve"> Տրանսֆերտների տրամադրում</t>
  </si>
  <si>
    <t xml:space="preserve"> 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</si>
  <si>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</si>
  <si>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</si>
  <si>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</si>
  <si>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</si>
  <si>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>Աղյուսակ 9․1.58</t>
  </si>
  <si>
    <t>Աղյուսակ 9․1.41</t>
  </si>
  <si>
    <t xml:space="preserve"> Ներդրումներ թատրոնների շենքերի կապիտալ վերանորոգման համար</t>
  </si>
  <si>
    <t>Երևան քաղաք</t>
  </si>
  <si>
    <t>1168-32001</t>
  </si>
  <si>
    <t>Բաժին N 08</t>
  </si>
  <si>
    <t>Խումբ N 02</t>
  </si>
  <si>
    <t>Դաս N 05</t>
  </si>
  <si>
    <t xml:space="preserve"> Արվեստ</t>
  </si>
  <si>
    <t xml:space="preserve"> 45611200-1</t>
  </si>
  <si>
    <t xml:space="preserve"> մշակութային օբյեկտների հիմնանորոգում</t>
  </si>
  <si>
    <t>ԲՄ</t>
  </si>
  <si>
    <t xml:space="preserve"> 71351540-1</t>
  </si>
  <si>
    <t xml:space="preserve"> 98111140-1</t>
  </si>
  <si>
    <t xml:space="preserve"> փորձաքննության ծառայություններ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</si>
  <si>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</si>
  <si>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</si>
  <si>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>1075-32001</t>
  </si>
  <si>
    <t>Դաս N 02</t>
  </si>
  <si>
    <t xml:space="preserve"> Թանգարաններ և ցուցասրահներ</t>
  </si>
  <si>
    <t xml:space="preserve"> Ներդրումներ թանգարանների և պատկերասրահների հիմնանորոգման համար</t>
  </si>
  <si>
    <t>ՀՀ Կոտայքի մարզ</t>
  </si>
  <si>
    <t>Դաս N 01</t>
  </si>
  <si>
    <t>ՀՀ Արարատի մարզ</t>
  </si>
  <si>
    <t>Ավագ մակարդակի կրթություն իրականացնող ուսումնական հաստատությունների շենքային պայմանների բարելավում</t>
  </si>
  <si>
    <t>Բաժին N 09</t>
  </si>
  <si>
    <t>Խումբ N 06</t>
  </si>
  <si>
    <t xml:space="preserve"> Կրթությանը տրամադրվող օժանդակ ծառայություններ</t>
  </si>
  <si>
    <t xml:space="preserve"> Ավագ մակարդակի կրթություն իրականացնող ուսումնական հաստատությունների շենքային պայմանների բարելավում</t>
  </si>
  <si>
    <t>ՀՀ Լոռու մարզ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</si>
  <si>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</si>
  <si>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1045-32001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</si>
  <si>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</si>
  <si>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>1045-32005</t>
  </si>
  <si>
    <t>Նախնական (արհեստագործական) և միջին մասնագիտական կրթություն</t>
  </si>
  <si>
    <t xml:space="preserve"> Հանրակրթական կրթություն իրականացնող ուսումնական հաստատությունների նոր մարզադահլիճների կառուցում</t>
  </si>
  <si>
    <t>«Ախուրյանի Նիկոլ Աղբալյանի անվան ավագ դպրոց»ՊՈԱԿ</t>
  </si>
  <si>
    <t>1183-32007</t>
  </si>
  <si>
    <t>«Մոդուլային» տիպի մանկապարտեզների շենքային ապահովում</t>
  </si>
  <si>
    <t>ՀՀ Վայոց Ձորի մարզ</t>
  </si>
  <si>
    <t>1146-12010</t>
  </si>
  <si>
    <t xml:space="preserve"> «Մոդուլային» տիպի մանկապարտեզների շենքային ապահովում</t>
  </si>
  <si>
    <t xml:space="preserve"> ԱՅԼ ՀԻՄՆԱԿԱՆ ՄԻՋՈՑՆԵՐ</t>
  </si>
  <si>
    <t xml:space="preserve"> - Նախագծահետազոտական ծախսեր</t>
  </si>
  <si>
    <t xml:space="preserve"> Մշակութային ծառայություններ</t>
  </si>
  <si>
    <t xml:space="preserve"> Մշակութային ժառանգության ծրագիր</t>
  </si>
  <si>
    <t xml:space="preserve"> Արվեստների ծրագիր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</si>
  <si>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</si>
  <si>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</si>
  <si>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</si>
  <si>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</si>
  <si>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</si>
  <si>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</si>
  <si>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</si>
  <si>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</si>
  <si>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</si>
  <si>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>ՀԱՅԱՍՏԱՆԻ ՀԱՆՐԱՊԵՏՈՒԹՅԱՆ ԿԱՌԱՎԱՐՈՒԹՅԱՆ 2022 ԹՎԱԿԱՆԻ ԴԵԿՏԵՄԲԵՐԻ 29-Ի N2111-Ն ՈՐՈՇՄԱՆ N 3 ԵՎ N 4 ՀԱՎԵԼՎԱԾՆԵՐՈՒՄ ԿԱՏԱՐՎՈՂ ՓՈՓՈԽՈՒԹՅՈՒՆՆԵՐԸ ԵՎ ԼՐԱՑՈՒՄՆԵՐԸ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</si>
  <si>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</si>
  <si>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</si>
  <si>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</si>
  <si>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</si>
  <si>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</si>
  <si>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ՆՄՄԿՈՒ հաստատությունների շենքերի (մասնաշենքերի) կառուցման և նախագծման աշխատանքների իրականացում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</si>
  <si>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</si>
  <si>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</si>
  <si>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</si>
  <si>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Համայնքներում «Մոդուլային» տիպի մանկապարտեզների կառուցում և նախագծում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</si>
  <si>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</si>
  <si>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</si>
  <si>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</si>
  <si>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</si>
  <si>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Ավագ դպրոցների շենքային պայմանների բարելավում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</si>
  <si>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</si>
  <si>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</si>
  <si>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</si>
  <si>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</si>
  <si>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</si>
  <si>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ՀԱՅԱՍՏԱՆԻ ՀԱՆՐԱՊԵՏՈՒԹՅԱՆ ԿԱՌԱՎԱՐՈՒԹՅԱՆ 2022 ԹՎԱԿԱՆԻ ԴԵԿՏԵՄԲԵՐԻ 29-Ի N 2111-Ն ՈՐՈՇՄԱՆ N 9 ՀԱՎԵԼՎԱԾԻ NN 9.13 ԵՎ 9.47 ԱՂՅՈՒՍԱԿՆԵՐՈՒՄ ԿԱՏԱՐՎՈՂ ՓՈՓՈԽՈՒԹՅՈՒՆՆԵՐԸ ԵՎ ԼՐԱՑՈՒՄՆԵՐԸ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</si>
  <si>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</si>
  <si>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</si>
  <si>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</si>
  <si>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 xml:space="preserve">  Հաստատությունների քանակ, որոնց շինարարական աշխատանքների ավարտվածության աստիճանը 100% է, հատ </t>
  </si>
  <si>
    <t xml:space="preserve"> Նախնական մասնագիտական (արհեստագործական) և միջին մասնագիտական ուսումնական հաստատությունների շենքերի կառուցում </t>
  </si>
  <si>
    <t xml:space="preserve"> ՆՄՄԿՈՒ հաստատությունների շենքերի (մասնաշենքերի) կառուցման և նախագծման աշխատանքների իրականացում </t>
  </si>
  <si>
    <t xml:space="preserve"> Նախագծանախահաշվային փաստաթղթերի քանակ, հատ </t>
  </si>
  <si>
    <t xml:space="preserve"> Մշակութային ժառանգության ծրագիր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</si>
  <si>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</si>
  <si>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</si>
  <si>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Թանգարաններ և պատկերասրահներ </t>
  </si>
  <si>
    <t xml:space="preserve"> Հիմնանորոգվող թանգարաններ և պատկերասրահներ քանակ, հատ 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</si>
  <si>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</si>
  <si>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</si>
  <si>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Տրանսֆերտների տրամադրում </t>
  </si>
  <si>
    <t xml:space="preserve"> Շահառուների ընտրության չափանիշները </t>
  </si>
  <si>
    <t xml:space="preserve"> Նախադպրոցական կրթությույն իրականացնող ուսումնական հաստատություններ </t>
  </si>
  <si>
    <t xml:space="preserve"> Արվեստների ծրագիր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</si>
  <si>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</si>
  <si>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</si>
  <si>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</t>
  </si>
  <si>
    <t xml:space="preserve">  Նախագծանախահաշվային փաստաթղթերի քանակ, հատ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</si>
  <si>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</si>
  <si>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</si>
  <si>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 Հանրակրթական դպրոցներ </t>
  </si>
  <si>
    <t xml:space="preserve"> Ավագ մակարդակի կրթություն իրականացնող ուսումնական հաստատությունների շենքային պայմանների բարելավում </t>
  </si>
  <si>
    <t xml:space="preserve"> Ավագ դպրոցների շենքային պայմանների բարելավում </t>
  </si>
  <si>
    <t xml:space="preserve">  Ավագ դպրոցներ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</si>
  <si>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</si>
  <si>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</si>
  <si>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>Աղյուսակ 9․47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</si>
  <si>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</si>
  <si>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</si>
  <si>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</si>
  <si>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ՀԲՄ</t>
  </si>
  <si>
    <t>ՀՀ Վայոց ձորի մարզի Եղեգիս համայնքի Շատին բնակավայրում «Մոդուլային» տիպի 250 տեղ հզորությամբ մսուր-մանկապարտեզ</t>
  </si>
  <si>
    <t>«Մասիսի պետական գյուղատնտեսական քոլեջ» ՊՈԱԿ</t>
  </si>
  <si>
    <t xml:space="preserve"> 45451700-1</t>
  </si>
  <si>
    <t xml:space="preserve">  վերակառուցման աշխատանքներ</t>
  </si>
  <si>
    <t xml:space="preserve"> ԲՄ</t>
  </si>
  <si>
    <t xml:space="preserve">  Նախնական մասնագիտական (արհեստագործական) և միջին մասնագիտական ուսումնական հաստատությունների շենքերի կառուցում</t>
  </si>
  <si>
    <t xml:space="preserve"> 45221142-1</t>
  </si>
  <si>
    <t xml:space="preserve">  ընդհանուր շինարարական աշխատանքներ</t>
  </si>
  <si>
    <t>ՀՀ Գեղարքունիքի մարզ</t>
  </si>
  <si>
    <t>«Գավառի ակադեմիկոս Ա. Թամամշևի անվան պետական գյուղատնտեսական քոլեջ» ՊՈԱԿ</t>
  </si>
  <si>
    <t xml:space="preserve"> 45221142-2</t>
  </si>
  <si>
    <t xml:space="preserve"> 71351540-2</t>
  </si>
  <si>
    <t xml:space="preserve"> 98111140-2</t>
  </si>
  <si>
    <t>«Ստեփանավանի պրոֆ. Քալանթարի անվան պետական գյուղատնտեսական քոլեջ» ՊՈԱԿ</t>
  </si>
  <si>
    <t xml:space="preserve"> 45221142-3</t>
  </si>
  <si>
    <t xml:space="preserve"> 71351540-3</t>
  </si>
  <si>
    <t xml:space="preserve"> 98111140-3</t>
  </si>
  <si>
    <t>Հայաստանի ազգային պատկերասրահ  ՊՈԱԿ-ի Արա Սարգսյանի և Հակոբ Կոջոյանի տուն-թանգարան մասնաճյուղ</t>
  </si>
  <si>
    <t>«Շիրակի երկրագիտական թանգարան» ՊՈԱԿ</t>
  </si>
  <si>
    <t xml:space="preserve"> 71241200-1</t>
  </si>
  <si>
    <t xml:space="preserve">  նախագծերի պատրաստում, ծախսերի գնահատում</t>
  </si>
  <si>
    <t xml:space="preserve"> 50531140-1</t>
  </si>
  <si>
    <t>Բարձրագույն ուսումնական հաստատությունների և ««Զեյթուն» ուսանողական ավան» հիմնադրամի շենքային պայմանների բարելավում</t>
  </si>
  <si>
    <t>«Երևանի Կոմիտասի անվան պետական կոնսերվատորիա» ՊՈԱԿ</t>
  </si>
  <si>
    <t>1111-32001</t>
  </si>
  <si>
    <t xml:space="preserve"> Բարձրագույն ուսումնական հաստատությունների և ««Զեյթուն» ուսանողական ավան» հիմնադրամի շենքային պայմանների բարելավում</t>
  </si>
  <si>
    <t xml:space="preserve">ՀՀ Արագածոտնի մարզի  Ալագյազ համայնքում «Մոդուլային» տիպի 144 տեղ հզորությամբ մսուր-մանկապարտեզ </t>
  </si>
  <si>
    <t xml:space="preserve">ՀՀ Արարատի մարզի Արալեզ համայնքում «Մոդուլային» տիպի 144 տեղ հզորությամբ մսուր-մանկապարտեզ </t>
  </si>
  <si>
    <t xml:space="preserve"> 45221142-569</t>
  </si>
  <si>
    <t>ՀՀ Արմավիրի մարզի Արևիկ համայնքում «Մոդուլային» տիպի 144 տեղ հզորությամբ մսուր-մանկապարտեզ</t>
  </si>
  <si>
    <t>ՀՀ Արմավիրի մարզի Այգևան համայնքում «Մոդուլային» տիպի 144 տեղ հզորությամբ մսուր-մանկապարտեզ</t>
  </si>
  <si>
    <t xml:space="preserve"> 71351540-614</t>
  </si>
  <si>
    <t xml:space="preserve"> 45221142-21</t>
  </si>
  <si>
    <t xml:space="preserve"> 98111140-7</t>
  </si>
  <si>
    <t>ՀՀ Արմավիրի մարզի Լենուղի համայնքում «Մոդուլային» տիպի 144 տեղ հզորությամբ մսուր-մանկապարտեզ</t>
  </si>
  <si>
    <t xml:space="preserve">ՀՀ Գեղարքունիքի մարզի Աստղաձոր համայնքում «Մոդուլային» տիպի 144 տեղ հզորությամբ մսուր-մանկապարտեզ </t>
  </si>
  <si>
    <t xml:space="preserve"> 98111140-8</t>
  </si>
  <si>
    <t xml:space="preserve"> 45221142-8</t>
  </si>
  <si>
    <t xml:space="preserve"> 71351540-8</t>
  </si>
  <si>
    <t xml:space="preserve">ՀՀ Լոռու մարզի Սպիտակ համայնքում «Մոդուլային» տիպի 144 տեղ հզորությամբ մսուր-մանկապարտեզ </t>
  </si>
  <si>
    <t xml:space="preserve"> 71351540-9</t>
  </si>
  <si>
    <t xml:space="preserve"> 45221142-9</t>
  </si>
  <si>
    <t xml:space="preserve"> 98111140-9</t>
  </si>
  <si>
    <t xml:space="preserve">ՀՀ Կոտայքի մարզի Հրազդան համայնքում «Մոդուլային» տիպի 144 տեղ հզորությամբ մսուր-մանկապարտեզ </t>
  </si>
  <si>
    <t>ՀՀ Կոտայքի մարզի Չարենցավան համայնքի Ֆանտան բնակավայրում «Մոդուլային» տիպի 144 տեղ հզորությամբ մսուր-մանկապարտեզ</t>
  </si>
  <si>
    <t xml:space="preserve"> 98111140-13</t>
  </si>
  <si>
    <t xml:space="preserve"> 71351540-13</t>
  </si>
  <si>
    <t xml:space="preserve"> 45221142-559</t>
  </si>
  <si>
    <t xml:space="preserve"> 71241200-2</t>
  </si>
  <si>
    <t xml:space="preserve"> 50531140-2</t>
  </si>
  <si>
    <t>ՀՀ Սյունիքի մարզ</t>
  </si>
  <si>
    <t>ՀՀ Սյունիքի մարզի Սիսիան համայնքում «Մոդուլային» տիպի 144 տեղ հզորությամբ մսուր-մանկապարտեզ</t>
  </si>
  <si>
    <t>ՀՀ Վայոց Ձոր</t>
  </si>
  <si>
    <t xml:space="preserve"> 45221142-16</t>
  </si>
  <si>
    <t xml:space="preserve"> 71351540-16</t>
  </si>
  <si>
    <t xml:space="preserve"> 98111140-16</t>
  </si>
  <si>
    <t>ՀՀ Տավուշի մարզ</t>
  </si>
  <si>
    <t>ՀՀ Տավուշի մարզի Այրում համայնքի Բագրատաշեն բնակավայրում «Մոդուլային» տիպի 144 տեղ հզորությամբ մսուր-մանկապարտեզ</t>
  </si>
  <si>
    <t xml:space="preserve"> 98111140-17</t>
  </si>
  <si>
    <t xml:space="preserve"> 71351540-17</t>
  </si>
  <si>
    <t xml:space="preserve"> 45221142-22</t>
  </si>
  <si>
    <t xml:space="preserve">Երևանի մնջախաղի պետական թատրոնի շենքի վերակառուցում </t>
  </si>
  <si>
    <t xml:space="preserve"> 45611200-2</t>
  </si>
  <si>
    <t>«Երևանի թիվ 22 հիմնական դպրոց» ՊՈԱԿ</t>
  </si>
  <si>
    <t>«Երևանի Հ. Խաչատրյանի անվան N 199 հիմնական դպրոց» ՊՈԱԿ</t>
  </si>
  <si>
    <t>1183-32001</t>
  </si>
  <si>
    <t xml:space="preserve"> Կրթական օբյեկտների շենքային պայմանների բարելավում</t>
  </si>
  <si>
    <t xml:space="preserve"> 45611100-1</t>
  </si>
  <si>
    <t xml:space="preserve"> կրթական օբյեկտների հիմնանորոգում</t>
  </si>
  <si>
    <t>Կրթական օբյեկտների շենքային ապահովվածության բարելավում</t>
  </si>
  <si>
    <t>«Երևանի Վ. Տերյանի անվան հ. 60 դպրոց» ՊՈԱԿ</t>
  </si>
  <si>
    <t>1183-32002</t>
  </si>
  <si>
    <t xml:space="preserve"> Կրթական օբյեկտների շենքային ապահովվածության բարելավում</t>
  </si>
  <si>
    <t>«Մասիսի թիվ 5 ավագ դպրոց» ՊՈԱԿ</t>
  </si>
  <si>
    <t>«Բարձրաշենի միջնակարգ դպրոց»ՊՈԱԿ</t>
  </si>
  <si>
    <t xml:space="preserve"> 45221142-4</t>
  </si>
  <si>
    <t xml:space="preserve"> 71351540-4</t>
  </si>
  <si>
    <t xml:space="preserve"> 98111140-4</t>
  </si>
  <si>
    <t>«Վաղարշապատի Մովսես Խորենացու անվան N 10 ավագ դպրոց» ՊՈԱԿ</t>
  </si>
  <si>
    <t xml:space="preserve"> 45221142-5</t>
  </si>
  <si>
    <t xml:space="preserve"> 98111140-5</t>
  </si>
  <si>
    <t xml:space="preserve"> 71351540-5</t>
  </si>
  <si>
    <t>«Վարդենիսի Հ. Համբարձումյանի անվան ավագ դպրոց» ՊՈԱԿ</t>
  </si>
  <si>
    <t xml:space="preserve"> 45221142-7</t>
  </si>
  <si>
    <t xml:space="preserve"> 71351540-7</t>
  </si>
  <si>
    <t>«Հրազդանի Լևոն Խեչոյանի անվան թիվ 10 ավագ դպրոց» ՊՈԱԿ</t>
  </si>
  <si>
    <t>«Հագվու հիմնական դպրոց» ՊՈԱԿ</t>
  </si>
  <si>
    <t>«Մեդովկայի միջնակարգ դպրոց» ՊՈԱԿ</t>
  </si>
  <si>
    <t>1183-32003</t>
  </si>
  <si>
    <t xml:space="preserve">  Փոքրաքանակ երեխաներով համալրված հանրակրթական դպրոցների և կրթահամալիրների մոդուլային շենքերի կառուցում</t>
  </si>
  <si>
    <t xml:space="preserve">  միջնակարգ դպրոցների կառուցման աշխատանքներ</t>
  </si>
  <si>
    <t xml:space="preserve"> 45211231-7</t>
  </si>
  <si>
    <t xml:space="preserve"> 45211231-8</t>
  </si>
  <si>
    <t xml:space="preserve"> Ջրառատի միջնակարգ դպրոց ՊՈԱԿ</t>
  </si>
  <si>
    <t xml:space="preserve"> Կաթնաղբյուրի հիմնական դպրոց ՊՈԱԿ</t>
  </si>
  <si>
    <t xml:space="preserve"> 71351540-6</t>
  </si>
  <si>
    <t xml:space="preserve"> 45211231-6</t>
  </si>
  <si>
    <t xml:space="preserve"> 45211231-9</t>
  </si>
  <si>
    <t>«Արեգնադեմի միջնակարգ դպրոց» ՊՈԱԿ</t>
  </si>
  <si>
    <t>«Կապսի միջնակարգ դպրոց» ՊՈԱԿ</t>
  </si>
  <si>
    <t xml:space="preserve"> 45211231-11</t>
  </si>
  <si>
    <t xml:space="preserve"> 45211231-12</t>
  </si>
  <si>
    <t>«Վաղատինի միջնակարգ դպրոց» ՊՈԱԿ</t>
  </si>
  <si>
    <t>«Դարբասի միջնակարգ դպրոց» ՊՈԱԿ</t>
  </si>
  <si>
    <t xml:space="preserve"> 45211231-14</t>
  </si>
  <si>
    <t xml:space="preserve"> 45211231-15</t>
  </si>
  <si>
    <t>Եղեգիսի միջնակարգ դպրոց ՊՈԱԿ</t>
  </si>
  <si>
    <t xml:space="preserve"> 45211231-16</t>
  </si>
  <si>
    <t>«Կիրանցի Գ.Վարդանյանի անվ. հիմնական դպրոց» ՊՈԱԿ</t>
  </si>
  <si>
    <t xml:space="preserve"> 71351540-10</t>
  </si>
  <si>
    <t xml:space="preserve"> 45211231-19</t>
  </si>
  <si>
    <t>«Կապանի N 9 ավագ դպրոց» ՊՈԱԿ</t>
  </si>
  <si>
    <t>1183-32004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</si>
  <si>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</si>
  <si>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</si>
  <si>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</si>
  <si>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</si>
  <si>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«Թալինի ավագ դպրոց» ՊՈԱԿ</t>
  </si>
  <si>
    <t xml:space="preserve"> 98111140-6</t>
  </si>
  <si>
    <t xml:space="preserve"> 45221142-6</t>
  </si>
  <si>
    <t>«Արտիմետի միջնակարգ դպրոց» ՊՈԱԿ</t>
  </si>
  <si>
    <t>«Արագածի Մ. Մեխակյանի անվան միջնակարգ դպրոց» ՊՈԱԿ</t>
  </si>
  <si>
    <t>«Վաղարշապատի Երվանդ Օտյանի անվան N 7 հիմնական դպրոց » ՊՈԱԿ</t>
  </si>
  <si>
    <t>«Ջանֆիդայի Է. Դաշտոյանի անվան միջնակարգ դպրոց» ՊՈԱԿ</t>
  </si>
  <si>
    <t>«Արմավիրի N 6 հիմնական դպրոց» ՊՈԱԿ</t>
  </si>
  <si>
    <t xml:space="preserve"> 45221142-10</t>
  </si>
  <si>
    <t xml:space="preserve"> 45221142-11</t>
  </si>
  <si>
    <t xml:space="preserve"> 71351540-11</t>
  </si>
  <si>
    <t xml:space="preserve"> 98111140-10</t>
  </si>
  <si>
    <t xml:space="preserve"> 98111140-11</t>
  </si>
  <si>
    <t>«Վանաձորի Խ. Աբովյանի անվան թիվ 9 հիմնական դպրոց» ՊՈԱԿ</t>
  </si>
  <si>
    <t>«Վանաձորի Ծովակալ Իսակովի  անվան թիվ 23 հիմնական դպրոց ՊՈԱԿ</t>
  </si>
  <si>
    <t>Ստեփանավանի N1 վարժարան ՊՈԱԿ</t>
  </si>
  <si>
    <t>«Ագարակի միջնակարգ դպրոց» ՊՈԱԿ</t>
  </si>
  <si>
    <t>«Վարդաբլուրի միջնակարգ դպրոց» ՊՈԱԿ</t>
  </si>
  <si>
    <t xml:space="preserve"> 45221142-13</t>
  </si>
  <si>
    <t xml:space="preserve"> 45221142-14</t>
  </si>
  <si>
    <t xml:space="preserve"> 45221142-15</t>
  </si>
  <si>
    <t xml:space="preserve"> 45221142-17</t>
  </si>
  <si>
    <t xml:space="preserve"> 71351540-14</t>
  </si>
  <si>
    <t xml:space="preserve"> 71351540-15</t>
  </si>
  <si>
    <t xml:space="preserve"> 98111140-14</t>
  </si>
  <si>
    <t xml:space="preserve"> 98111140-15</t>
  </si>
  <si>
    <t xml:space="preserve"> 98111140-18</t>
  </si>
  <si>
    <t xml:space="preserve"> 71351540-18</t>
  </si>
  <si>
    <t xml:space="preserve"> 45221142-18</t>
  </si>
  <si>
    <t xml:space="preserve"> Հանրակրթական կրթություն իրականացնող ուսումնական հաստատությունների մարզադահլիճների վերակառուցում</t>
  </si>
  <si>
    <t>1183-32009</t>
  </si>
  <si>
    <t>«Երևանի Մ. Սարյանի անվան հ. 86 հիմնական դպրոց» ՊՈԱԿ</t>
  </si>
  <si>
    <t xml:space="preserve"> 45451700-4</t>
  </si>
  <si>
    <t>Շահումյանի միջնակարգ դպրոց ՊՈԱԿ</t>
  </si>
  <si>
    <t xml:space="preserve"> 45451700-5</t>
  </si>
  <si>
    <t>«Ակունք գյուղի միջնակարգ դպրոց» ՊՈԱԿ</t>
  </si>
  <si>
    <t xml:space="preserve"> 45451700-9</t>
  </si>
  <si>
    <t xml:space="preserve"> վերակառուցման աշխատանքներ</t>
  </si>
  <si>
    <t>«Վանաձորի Ղևոնդ Ալիշանի անվան N 27 հիմնական դպրոց» ՊՈԱԿ</t>
  </si>
  <si>
    <t>«ՀՀ Վայոց Ձորի մարզի Շատինի միջնակարգ դպրոց» ՊՈԱԿ</t>
  </si>
  <si>
    <t xml:space="preserve"> 45451700-12</t>
  </si>
  <si>
    <t xml:space="preserve"> 71351540-12</t>
  </si>
  <si>
    <t xml:space="preserve"> 98111140-12</t>
  </si>
  <si>
    <t>«Երևանի թեթև արդյունաբերության պետական քոլեջ» ՊՈԱԿ</t>
  </si>
  <si>
    <t xml:space="preserve"> «Մոդուլային» տիպի 50 տեղ հզորությամբ մսուր-մանկապարտեզի բազմակի օգտագործման օրինակելի նախագծանախահաշվային փաստաթղթեր</t>
  </si>
  <si>
    <t xml:space="preserve"> «Մոդուլային» տիպի 100 տեղ հզորությամբ մսուր-մանկապարտեզի բազմակի օգտագործման օրինակելի նախագծանախահաշվային փաստաթղթեր</t>
  </si>
  <si>
    <t xml:space="preserve"> «Մոդուլային» տիպի 200 տեղ հզորությամբ մսուր-մանկապարտեզի բազմակի օգտագործման օրինակելի նախագծանախահաշվային փաստաթղթեր</t>
  </si>
  <si>
    <t>ՀՀ Լոռու մարզի Լեռնավան համայնքում «Մոդուլային» տիպի 144 տեղ հզորությամբ մսուր-մանկապարտեզ</t>
  </si>
  <si>
    <t>Ներդրումներ թատրոնների և համերգային կազմակերպությունների շենքերի կապիտալ վերանորոգման համար</t>
  </si>
  <si>
    <t xml:space="preserve"> Բարձրագույն և հետբուհական մասնագիտական կրթության ծրագիր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</si>
  <si>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</si>
  <si>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>«Հացաշենի հիմնական դպրոց» ՊՈԱԿ</t>
  </si>
  <si>
    <t>«Նիզամիի միջնակարգ դպրոց» ՊՈԱԿ</t>
  </si>
  <si>
    <t>«Հայկաշենի Գ. Կիրակոսյանի անվան միջնակարգ դպրոց» ՊՈԱԿ</t>
  </si>
  <si>
    <t>«Արփունք գյուղի միջնակարգ դպրոց» ՊՈԱԿ</t>
  </si>
  <si>
    <t>«Նուռնուսի միջնակարգ դպրոց» ՊՈԱԿ</t>
  </si>
  <si>
    <t>«Գողթանիկի հիմնական դպրոց» ՊՈԱԿ</t>
  </si>
  <si>
    <t>«Գոշի միջնակարգ դպրոց» ՊՈԱԿ</t>
  </si>
  <si>
    <t>«Նավուրի միջնակարգ դպրոց» ՊՈԱԿ</t>
  </si>
  <si>
    <t xml:space="preserve"> ԱՅԼ  ԾԱԽՍԵՐ</t>
  </si>
  <si>
    <t xml:space="preserve"> - Պահուստային միջոցներ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</si>
  <si>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</si>
  <si>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</si>
  <si>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 ուսումնական հաստատությունների և «Զեյթուն» ուսանողական ավան»   հիմնադրամի շենքային պայմանների բարելավում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</si>
  <si>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</si>
  <si>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</si>
  <si>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Հավելված N 5</t>
  </si>
  <si>
    <t xml:space="preserve"> Նախագծվող թանգարաններ և պատկերասրահներ քանակ, հատ </t>
  </si>
  <si>
    <t xml:space="preserve"> Բարձրագույն և հետբուհական մասնագիտական կրթության ծրագիր </t>
  </si>
  <si>
    <t xml:space="preserve"> Բարձրագույն  ուսումնական հաստատությունների և «Զեյթուն»  ուսանողական ավան»  հիմնադրամի շենքային պայմանների բարելավում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</si>
  <si>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</si>
  <si>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Բարձրագույն ուսումնական հաստատություններ </t>
  </si>
  <si>
    <t xml:space="preserve"> Կրթական օբյեկտների շենքային ապահովվածության բարելավում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</si>
  <si>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</si>
  <si>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</si>
  <si>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</si>
  <si>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ՀԱՅԱՍՏԱՆԻ ՀԱՆՐԱՊԵՏՈՒԹՅԱՆ ԿԱՌԱՎԱՐՈՒԹՅԱՆ 2022 ԹՎԱԿԱՆԻ ԴԵԿՏԵՄԲԵՐԻ 29-Ի N 2111-Ն ՈՐՈՇՄԱՆ N 9.1 ՀԱՎԵԼՎԱԾԻ NN 9.1.41 ԵՎ 9.1.58 ԱՂՅՈՒՍԱԿՆԵՐՈՒՄ ԿԱՏԱՐՎՈՂ ՓՈՓՈԽՈՒԹՅՈՒՆՆԵՐԸ ԵՎ ԼՐԱՑՈՒՄՆԵՐԸ </t>
  </si>
  <si>
    <t>«Երևանի հ. 136 հիմնական դպրոց» ՊՈԱԿ</t>
  </si>
  <si>
    <t>«Փշատավանի միջնակարգ դպրոց» ՊՈԱԿ</t>
  </si>
  <si>
    <t>«Սարդարապատի միջնակարգ դպրոց» ՊՈԱԿ</t>
  </si>
  <si>
    <t>«Արմավիրի հ. 8 հիմնական դպրոց» ՊՈԱԿ</t>
  </si>
  <si>
    <t xml:space="preserve"> նախագծերի պատրաստում, ծախսերի գնահատում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</si>
</sst>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General_)"/>
    <numFmt numFmtId="174" formatCode="_-* #,##0.00\ _р_._-;\-* #,##0.00\ _р_._-;_-* &quot;-&quot;??\ _р_._-;_-@_-"/>
    <numFmt numFmtId="175" formatCode="_-* #,##0.0\ _р_._-;\-* #,##0.0\ _р_._-;_-* &quot;-&quot;?\ _р_._-;_-@_-"/>
    <numFmt numFmtId="176" formatCode="0.000%"/>
    <numFmt numFmtId="177" formatCode="_(* #,##0_);_(* \(#,##0\);_(* &quot;-&quot;??_);_(@_)"/>
  </numFmts>
  <fonts count="99">
    <font>
      <sz val="11"/>
      <color theme="1"/>
      <name val="Arial"/>
      <family val="2"/>
      <charset val="1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Arial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8"/>
      <color theme="3"/>
      <name val="Arial"/>
      <family val="2"/>
      <scheme val="major"/>
    </font>
    <font>
      <sz val="11"/>
      <color theme="0"/>
      <name val="Arial"/>
      <family val="2"/>
      <charset val="1"/>
      <scheme val="minor"/>
    </font>
    <font>
      <sz val="11"/>
      <color rgb="FF9C0006"/>
      <name val="Arial"/>
      <family val="2"/>
      <charset val="1"/>
      <scheme val="minor"/>
    </font>
    <font>
      <b/>
      <sz val="11"/>
      <color rgb="FFFA7D00"/>
      <name val="Arial"/>
      <family val="2"/>
      <charset val="1"/>
      <scheme val="minor"/>
    </font>
    <font>
      <b/>
      <sz val="11"/>
      <color theme="0"/>
      <name val="Arial"/>
      <family val="2"/>
      <charset val="1"/>
      <scheme val="minor"/>
    </font>
    <font>
      <i/>
      <sz val="11"/>
      <color rgb="FF7F7F7F"/>
      <name val="Arial"/>
      <family val="2"/>
      <charset val="1"/>
      <scheme val="minor"/>
    </font>
    <font>
      <sz val="11"/>
      <color rgb="FF006100"/>
      <name val="Arial"/>
      <family val="2"/>
      <charset val="1"/>
      <scheme val="minor"/>
    </font>
    <font>
      <b/>
      <sz val="15"/>
      <color theme="3"/>
      <name val="Arial"/>
      <family val="2"/>
      <charset val="1"/>
      <scheme val="minor"/>
    </font>
    <font>
      <b/>
      <sz val="13"/>
      <color theme="3"/>
      <name val="Arial"/>
      <family val="2"/>
      <charset val="1"/>
      <scheme val="minor"/>
    </font>
    <font>
      <b/>
      <sz val="11"/>
      <color theme="3"/>
      <name val="Arial"/>
      <family val="2"/>
      <charset val="1"/>
      <scheme val="minor"/>
    </font>
    <font>
      <sz val="11"/>
      <color rgb="FF3F3F76"/>
      <name val="Arial"/>
      <family val="2"/>
      <charset val="1"/>
      <scheme val="minor"/>
    </font>
    <font>
      <sz val="11"/>
      <color rgb="FFFA7D00"/>
      <name val="Arial"/>
      <family val="2"/>
      <charset val="1"/>
      <scheme val="minor"/>
    </font>
    <font>
      <sz val="11"/>
      <color rgb="FF9C6500"/>
      <name val="Arial"/>
      <family val="2"/>
      <charset val="1"/>
      <scheme val="minor"/>
    </font>
    <font>
      <b/>
      <sz val="11"/>
      <color rgb="FF3F3F3F"/>
      <name val="Arial"/>
      <family val="2"/>
      <charset val="1"/>
      <scheme val="minor"/>
    </font>
    <font>
      <b/>
      <sz val="18"/>
      <color theme="3"/>
      <name val="Arial"/>
      <family val="2"/>
      <charset val="1"/>
      <scheme val="major"/>
    </font>
    <font>
      <b/>
      <sz val="11"/>
      <color theme="1"/>
      <name val="Arial"/>
      <family val="2"/>
      <charset val="1"/>
      <scheme val="minor"/>
    </font>
    <font>
      <sz val="11"/>
      <color rgb="FFFF0000"/>
      <name val="Arial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Arial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Arial"/>
      <family val="2"/>
      <charset val="204"/>
      <scheme val="minor"/>
    </font>
    <font>
      <b/>
      <sz val="12"/>
      <name val="Arial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Arial"/>
      <family val="2"/>
      <charset val="1"/>
      <scheme val="minor"/>
    </font>
    <font>
      <sz val="10"/>
      <color theme="1"/>
      <name val="Arial Narrow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color theme="1"/>
      <name val="Arial"/>
      <family val="2"/>
      <charset val="1"/>
      <scheme val="minor"/>
    </font>
    <font>
      <sz val="12"/>
      <name val="Arial"/>
      <family val="2"/>
      <charset val="1"/>
      <scheme val="minor"/>
    </font>
    <font>
      <sz val="8"/>
      <name val="Arial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4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7" fillId="0" borderId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5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3" fillId="0" borderId="39">
      <protection locked="0"/>
    </xf>
    <xf numFmtId="173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85" fillId="0" borderId="0"/>
    <xf numFmtId="164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164" fontId="14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1" fillId="0" borderId="0"/>
    <xf numFmtId="164" fontId="91" fillId="0" borderId="0" applyFont="0" applyFill="0" applyBorder="0" applyAlignment="0" applyProtection="0"/>
    <xf numFmtId="174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12" fillId="0" borderId="0"/>
  </cellStyleXfs>
  <cellXfs count="544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9" fontId="72" fillId="2" borderId="1" xfId="96" applyNumberFormat="1" applyFont="1" applyFill="1" applyBorder="1" applyAlignment="1">
      <alignment horizontal="center" vertical="center" wrapText="1"/>
    </xf>
    <xf numFmtId="166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170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8" fontId="72" fillId="2" borderId="30" xfId="0" applyNumberFormat="1" applyFont="1" applyFill="1" applyBorder="1" applyAlignment="1">
      <alignment horizontal="center" vertical="center" wrapText="1"/>
    </xf>
    <xf numFmtId="166" fontId="16" fillId="2" borderId="30" xfId="0" applyNumberFormat="1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center" vertical="top" wrapText="1"/>
    </xf>
    <xf numFmtId="0" fontId="87" fillId="2" borderId="1" xfId="0" applyFont="1" applyFill="1" applyBorder="1" applyAlignment="1">
      <alignment horizontal="center" vertical="center" wrapText="1"/>
    </xf>
    <xf numFmtId="169" fontId="72" fillId="2" borderId="30" xfId="96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13" fillId="2" borderId="31" xfId="0" applyFont="1" applyFill="1" applyBorder="1" applyAlignment="1">
      <alignment vertical="top" wrapText="1"/>
    </xf>
    <xf numFmtId="166" fontId="73" fillId="2" borderId="1" xfId="6" applyNumberFormat="1" applyFont="1" applyFill="1" applyBorder="1" applyAlignment="1">
      <alignment horizontal="center" vertical="center"/>
    </xf>
    <xf numFmtId="170" fontId="16" fillId="2" borderId="45" xfId="96" applyNumberFormat="1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vertical="center" wrapText="1"/>
    </xf>
    <xf numFmtId="170" fontId="16" fillId="2" borderId="30" xfId="7" applyNumberFormat="1" applyFont="1" applyFill="1" applyBorder="1" applyAlignment="1">
      <alignment horizontal="center" vertical="top" wrapText="1"/>
    </xf>
    <xf numFmtId="164" fontId="72" fillId="2" borderId="0" xfId="0" applyNumberFormat="1" applyFont="1" applyFill="1"/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70" fontId="16" fillId="2" borderId="30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0" fontId="72" fillId="2" borderId="0" xfId="0" applyFont="1" applyFill="1" applyAlignment="1">
      <alignment vertical="center"/>
    </xf>
    <xf numFmtId="0" fontId="75" fillId="2" borderId="0" xfId="0" applyFont="1" applyFill="1" applyBorder="1"/>
    <xf numFmtId="0" fontId="72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vertical="top" wrapText="1"/>
    </xf>
    <xf numFmtId="0" fontId="87" fillId="2" borderId="3" xfId="0" applyFont="1" applyFill="1" applyBorder="1" applyAlignment="1">
      <alignment horizontal="left" vertical="top" wrapText="1"/>
    </xf>
    <xf numFmtId="166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vertical="top" wrapText="1"/>
    </xf>
    <xf numFmtId="166" fontId="72" fillId="2" borderId="0" xfId="0" applyNumberFormat="1" applyFont="1" applyFill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8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169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66" fontId="72" fillId="2" borderId="1" xfId="6" applyNumberFormat="1" applyFont="1" applyFill="1" applyBorder="1" applyAlignment="1">
      <alignment horizontal="right" vertical="center"/>
    </xf>
    <xf numFmtId="169" fontId="72" fillId="2" borderId="0" xfId="0" applyNumberFormat="1" applyFont="1" applyFill="1" applyAlignment="1">
      <alignment vertical="center"/>
    </xf>
    <xf numFmtId="172" fontId="87" fillId="2" borderId="1" xfId="6" applyNumberFormat="1" applyFont="1" applyFill="1" applyBorder="1" applyAlignment="1">
      <alignment horizontal="right" vertical="center"/>
    </xf>
    <xf numFmtId="170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169" fontId="16" fillId="2" borderId="0" xfId="96" applyNumberFormat="1" applyFont="1" applyFill="1" applyAlignment="1">
      <alignment horizontal="center" vertical="center" wrapText="1"/>
    </xf>
    <xf numFmtId="164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8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70" fontId="16" fillId="2" borderId="1" xfId="96" applyNumberFormat="1" applyFont="1" applyFill="1" applyBorder="1" applyAlignment="1">
      <alignment horizontal="center" vertical="center" wrapText="1"/>
    </xf>
    <xf numFmtId="166" fontId="16" fillId="2" borderId="0" xfId="0" applyNumberFormat="1" applyFont="1" applyFill="1"/>
    <xf numFmtId="166" fontId="16" fillId="2" borderId="48" xfId="6" applyNumberFormat="1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vertical="top" wrapText="1"/>
    </xf>
    <xf numFmtId="0" fontId="16" fillId="2" borderId="48" xfId="96" applyFont="1" applyFill="1" applyBorder="1" applyAlignment="1">
      <alignment horizontal="left" vertical="center" wrapText="1"/>
    </xf>
    <xf numFmtId="0" fontId="72" fillId="2" borderId="48" xfId="0" applyFont="1" applyFill="1" applyBorder="1"/>
    <xf numFmtId="167" fontId="87" fillId="2" borderId="48" xfId="7" applyNumberFormat="1" applyFont="1" applyFill="1" applyBorder="1" applyAlignment="1">
      <alignment vertical="center"/>
    </xf>
    <xf numFmtId="170" fontId="16" fillId="2" borderId="48" xfId="96" applyNumberFormat="1" applyFont="1" applyFill="1" applyBorder="1" applyAlignment="1">
      <alignment horizontal="center" vertical="center" wrapText="1"/>
    </xf>
    <xf numFmtId="0" fontId="72" fillId="2" borderId="47" xfId="0" applyFont="1" applyFill="1" applyBorder="1" applyAlignment="1">
      <alignment horizontal="center"/>
    </xf>
    <xf numFmtId="167" fontId="73" fillId="2" borderId="48" xfId="7" applyNumberFormat="1" applyFont="1" applyFill="1" applyBorder="1"/>
    <xf numFmtId="167" fontId="72" fillId="2" borderId="30" xfId="7" applyNumberFormat="1" applyFont="1" applyFill="1" applyBorder="1" applyAlignment="1">
      <alignment vertical="center"/>
    </xf>
    <xf numFmtId="0" fontId="72" fillId="2" borderId="0" xfId="0" applyFont="1" applyFill="1" applyAlignment="1">
      <alignment wrapText="1"/>
    </xf>
    <xf numFmtId="169" fontId="16" fillId="2" borderId="3" xfId="96" applyNumberFormat="1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2" fillId="2" borderId="0" xfId="0" applyFont="1" applyFill="1" applyBorder="1" applyAlignment="1">
      <alignment horizontal="right"/>
    </xf>
    <xf numFmtId="49" fontId="16" fillId="2" borderId="48" xfId="0" applyNumberFormat="1" applyFont="1" applyFill="1" applyBorder="1" applyAlignment="1">
      <alignment vertical="top" wrapText="1"/>
    </xf>
    <xf numFmtId="0" fontId="72" fillId="2" borderId="48" xfId="0" applyFont="1" applyFill="1" applyBorder="1" applyAlignment="1">
      <alignment vertical="center" wrapText="1"/>
    </xf>
    <xf numFmtId="170" fontId="72" fillId="2" borderId="0" xfId="0" applyNumberFormat="1" applyFont="1" applyFill="1"/>
    <xf numFmtId="0" fontId="72" fillId="2" borderId="49" xfId="0" applyFont="1" applyFill="1" applyBorder="1" applyAlignment="1">
      <alignment vertical="top" wrapText="1"/>
    </xf>
    <xf numFmtId="170" fontId="16" fillId="2" borderId="49" xfId="96" applyNumberFormat="1" applyFont="1" applyFill="1" applyBorder="1" applyAlignment="1">
      <alignment horizontal="center" vertical="center" wrapText="1"/>
    </xf>
    <xf numFmtId="0" fontId="87" fillId="2" borderId="50" xfId="0" applyFont="1" applyFill="1" applyBorder="1" applyAlignment="1">
      <alignment vertical="center" wrapText="1"/>
    </xf>
    <xf numFmtId="0" fontId="72" fillId="2" borderId="49" xfId="96" applyFont="1" applyFill="1" applyBorder="1" applyAlignment="1">
      <alignment horizontal="center" vertical="center" wrapText="1"/>
    </xf>
    <xf numFmtId="169" fontId="72" fillId="2" borderId="49" xfId="96" applyNumberFormat="1" applyFont="1" applyFill="1" applyBorder="1" applyAlignment="1">
      <alignment horizontal="center" vertical="center" wrapText="1"/>
    </xf>
    <xf numFmtId="166" fontId="73" fillId="2" borderId="49" xfId="6" applyNumberFormat="1" applyFont="1" applyFill="1" applyBorder="1" applyAlignment="1">
      <alignment horizontal="center" vertical="center"/>
    </xf>
    <xf numFmtId="167" fontId="87" fillId="2" borderId="49" xfId="7" applyNumberFormat="1" applyFont="1" applyFill="1" applyBorder="1" applyAlignment="1">
      <alignment vertical="center"/>
    </xf>
    <xf numFmtId="0" fontId="72" fillId="2" borderId="49" xfId="0" applyFont="1" applyFill="1" applyBorder="1"/>
    <xf numFmtId="0" fontId="94" fillId="2" borderId="0" xfId="0" applyFont="1" applyFill="1"/>
    <xf numFmtId="0" fontId="87" fillId="0" borderId="49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left" vertical="center" wrapText="1"/>
    </xf>
    <xf numFmtId="0" fontId="88" fillId="0" borderId="49" xfId="165" applyFont="1" applyBorder="1">
      <alignment horizontal="left" vertical="top" wrapText="1"/>
    </xf>
    <xf numFmtId="0" fontId="92" fillId="0" borderId="49" xfId="165" applyFont="1" applyBorder="1" applyAlignment="1">
      <alignment horizontal="left" vertical="top" wrapText="1"/>
    </xf>
    <xf numFmtId="0" fontId="16" fillId="0" borderId="49" xfId="165" applyFont="1" applyBorder="1" applyAlignment="1">
      <alignment horizontal="left" vertical="center" wrapText="1"/>
    </xf>
    <xf numFmtId="0" fontId="75" fillId="0" borderId="49" xfId="0" applyFont="1" applyBorder="1" applyAlignment="1">
      <alignment vertical="top" wrapText="1"/>
    </xf>
    <xf numFmtId="0" fontId="75" fillId="0" borderId="49" xfId="0" applyFont="1" applyBorder="1" applyAlignment="1">
      <alignment horizontal="left" vertical="top" wrapText="1"/>
    </xf>
    <xf numFmtId="0" fontId="87" fillId="0" borderId="50" xfId="0" applyFont="1" applyBorder="1" applyAlignment="1">
      <alignment horizontal="left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87" fillId="2" borderId="33" xfId="0" applyFont="1" applyFill="1" applyBorder="1" applyAlignment="1">
      <alignment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vertical="center" wrapText="1"/>
    </xf>
    <xf numFmtId="164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center" vertical="center"/>
    </xf>
    <xf numFmtId="167" fontId="16" fillId="2" borderId="45" xfId="0" applyNumberFormat="1" applyFont="1" applyFill="1" applyBorder="1" applyAlignment="1">
      <alignment vertical="center"/>
    </xf>
    <xf numFmtId="0" fontId="72" fillId="2" borderId="49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0" fontId="87" fillId="2" borderId="5" xfId="0" applyFont="1" applyFill="1" applyBorder="1" applyAlignment="1">
      <alignment horizontal="left" vertical="top" wrapText="1"/>
    </xf>
    <xf numFmtId="170" fontId="72" fillId="2" borderId="49" xfId="7" applyNumberFormat="1" applyFont="1" applyFill="1" applyBorder="1" applyAlignment="1">
      <alignment horizontal="center" vertical="center" wrapText="1"/>
    </xf>
    <xf numFmtId="49" fontId="72" fillId="2" borderId="49" xfId="0" applyNumberFormat="1" applyFont="1" applyFill="1" applyBorder="1" applyAlignment="1">
      <alignment horizontal="left" vertical="top" wrapText="1"/>
    </xf>
    <xf numFmtId="167" fontId="72" fillId="2" borderId="49" xfId="7" applyNumberFormat="1" applyFont="1" applyFill="1" applyBorder="1" applyAlignment="1">
      <alignment horizontal="right" vertical="center" wrapText="1"/>
    </xf>
    <xf numFmtId="0" fontId="16" fillId="2" borderId="49" xfId="0" applyFont="1" applyFill="1" applyBorder="1" applyAlignment="1">
      <alignment horizontal="left" vertical="top" wrapText="1"/>
    </xf>
    <xf numFmtId="170" fontId="16" fillId="2" borderId="49" xfId="7" applyNumberFormat="1" applyFont="1" applyFill="1" applyBorder="1" applyAlignment="1">
      <alignment horizontal="center" vertical="center" wrapText="1"/>
    </xf>
    <xf numFmtId="164" fontId="72" fillId="2" borderId="49" xfId="7" applyNumberFormat="1" applyFont="1" applyFill="1" applyBorder="1" applyAlignment="1">
      <alignment vertical="center" wrapText="1"/>
    </xf>
    <xf numFmtId="0" fontId="16" fillId="2" borderId="49" xfId="0" applyFont="1" applyFill="1" applyBorder="1" applyAlignment="1"/>
    <xf numFmtId="164" fontId="72" fillId="2" borderId="49" xfId="7" applyNumberFormat="1" applyFont="1" applyFill="1" applyBorder="1" applyAlignment="1">
      <alignment horizontal="center" vertical="center" wrapText="1"/>
    </xf>
    <xf numFmtId="170" fontId="16" fillId="2" borderId="49" xfId="7" applyNumberFormat="1" applyFont="1" applyFill="1" applyBorder="1" applyAlignment="1">
      <alignment horizontal="right" vertical="center" wrapText="1"/>
    </xf>
    <xf numFmtId="167" fontId="72" fillId="2" borderId="49" xfId="7" applyNumberFormat="1" applyFont="1" applyFill="1" applyBorder="1" applyAlignment="1">
      <alignment horizontal="center" vertical="center" wrapText="1"/>
    </xf>
    <xf numFmtId="0" fontId="87" fillId="2" borderId="49" xfId="165" applyFont="1" applyFill="1" applyBorder="1" applyAlignment="1">
      <alignment horizontal="left" vertical="top" wrapText="1"/>
    </xf>
    <xf numFmtId="167" fontId="87" fillId="2" borderId="49" xfId="7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16" fillId="2" borderId="48" xfId="96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0" fontId="16" fillId="2" borderId="49" xfId="96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left" vertical="top" wrapText="1"/>
    </xf>
    <xf numFmtId="0" fontId="72" fillId="2" borderId="49" xfId="0" applyFont="1" applyFill="1" applyBorder="1" applyAlignment="1">
      <alignment horizontal="left" vertical="center" wrapText="1"/>
    </xf>
    <xf numFmtId="0" fontId="75" fillId="2" borderId="0" xfId="253" applyFont="1" applyFill="1"/>
    <xf numFmtId="0" fontId="16" fillId="2" borderId="53" xfId="96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53" xfId="96" applyFont="1" applyFill="1" applyBorder="1" applyAlignment="1">
      <alignment horizontal="left" vertical="center" wrapText="1"/>
    </xf>
    <xf numFmtId="166" fontId="16" fillId="2" borderId="53" xfId="6" applyNumberFormat="1" applyFont="1" applyFill="1" applyBorder="1" applyAlignment="1">
      <alignment horizontal="center" vertical="center"/>
    </xf>
    <xf numFmtId="0" fontId="16" fillId="2" borderId="31" xfId="96" applyFont="1" applyFill="1" applyBorder="1" applyAlignment="1">
      <alignment horizontal="center" vertical="center" wrapText="1"/>
    </xf>
    <xf numFmtId="0" fontId="75" fillId="2" borderId="53" xfId="299" applyFont="1" applyFill="1" applyBorder="1" applyAlignment="1">
      <alignment horizontal="center"/>
    </xf>
    <xf numFmtId="169" fontId="72" fillId="2" borderId="53" xfId="96" applyNumberFormat="1" applyFont="1" applyFill="1" applyBorder="1" applyAlignment="1">
      <alignment horizontal="center" vertical="center" wrapText="1"/>
    </xf>
    <xf numFmtId="169" fontId="72" fillId="2" borderId="53" xfId="96" applyNumberFormat="1" applyFont="1" applyFill="1" applyBorder="1" applyAlignment="1">
      <alignment vertical="center" wrapText="1"/>
    </xf>
    <xf numFmtId="49" fontId="16" fillId="2" borderId="53" xfId="96" applyNumberFormat="1" applyFont="1" applyFill="1" applyBorder="1" applyAlignment="1">
      <alignment vertical="center" textRotation="90" wrapText="1"/>
    </xf>
    <xf numFmtId="0" fontId="73" fillId="2" borderId="52" xfId="96" applyFont="1" applyFill="1" applyBorder="1" applyAlignment="1">
      <alignment horizontal="center" vertical="center" wrapText="1"/>
    </xf>
    <xf numFmtId="166" fontId="73" fillId="2" borderId="53" xfId="6" applyNumberFormat="1" applyFont="1" applyFill="1" applyBorder="1" applyAlignment="1">
      <alignment horizontal="center" vertical="center"/>
    </xf>
    <xf numFmtId="0" fontId="75" fillId="2" borderId="53" xfId="0" applyFont="1" applyFill="1" applyBorder="1" applyAlignment="1">
      <alignment horizontal="center"/>
    </xf>
    <xf numFmtId="0" fontId="75" fillId="2" borderId="53" xfId="253" applyFont="1" applyFill="1" applyBorder="1"/>
    <xf numFmtId="49" fontId="16" fillId="2" borderId="31" xfId="96" applyNumberFormat="1" applyFont="1" applyFill="1" applyBorder="1" applyAlignment="1">
      <alignment vertical="center" textRotation="90" wrapText="1"/>
    </xf>
    <xf numFmtId="0" fontId="73" fillId="2" borderId="53" xfId="96" applyFont="1" applyFill="1" applyBorder="1" applyAlignment="1">
      <alignment horizontal="left" vertical="center" wrapText="1"/>
    </xf>
    <xf numFmtId="164" fontId="13" fillId="2" borderId="53" xfId="253" applyNumberFormat="1" applyFont="1" applyFill="1" applyBorder="1"/>
    <xf numFmtId="0" fontId="87" fillId="2" borderId="52" xfId="0" applyFont="1" applyFill="1" applyBorder="1" applyAlignment="1">
      <alignment vertical="center" wrapText="1"/>
    </xf>
    <xf numFmtId="164" fontId="75" fillId="2" borderId="53" xfId="7" applyFont="1" applyFill="1" applyBorder="1" applyAlignment="1">
      <alignment vertical="center"/>
    </xf>
    <xf numFmtId="0" fontId="72" fillId="2" borderId="53" xfId="0" applyFont="1" applyFill="1" applyBorder="1" applyAlignment="1">
      <alignment vertical="top" wrapText="1"/>
    </xf>
    <xf numFmtId="170" fontId="16" fillId="2" borderId="53" xfId="7" applyNumberFormat="1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left" vertical="top" wrapText="1"/>
    </xf>
    <xf numFmtId="167" fontId="72" fillId="2" borderId="53" xfId="7" applyNumberFormat="1" applyFont="1" applyFill="1" applyBorder="1" applyAlignment="1">
      <alignment horizontal="center" vertical="center" wrapText="1"/>
    </xf>
    <xf numFmtId="170" fontId="72" fillId="2" borderId="53" xfId="7" applyNumberFormat="1" applyFont="1" applyFill="1" applyBorder="1" applyAlignment="1">
      <alignment horizontal="center" vertical="center" wrapText="1"/>
    </xf>
    <xf numFmtId="164" fontId="72" fillId="2" borderId="53" xfId="7" applyNumberFormat="1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center"/>
    </xf>
    <xf numFmtId="170" fontId="16" fillId="2" borderId="53" xfId="7" applyNumberFormat="1" applyFont="1" applyFill="1" applyBorder="1" applyAlignment="1">
      <alignment horizontal="right" vertical="center" wrapText="1"/>
    </xf>
    <xf numFmtId="0" fontId="87" fillId="2" borderId="53" xfId="165" applyFont="1" applyFill="1" applyBorder="1" applyAlignment="1">
      <alignment horizontal="left" vertical="top" wrapText="1"/>
    </xf>
    <xf numFmtId="167" fontId="87" fillId="2" borderId="53" xfId="7" applyNumberFormat="1" applyFont="1" applyFill="1" applyBorder="1" applyAlignment="1">
      <alignment horizontal="center" vertical="center" wrapText="1"/>
    </xf>
    <xf numFmtId="167" fontId="87" fillId="2" borderId="53" xfId="7" applyNumberFormat="1" applyFont="1" applyFill="1" applyBorder="1" applyAlignment="1">
      <alignment horizontal="right" vertical="center" wrapText="1"/>
    </xf>
    <xf numFmtId="167" fontId="72" fillId="2" borderId="53" xfId="7" applyNumberFormat="1" applyFont="1" applyFill="1" applyBorder="1" applyAlignment="1">
      <alignment horizontal="right" vertical="center" wrapText="1"/>
    </xf>
    <xf numFmtId="0" fontId="87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left" vertical="center" wrapText="1"/>
    </xf>
    <xf numFmtId="0" fontId="87" fillId="2" borderId="53" xfId="165" applyFont="1" applyFill="1" applyBorder="1">
      <alignment horizontal="left" vertical="top" wrapText="1"/>
    </xf>
    <xf numFmtId="0" fontId="72" fillId="2" borderId="53" xfId="165" applyFont="1" applyFill="1" applyBorder="1" applyAlignment="1">
      <alignment horizontal="left" vertical="top" wrapText="1"/>
    </xf>
    <xf numFmtId="0" fontId="72" fillId="2" borderId="53" xfId="0" applyFont="1" applyFill="1" applyBorder="1" applyAlignment="1"/>
    <xf numFmtId="0" fontId="72" fillId="2" borderId="53" xfId="165" applyFont="1" applyFill="1" applyBorder="1" applyAlignment="1">
      <alignment horizontal="center" vertical="top"/>
    </xf>
    <xf numFmtId="0" fontId="16" fillId="2" borderId="53" xfId="165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vertical="top" wrapText="1"/>
    </xf>
    <xf numFmtId="0" fontId="72" fillId="2" borderId="53" xfId="0" applyFont="1" applyFill="1" applyBorder="1"/>
    <xf numFmtId="0" fontId="72" fillId="2" borderId="54" xfId="0" applyFont="1" applyFill="1" applyBorder="1" applyAlignment="1">
      <alignment horizontal="left" vertical="top" wrapText="1"/>
    </xf>
    <xf numFmtId="172" fontId="87" fillId="2" borderId="53" xfId="6" applyNumberFormat="1" applyFont="1" applyFill="1" applyBorder="1" applyAlignment="1">
      <alignment horizontal="right" vertical="top"/>
    </xf>
    <xf numFmtId="0" fontId="72" fillId="2" borderId="53" xfId="0" applyFont="1" applyFill="1" applyBorder="1" applyAlignment="1">
      <alignment horizontal="left" vertical="center"/>
    </xf>
    <xf numFmtId="166" fontId="72" fillId="2" borderId="53" xfId="6" applyNumberFormat="1" applyFont="1" applyFill="1" applyBorder="1" applyAlignment="1">
      <alignment horizontal="right" vertical="center"/>
    </xf>
    <xf numFmtId="0" fontId="72" fillId="2" borderId="53" xfId="0" applyFont="1" applyFill="1" applyBorder="1" applyAlignment="1">
      <alignment horizontal="center" vertical="center" wrapText="1"/>
    </xf>
    <xf numFmtId="166" fontId="72" fillId="2" borderId="0" xfId="6" applyNumberFormat="1" applyFont="1" applyFill="1" applyBorder="1" applyAlignment="1">
      <alignment horizontal="right" vertical="center"/>
    </xf>
    <xf numFmtId="0" fontId="72" fillId="2" borderId="1" xfId="0" applyFont="1" applyFill="1" applyBorder="1" applyAlignment="1">
      <alignment horizontal="center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0" xfId="253" applyFont="1" applyFill="1"/>
    <xf numFmtId="164" fontId="72" fillId="2" borderId="53" xfId="7" applyFont="1" applyFill="1" applyBorder="1" applyAlignment="1">
      <alignment vertical="center"/>
    </xf>
    <xf numFmtId="0" fontId="87" fillId="2" borderId="53" xfId="0" applyFont="1" applyFill="1" applyBorder="1" applyAlignment="1">
      <alignment vertical="center" wrapText="1"/>
    </xf>
    <xf numFmtId="0" fontId="16" fillId="0" borderId="53" xfId="96" applyFont="1" applyBorder="1" applyAlignment="1">
      <alignment vertical="center" wrapText="1"/>
    </xf>
    <xf numFmtId="0" fontId="73" fillId="0" borderId="53" xfId="96" applyFont="1" applyFill="1" applyBorder="1" applyAlignment="1">
      <alignment horizontal="left" vertical="center" wrapText="1"/>
    </xf>
    <xf numFmtId="0" fontId="72" fillId="0" borderId="53" xfId="96" applyFont="1" applyBorder="1" applyAlignment="1">
      <alignment horizontal="center" vertical="center" wrapText="1"/>
    </xf>
    <xf numFmtId="0" fontId="73" fillId="0" borderId="53" xfId="96" applyFont="1" applyBorder="1" applyAlignment="1">
      <alignment horizontal="center" vertical="center" wrapText="1"/>
    </xf>
    <xf numFmtId="0" fontId="16" fillId="0" borderId="53" xfId="96" applyFont="1" applyBorder="1" applyAlignment="1">
      <alignment horizontal="center" vertical="center" wrapText="1"/>
    </xf>
    <xf numFmtId="0" fontId="16" fillId="2" borderId="57" xfId="96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center" vertical="center" wrapText="1"/>
    </xf>
    <xf numFmtId="0" fontId="16" fillId="2" borderId="57" xfId="96" applyFont="1" applyFill="1" applyBorder="1" applyAlignment="1">
      <alignment horizontal="left" vertical="center" wrapText="1"/>
    </xf>
    <xf numFmtId="166" fontId="16" fillId="2" borderId="57" xfId="6" applyNumberFormat="1" applyFont="1" applyFill="1" applyBorder="1" applyAlignment="1">
      <alignment horizontal="center" vertical="center"/>
    </xf>
    <xf numFmtId="0" fontId="75" fillId="2" borderId="57" xfId="299" applyFont="1" applyFill="1" applyBorder="1" applyAlignment="1">
      <alignment horizontal="center"/>
    </xf>
    <xf numFmtId="169" fontId="72" fillId="2" borderId="57" xfId="96" applyNumberFormat="1" applyFont="1" applyFill="1" applyBorder="1" applyAlignment="1">
      <alignment horizontal="center" vertical="center" wrapText="1"/>
    </xf>
    <xf numFmtId="169" fontId="72" fillId="2" borderId="57" xfId="96" applyNumberFormat="1" applyFont="1" applyFill="1" applyBorder="1" applyAlignment="1">
      <alignment vertical="center" wrapText="1"/>
    </xf>
    <xf numFmtId="49" fontId="16" fillId="2" borderId="57" xfId="96" applyNumberFormat="1" applyFont="1" applyFill="1" applyBorder="1" applyAlignment="1">
      <alignment vertical="center" textRotation="90" wrapText="1"/>
    </xf>
    <xf numFmtId="0" fontId="73" fillId="2" borderId="56" xfId="96" applyFont="1" applyFill="1" applyBorder="1" applyAlignment="1">
      <alignment horizontal="center" vertical="center" wrapText="1"/>
    </xf>
    <xf numFmtId="166" fontId="73" fillId="2" borderId="57" xfId="6" applyNumberFormat="1" applyFont="1" applyFill="1" applyBorder="1" applyAlignment="1">
      <alignment horizontal="center" vertical="center"/>
    </xf>
    <xf numFmtId="170" fontId="16" fillId="2" borderId="57" xfId="7" applyNumberFormat="1" applyFont="1" applyFill="1" applyBorder="1" applyAlignment="1">
      <alignment horizontal="center" vertical="center" wrapText="1"/>
    </xf>
    <xf numFmtId="0" fontId="72" fillId="2" borderId="57" xfId="0" applyFont="1" applyFill="1" applyBorder="1" applyAlignment="1">
      <alignment horizontal="left" vertical="top" wrapText="1"/>
    </xf>
    <xf numFmtId="170" fontId="16" fillId="2" borderId="57" xfId="7" applyNumberFormat="1" applyFont="1" applyFill="1" applyBorder="1" applyAlignment="1">
      <alignment horizontal="right" vertical="center" wrapText="1"/>
    </xf>
    <xf numFmtId="170" fontId="72" fillId="2" borderId="57" xfId="7" applyNumberFormat="1" applyFont="1" applyFill="1" applyBorder="1" applyAlignment="1">
      <alignment horizontal="center" vertical="center" wrapText="1"/>
    </xf>
    <xf numFmtId="167" fontId="87" fillId="2" borderId="57" xfId="7" applyNumberFormat="1" applyFont="1" applyFill="1" applyBorder="1" applyAlignment="1">
      <alignment horizontal="right" vertical="center" wrapText="1"/>
    </xf>
    <xf numFmtId="167" fontId="72" fillId="2" borderId="57" xfId="7" applyNumberFormat="1" applyFont="1" applyFill="1" applyBorder="1" applyAlignment="1">
      <alignment horizontal="right" vertical="center" wrapText="1"/>
    </xf>
    <xf numFmtId="0" fontId="72" fillId="2" borderId="57" xfId="0" applyFont="1" applyFill="1" applyBorder="1" applyAlignment="1">
      <alignment horizontal="center" vertical="top" wrapText="1"/>
    </xf>
    <xf numFmtId="49" fontId="72" fillId="2" borderId="57" xfId="0" applyNumberFormat="1" applyFont="1" applyFill="1" applyBorder="1" applyAlignment="1">
      <alignment horizontal="left" vertical="top" wrapText="1"/>
    </xf>
    <xf numFmtId="0" fontId="16" fillId="0" borderId="57" xfId="96" applyFont="1" applyBorder="1" applyAlignment="1">
      <alignment horizontal="left" vertical="center" wrapText="1"/>
    </xf>
    <xf numFmtId="0" fontId="72" fillId="2" borderId="57" xfId="0" applyFont="1" applyFill="1" applyBorder="1" applyAlignment="1">
      <alignment vertical="top" wrapText="1"/>
    </xf>
    <xf numFmtId="0" fontId="87" fillId="0" borderId="57" xfId="0" applyFont="1" applyBorder="1" applyAlignment="1">
      <alignment horizontal="left" vertical="top" wrapText="1"/>
    </xf>
    <xf numFmtId="0" fontId="75" fillId="2" borderId="57" xfId="0" applyFont="1" applyFill="1" applyBorder="1" applyAlignment="1">
      <alignment vertical="top" wrapText="1"/>
    </xf>
    <xf numFmtId="0" fontId="88" fillId="0" borderId="57" xfId="0" applyFont="1" applyBorder="1" applyAlignment="1">
      <alignment horizontal="left" vertical="top" wrapText="1"/>
    </xf>
    <xf numFmtId="0" fontId="87" fillId="0" borderId="3" xfId="0" applyFont="1" applyBorder="1" applyAlignment="1">
      <alignment horizontal="left" vertical="top" wrapText="1"/>
    </xf>
    <xf numFmtId="0" fontId="16" fillId="0" borderId="57" xfId="0" applyFont="1" applyBorder="1" applyAlignment="1">
      <alignment horizontal="left" vertical="center" wrapText="1"/>
    </xf>
    <xf numFmtId="0" fontId="92" fillId="0" borderId="57" xfId="8" applyFont="1" applyBorder="1" applyAlignment="1">
      <alignment horizontal="left" vertical="top" wrapText="1"/>
    </xf>
    <xf numFmtId="0" fontId="92" fillId="0" borderId="31" xfId="8" applyFont="1" applyBorder="1" applyAlignment="1">
      <alignment horizontal="left" vertical="top" wrapText="1"/>
    </xf>
    <xf numFmtId="0" fontId="16" fillId="0" borderId="57" xfId="8" applyFont="1" applyBorder="1" applyAlignment="1">
      <alignment horizontal="left" vertical="center" wrapText="1"/>
    </xf>
    <xf numFmtId="0" fontId="72" fillId="0" borderId="57" xfId="8" applyFont="1" applyBorder="1" applyAlignment="1">
      <alignment horizontal="left" vertical="top" wrapText="1"/>
    </xf>
    <xf numFmtId="0" fontId="16" fillId="0" borderId="57" xfId="0" applyFont="1" applyFill="1" applyBorder="1" applyAlignment="1">
      <alignment horizontal="left" vertical="top" wrapText="1"/>
    </xf>
    <xf numFmtId="0" fontId="75" fillId="0" borderId="57" xfId="0" applyFont="1" applyBorder="1" applyAlignment="1">
      <alignment horizontal="left" vertical="top" wrapText="1"/>
    </xf>
    <xf numFmtId="0" fontId="87" fillId="0" borderId="56" xfId="0" applyFont="1" applyBorder="1" applyAlignment="1">
      <alignment horizontal="left" vertical="top" wrapText="1"/>
    </xf>
    <xf numFmtId="0" fontId="16" fillId="2" borderId="2" xfId="96" applyFont="1" applyFill="1" applyBorder="1" applyAlignment="1">
      <alignment horizontal="center" vertical="center" wrapText="1"/>
    </xf>
    <xf numFmtId="166" fontId="72" fillId="2" borderId="57" xfId="6" applyNumberFormat="1" applyFont="1" applyFill="1" applyBorder="1" applyAlignment="1">
      <alignment horizontal="center" vertical="center"/>
    </xf>
    <xf numFmtId="0" fontId="87" fillId="2" borderId="56" xfId="0" applyFont="1" applyFill="1" applyBorder="1" applyAlignment="1">
      <alignment vertical="center" wrapText="1"/>
    </xf>
    <xf numFmtId="0" fontId="72" fillId="2" borderId="57" xfId="96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87" fillId="2" borderId="57" xfId="0" applyFont="1" applyFill="1" applyBorder="1" applyAlignment="1">
      <alignment vertical="center" wrapText="1"/>
    </xf>
    <xf numFmtId="0" fontId="95" fillId="2" borderId="57" xfId="96" applyFont="1" applyFill="1" applyBorder="1" applyAlignment="1">
      <alignment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57" xfId="0" applyFont="1" applyFill="1" applyBorder="1" applyAlignment="1">
      <alignment vertical="center" wrapText="1"/>
    </xf>
    <xf numFmtId="170" fontId="16" fillId="2" borderId="57" xfId="96" applyNumberFormat="1" applyFont="1" applyFill="1" applyBorder="1" applyAlignment="1">
      <alignment horizontal="center" vertical="center" wrapText="1"/>
    </xf>
    <xf numFmtId="0" fontId="72" fillId="0" borderId="57" xfId="0" applyFont="1" applyBorder="1"/>
    <xf numFmtId="0" fontId="75" fillId="0" borderId="57" xfId="0" applyFont="1" applyBorder="1" applyAlignment="1">
      <alignment horizontal="center"/>
    </xf>
    <xf numFmtId="0" fontId="72" fillId="0" borderId="0" xfId="0" applyFont="1"/>
    <xf numFmtId="0" fontId="73" fillId="2" borderId="57" xfId="96" applyFont="1" applyFill="1" applyBorder="1" applyAlignment="1">
      <alignment horizontal="left" vertical="center" wrapText="1"/>
    </xf>
    <xf numFmtId="167" fontId="89" fillId="2" borderId="57" xfId="300" applyNumberFormat="1" applyFont="1" applyFill="1" applyBorder="1"/>
    <xf numFmtId="0" fontId="93" fillId="2" borderId="0" xfId="0" applyFont="1" applyFill="1"/>
    <xf numFmtId="0" fontId="93" fillId="2" borderId="57" xfId="0" applyFont="1" applyFill="1" applyBorder="1" applyAlignment="1">
      <alignment vertical="center" wrapText="1"/>
    </xf>
    <xf numFmtId="167" fontId="93" fillId="2" borderId="57" xfId="300" applyNumberFormat="1" applyFont="1" applyFill="1" applyBorder="1" applyAlignment="1">
      <alignment vertical="center"/>
    </xf>
    <xf numFmtId="0" fontId="72" fillId="2" borderId="57" xfId="0" applyFont="1" applyFill="1" applyBorder="1"/>
    <xf numFmtId="0" fontId="16" fillId="0" borderId="3" xfId="96" applyFont="1" applyBorder="1" applyAlignment="1">
      <alignment horizontal="center" vertical="center" wrapText="1"/>
    </xf>
    <xf numFmtId="170" fontId="16" fillId="0" borderId="57" xfId="96" applyNumberFormat="1" applyFont="1" applyBorder="1" applyAlignment="1">
      <alignment horizontal="center" vertical="center" wrapText="1"/>
    </xf>
    <xf numFmtId="169" fontId="72" fillId="0" borderId="0" xfId="0" applyNumberFormat="1" applyFont="1"/>
    <xf numFmtId="0" fontId="16" fillId="0" borderId="57" xfId="96" applyFont="1" applyBorder="1" applyAlignment="1">
      <alignment vertical="center" wrapText="1"/>
    </xf>
    <xf numFmtId="0" fontId="75" fillId="0" borderId="57" xfId="0" applyFont="1" applyBorder="1"/>
    <xf numFmtId="0" fontId="75" fillId="2" borderId="57" xfId="0" applyFont="1" applyFill="1" applyBorder="1"/>
    <xf numFmtId="175" fontId="75" fillId="0" borderId="0" xfId="0" applyNumberFormat="1" applyFont="1"/>
    <xf numFmtId="0" fontId="75" fillId="0" borderId="0" xfId="0" applyFont="1"/>
    <xf numFmtId="0" fontId="73" fillId="0" borderId="57" xfId="96" applyFont="1" applyFill="1" applyBorder="1" applyAlignment="1">
      <alignment horizontal="left" vertical="center" wrapText="1"/>
    </xf>
    <xf numFmtId="167" fontId="73" fillId="0" borderId="57" xfId="7" applyNumberFormat="1" applyFont="1" applyBorder="1"/>
    <xf numFmtId="167" fontId="87" fillId="0" borderId="57" xfId="7" applyNumberFormat="1" applyFont="1" applyBorder="1" applyAlignment="1">
      <alignment vertical="center"/>
    </xf>
    <xf numFmtId="0" fontId="72" fillId="2" borderId="0" xfId="299" applyFont="1" applyFill="1"/>
    <xf numFmtId="0" fontId="16" fillId="2" borderId="57" xfId="96" applyFont="1" applyFill="1" applyBorder="1" applyAlignment="1">
      <alignment vertical="center" wrapText="1"/>
    </xf>
    <xf numFmtId="0" fontId="72" fillId="2" borderId="57" xfId="0" applyFont="1" applyFill="1" applyBorder="1" applyAlignment="1">
      <alignment horizontal="center"/>
    </xf>
    <xf numFmtId="176" fontId="72" fillId="2" borderId="57" xfId="2028" applyNumberFormat="1" applyFont="1" applyFill="1" applyBorder="1"/>
    <xf numFmtId="167" fontId="72" fillId="2" borderId="57" xfId="0" applyNumberFormat="1" applyFont="1" applyFill="1" applyBorder="1"/>
    <xf numFmtId="167" fontId="75" fillId="2" borderId="53" xfId="7" applyNumberFormat="1" applyFont="1" applyFill="1" applyBorder="1" applyAlignment="1">
      <alignment vertical="center"/>
    </xf>
    <xf numFmtId="49" fontId="16" fillId="2" borderId="57" xfId="96" applyNumberFormat="1" applyFont="1" applyFill="1" applyBorder="1" applyAlignment="1">
      <alignment horizontal="center" vertical="center" textRotation="90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53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left" vertical="top" wrapText="1"/>
    </xf>
    <xf numFmtId="0" fontId="16" fillId="2" borderId="56" xfId="0" applyFont="1" applyFill="1" applyBorder="1" applyAlignment="1">
      <alignment horizontal="center" vertical="center" wrapText="1"/>
    </xf>
    <xf numFmtId="164" fontId="72" fillId="2" borderId="53" xfId="7" applyFont="1" applyFill="1" applyBorder="1" applyAlignment="1">
      <alignment horizontal="center" vertical="center" wrapText="1"/>
    </xf>
    <xf numFmtId="170" fontId="72" fillId="2" borderId="49" xfId="7" applyNumberFormat="1" applyFont="1" applyFill="1" applyBorder="1" applyAlignment="1">
      <alignment vertical="center" wrapText="1"/>
    </xf>
    <xf numFmtId="170" fontId="72" fillId="2" borderId="53" xfId="7" applyNumberFormat="1" applyFont="1" applyFill="1" applyBorder="1" applyAlignment="1">
      <alignment horizontal="right" vertical="center" wrapText="1"/>
    </xf>
    <xf numFmtId="170" fontId="72" fillId="2" borderId="49" xfId="7" applyNumberFormat="1" applyFont="1" applyFill="1" applyBorder="1" applyAlignment="1">
      <alignment horizontal="right" vertical="center" wrapText="1"/>
    </xf>
    <xf numFmtId="170" fontId="72" fillId="2" borderId="57" xfId="7" applyNumberFormat="1" applyFont="1" applyFill="1" applyBorder="1" applyAlignment="1">
      <alignment horizontal="right" vertical="center" wrapText="1"/>
    </xf>
    <xf numFmtId="0" fontId="16" fillId="2" borderId="57" xfId="0" applyFont="1" applyFill="1" applyBorder="1" applyAlignment="1">
      <alignment horizontal="left" vertical="center" wrapText="1"/>
    </xf>
    <xf numFmtId="0" fontId="87" fillId="2" borderId="57" xfId="0" applyFont="1" applyFill="1" applyBorder="1" applyAlignment="1">
      <alignment horizontal="left" vertical="top" wrapText="1"/>
    </xf>
    <xf numFmtId="170" fontId="16" fillId="2" borderId="57" xfId="7" applyNumberFormat="1" applyFont="1" applyFill="1" applyBorder="1" applyAlignment="1">
      <alignment horizontal="center" vertical="top" wrapText="1"/>
    </xf>
    <xf numFmtId="0" fontId="16" fillId="2" borderId="56" xfId="0" applyFont="1" applyFill="1" applyBorder="1" applyAlignment="1">
      <alignment wrapText="1"/>
    </xf>
    <xf numFmtId="0" fontId="16" fillId="2" borderId="56" xfId="0" applyFont="1" applyFill="1" applyBorder="1" applyAlignment="1">
      <alignment horizontal="center" wrapText="1"/>
    </xf>
    <xf numFmtId="0" fontId="72" fillId="2" borderId="56" xfId="0" applyFont="1" applyFill="1" applyBorder="1" applyAlignment="1">
      <alignment horizontal="left" vertical="top" wrapText="1"/>
    </xf>
    <xf numFmtId="0" fontId="87" fillId="2" borderId="56" xfId="0" applyFont="1" applyFill="1" applyBorder="1" applyAlignment="1">
      <alignment horizontal="left" vertical="top" wrapText="1"/>
    </xf>
    <xf numFmtId="0" fontId="72" fillId="2" borderId="56" xfId="0" applyFont="1" applyFill="1" applyBorder="1" applyAlignment="1">
      <alignment horizontal="center" vertical="top" wrapText="1"/>
    </xf>
    <xf numFmtId="166" fontId="72" fillId="2" borderId="57" xfId="8" applyNumberFormat="1" applyFont="1" applyFill="1" applyBorder="1" applyAlignment="1">
      <alignment horizontal="center" vertical="center" wrapText="1"/>
    </xf>
    <xf numFmtId="169" fontId="16" fillId="2" borderId="57" xfId="0" applyNumberFormat="1" applyFont="1" applyFill="1" applyBorder="1" applyAlignment="1">
      <alignment horizontal="center" vertical="center"/>
    </xf>
    <xf numFmtId="166" fontId="16" fillId="2" borderId="57" xfId="6" applyNumberFormat="1" applyFont="1" applyFill="1" applyBorder="1" applyAlignment="1">
      <alignment horizontal="right" vertical="center"/>
    </xf>
    <xf numFmtId="169" fontId="72" fillId="2" borderId="57" xfId="0" applyNumberFormat="1" applyFont="1" applyFill="1" applyBorder="1" applyAlignment="1">
      <alignment horizontal="right" vertical="center"/>
    </xf>
    <xf numFmtId="166" fontId="87" fillId="2" borderId="57" xfId="6" applyNumberFormat="1" applyFont="1" applyFill="1" applyBorder="1" applyAlignment="1">
      <alignment horizontal="right" vertical="center"/>
    </xf>
    <xf numFmtId="166" fontId="72" fillId="2" borderId="57" xfId="6" applyNumberFormat="1" applyFont="1" applyFill="1" applyBorder="1" applyAlignment="1">
      <alignment horizontal="right" vertical="center"/>
    </xf>
    <xf numFmtId="0" fontId="72" fillId="2" borderId="57" xfId="0" applyFont="1" applyFill="1" applyBorder="1" applyAlignment="1"/>
    <xf numFmtId="0" fontId="16" fillId="2" borderId="10" xfId="0" applyFont="1" applyFill="1" applyBorder="1" applyAlignment="1">
      <alignment horizontal="center" vertical="top" wrapText="1"/>
    </xf>
    <xf numFmtId="0" fontId="72" fillId="2" borderId="57" xfId="8" applyFont="1" applyFill="1" applyBorder="1" applyAlignment="1">
      <alignment horizontal="left" vertical="top" wrapText="1"/>
    </xf>
    <xf numFmtId="0" fontId="72" fillId="2" borderId="31" xfId="8" applyFont="1" applyFill="1" applyBorder="1" applyAlignment="1">
      <alignment horizontal="left" vertical="top" wrapText="1"/>
    </xf>
    <xf numFmtId="0" fontId="16" fillId="2" borderId="57" xfId="8" applyFont="1" applyFill="1" applyBorder="1" applyAlignment="1">
      <alignment horizontal="left" vertical="center" wrapText="1"/>
    </xf>
    <xf numFmtId="0" fontId="72" fillId="2" borderId="0" xfId="8" applyFont="1" applyFill="1" applyBorder="1" applyAlignment="1">
      <alignment horizontal="left" vertical="top" wrapText="1"/>
    </xf>
    <xf numFmtId="166" fontId="72" fillId="2" borderId="57" xfId="0" applyNumberFormat="1" applyFont="1" applyFill="1" applyBorder="1"/>
    <xf numFmtId="0" fontId="16" fillId="2" borderId="57" xfId="0" applyFont="1" applyFill="1" applyBorder="1"/>
    <xf numFmtId="0" fontId="72" fillId="2" borderId="57" xfId="0" applyFont="1" applyFill="1" applyBorder="1" applyAlignment="1">
      <alignment horizontal="center" vertical="top"/>
    </xf>
    <xf numFmtId="166" fontId="72" fillId="2" borderId="57" xfId="6" applyNumberFormat="1" applyFont="1" applyFill="1" applyBorder="1" applyAlignment="1">
      <alignment horizontal="right" vertical="top"/>
    </xf>
    <xf numFmtId="0" fontId="16" fillId="2" borderId="57" xfId="0" applyFont="1" applyFill="1" applyBorder="1" applyAlignment="1">
      <alignment vertical="top" wrapText="1"/>
    </xf>
    <xf numFmtId="0" fontId="16" fillId="2" borderId="0" xfId="0" applyFont="1" applyFill="1" applyBorder="1" applyAlignment="1">
      <alignment horizontal="left" vertical="top" wrapText="1"/>
    </xf>
    <xf numFmtId="170" fontId="16" fillId="2" borderId="0" xfId="7" applyNumberFormat="1" applyFont="1" applyFill="1" applyBorder="1" applyAlignment="1">
      <alignment horizontal="center" vertical="top" wrapText="1"/>
    </xf>
    <xf numFmtId="0" fontId="88" fillId="2" borderId="57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57" xfId="0" applyFont="1" applyFill="1" applyBorder="1" applyAlignment="1">
      <alignment horizontal="left" vertical="center" wrapText="1"/>
    </xf>
    <xf numFmtId="0" fontId="75" fillId="2" borderId="0" xfId="0" applyFont="1" applyFill="1" applyBorder="1" applyAlignment="1">
      <alignment horizontal="left" vertical="center"/>
    </xf>
    <xf numFmtId="0" fontId="87" fillId="2" borderId="57" xfId="0" applyFont="1" applyFill="1" applyBorder="1" applyAlignment="1">
      <alignment horizontal="left" vertical="center" wrapText="1"/>
    </xf>
    <xf numFmtId="0" fontId="72" fillId="2" borderId="54" xfId="0" applyFont="1" applyFill="1" applyBorder="1" applyAlignment="1">
      <alignment vertical="top" wrapText="1"/>
    </xf>
    <xf numFmtId="0" fontId="72" fillId="2" borderId="56" xfId="0" applyFont="1" applyFill="1" applyBorder="1" applyAlignment="1">
      <alignment vertical="top" wrapText="1"/>
    </xf>
    <xf numFmtId="164" fontId="75" fillId="2" borderId="57" xfId="7" applyFont="1" applyFill="1" applyBorder="1"/>
    <xf numFmtId="166" fontId="75" fillId="2" borderId="0" xfId="253" applyNumberFormat="1" applyFont="1" applyFill="1"/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3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77" fontId="87" fillId="2" borderId="3" xfId="7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horizontal="right"/>
    </xf>
    <xf numFmtId="0" fontId="72" fillId="2" borderId="57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left" vertical="top" wrapText="1"/>
    </xf>
    <xf numFmtId="0" fontId="95" fillId="2" borderId="3" xfId="96" applyFont="1" applyFill="1" applyBorder="1" applyAlignment="1">
      <alignment horizontal="center" vertical="center" wrapText="1"/>
    </xf>
    <xf numFmtId="0" fontId="72" fillId="2" borderId="58" xfId="96" applyFont="1" applyFill="1" applyBorder="1" applyAlignment="1">
      <alignment horizontal="center" vertical="center" wrapText="1"/>
    </xf>
    <xf numFmtId="0" fontId="95" fillId="2" borderId="3" xfId="96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49" fontId="16" fillId="2" borderId="31" xfId="96" applyNumberFormat="1" applyFont="1" applyFill="1" applyBorder="1" applyAlignment="1">
      <alignment horizontal="center" vertical="center" textRotation="90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87" fillId="2" borderId="59" xfId="0" applyFont="1" applyFill="1" applyBorder="1" applyAlignment="1">
      <alignment vertical="center" wrapText="1"/>
    </xf>
    <xf numFmtId="167" fontId="87" fillId="2" borderId="60" xfId="7" applyNumberFormat="1" applyFont="1" applyFill="1" applyBorder="1" applyAlignment="1">
      <alignment vertical="center"/>
    </xf>
    <xf numFmtId="0" fontId="72" fillId="2" borderId="60" xfId="0" applyFont="1" applyFill="1" applyBorder="1"/>
    <xf numFmtId="0" fontId="95" fillId="2" borderId="60" xfId="96" applyFont="1" applyFill="1" applyBorder="1" applyAlignment="1">
      <alignment horizontal="center" vertical="center" wrapText="1"/>
    </xf>
    <xf numFmtId="0" fontId="75" fillId="2" borderId="62" xfId="0" applyFont="1" applyFill="1" applyBorder="1" applyAlignment="1"/>
    <xf numFmtId="0" fontId="72" fillId="2" borderId="62" xfId="0" applyFont="1" applyFill="1" applyBorder="1"/>
    <xf numFmtId="168" fontId="73" fillId="2" borderId="53" xfId="6" applyNumberFormat="1" applyFont="1" applyFill="1" applyBorder="1" applyAlignment="1">
      <alignment horizontal="center" vertical="center"/>
    </xf>
    <xf numFmtId="168" fontId="16" fillId="2" borderId="53" xfId="6" applyNumberFormat="1" applyFont="1" applyFill="1" applyBorder="1" applyAlignment="1">
      <alignment horizontal="center" vertical="center"/>
    </xf>
    <xf numFmtId="0" fontId="87" fillId="2" borderId="61" xfId="0" applyFont="1" applyFill="1" applyBorder="1" applyAlignment="1">
      <alignment vertical="center" wrapText="1"/>
    </xf>
    <xf numFmtId="167" fontId="13" fillId="2" borderId="53" xfId="253" applyNumberFormat="1" applyFont="1" applyFill="1" applyBorder="1"/>
    <xf numFmtId="168" fontId="72" fillId="2" borderId="53" xfId="96" applyNumberFormat="1" applyFont="1" applyFill="1" applyBorder="1" applyAlignment="1">
      <alignment vertical="center" wrapText="1"/>
    </xf>
    <xf numFmtId="164" fontId="13" fillId="2" borderId="53" xfId="253" applyNumberFormat="1" applyFont="1" applyFill="1" applyBorder="1" applyAlignment="1">
      <alignment vertical="center"/>
    </xf>
    <xf numFmtId="168" fontId="72" fillId="2" borderId="53" xfId="96" applyNumberFormat="1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57" xfId="0" applyFont="1" applyFill="1" applyBorder="1" applyAlignment="1">
      <alignment horizontal="center" vertical="top" wrapText="1"/>
    </xf>
    <xf numFmtId="0" fontId="16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wrapText="1"/>
    </xf>
    <xf numFmtId="0" fontId="72" fillId="2" borderId="0" xfId="0" applyFont="1" applyFill="1" applyAlignment="1">
      <alignment horizontal="right"/>
    </xf>
    <xf numFmtId="0" fontId="16" fillId="2" borderId="57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center" vertical="top" wrapText="1"/>
    </xf>
    <xf numFmtId="0" fontId="72" fillId="2" borderId="62" xfId="0" applyFont="1" applyFill="1" applyBorder="1" applyAlignment="1">
      <alignment horizontal="center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56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16" fillId="2" borderId="9" xfId="0" applyFont="1" applyFill="1" applyBorder="1" applyAlignment="1">
      <alignment horizontal="center" vertical="top" wrapText="1"/>
    </xf>
    <xf numFmtId="0" fontId="72" fillId="2" borderId="3" xfId="8" applyFont="1" applyFill="1" applyBorder="1" applyAlignment="1">
      <alignment horizontal="left" vertical="top" wrapText="1"/>
    </xf>
    <xf numFmtId="0" fontId="16" fillId="2" borderId="61" xfId="96" applyFont="1" applyFill="1" applyBorder="1" applyAlignment="1">
      <alignment horizontal="left" vertical="center" wrapText="1"/>
    </xf>
    <xf numFmtId="167" fontId="16" fillId="2" borderId="62" xfId="223" applyNumberFormat="1" applyFont="1" applyFill="1" applyBorder="1" applyAlignment="1">
      <alignment vertical="center"/>
    </xf>
    <xf numFmtId="167" fontId="97" fillId="2" borderId="0" xfId="0" applyNumberFormat="1" applyFont="1" applyFill="1"/>
    <xf numFmtId="0" fontId="97" fillId="2" borderId="0" xfId="0" applyFont="1" applyFill="1"/>
    <xf numFmtId="172" fontId="87" fillId="2" borderId="62" xfId="6" applyNumberFormat="1" applyFont="1" applyFill="1" applyBorder="1" applyAlignment="1">
      <alignment horizontal="right" vertical="center"/>
    </xf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/>
    </xf>
    <xf numFmtId="0" fontId="72" fillId="2" borderId="30" xfId="0" applyFont="1" applyFill="1" applyBorder="1" applyAlignment="1">
      <alignment horizontal="center"/>
    </xf>
    <xf numFmtId="0" fontId="72" fillId="2" borderId="30" xfId="0" applyFont="1" applyFill="1" applyBorder="1" applyAlignment="1">
      <alignment horizontal="center" wrapText="1"/>
    </xf>
    <xf numFmtId="167" fontId="16" fillId="57" borderId="41" xfId="7" applyNumberFormat="1" applyFont="1" applyFill="1" applyBorder="1" applyAlignment="1">
      <alignment vertical="top" wrapText="1"/>
    </xf>
    <xf numFmtId="167" fontId="72" fillId="2" borderId="0" xfId="0" applyNumberFormat="1" applyFont="1" applyFill="1"/>
    <xf numFmtId="0" fontId="72" fillId="58" borderId="30" xfId="0" applyFont="1" applyFill="1" applyBorder="1" applyAlignment="1">
      <alignment wrapText="1"/>
    </xf>
    <xf numFmtId="170" fontId="72" fillId="58" borderId="33" xfId="0" applyNumberFormat="1" applyFont="1" applyFill="1" applyBorder="1" applyAlignment="1">
      <alignment horizontal="right" vertical="center" wrapText="1"/>
    </xf>
    <xf numFmtId="170" fontId="72" fillId="2" borderId="47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6" xfId="0" applyFont="1" applyFill="1" applyBorder="1" applyAlignment="1">
      <alignment vertical="center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vertical="center"/>
    </xf>
    <xf numFmtId="170" fontId="72" fillId="2" borderId="30" xfId="0" applyNumberFormat="1" applyFont="1" applyFill="1" applyBorder="1" applyAlignment="1">
      <alignment horizontal="right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horizontal="center" vertical="center" wrapText="1"/>
    </xf>
    <xf numFmtId="166" fontId="72" fillId="2" borderId="48" xfId="6" applyNumberFormat="1" applyFont="1" applyFill="1" applyBorder="1" applyAlignment="1">
      <alignment horizontal="center" vertical="center"/>
    </xf>
    <xf numFmtId="172" fontId="72" fillId="2" borderId="48" xfId="6" applyNumberFormat="1" applyFont="1" applyFill="1" applyBorder="1" applyAlignment="1">
      <alignment horizontal="center" vertical="center"/>
    </xf>
    <xf numFmtId="170" fontId="72" fillId="2" borderId="48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center" vertical="center"/>
    </xf>
    <xf numFmtId="166" fontId="72" fillId="2" borderId="30" xfId="6" applyNumberFormat="1" applyFont="1" applyFill="1" applyBorder="1" applyAlignment="1">
      <alignment horizontal="center" vertical="center"/>
    </xf>
    <xf numFmtId="172" fontId="72" fillId="2" borderId="30" xfId="6" applyNumberFormat="1" applyFont="1" applyFill="1" applyBorder="1" applyAlignment="1">
      <alignment horizontal="center" vertical="center"/>
    </xf>
    <xf numFmtId="166" fontId="72" fillId="2" borderId="45" xfId="6" applyNumberFormat="1" applyFont="1" applyFill="1" applyBorder="1" applyAlignment="1">
      <alignment horizontal="center" vertical="center"/>
    </xf>
    <xf numFmtId="172" fontId="72" fillId="2" borderId="45" xfId="6" applyNumberFormat="1" applyFont="1" applyFill="1" applyBorder="1" applyAlignment="1">
      <alignment horizontal="center" vertical="center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left" vertical="top" wrapText="1"/>
    </xf>
    <xf numFmtId="0" fontId="72" fillId="2" borderId="53" xfId="0" applyFont="1" applyFill="1" applyBorder="1" applyAlignment="1">
      <alignment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 vertical="center" wrapText="1"/>
    </xf>
    <xf numFmtId="0" fontId="72" fillId="2" borderId="56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30" xfId="0" applyFont="1" applyFill="1" applyBorder="1" applyAlignment="1">
      <alignment horizontal="center" vertical="center" wrapText="1"/>
    </xf>
    <xf numFmtId="0" fontId="72" fillId="2" borderId="57" xfId="0" applyFont="1" applyFill="1" applyBorder="1" applyAlignment="1">
      <alignment horizontal="center" vertical="top" wrapText="1"/>
    </xf>
    <xf numFmtId="0" fontId="16" fillId="2" borderId="57" xfId="0" applyFont="1" applyFill="1" applyBorder="1" applyAlignment="1">
      <alignment horizontal="center" vertical="top" wrapText="1"/>
    </xf>
    <xf numFmtId="0" fontId="16" fillId="2" borderId="62" xfId="0" applyFont="1" applyFill="1" applyBorder="1" applyAlignment="1">
      <alignment horizontal="center" vertical="top" wrapText="1"/>
    </xf>
    <xf numFmtId="0" fontId="16" fillId="0" borderId="57" xfId="0" applyFont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53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56" xfId="8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wrapText="1"/>
    </xf>
    <xf numFmtId="0" fontId="16" fillId="2" borderId="62" xfId="0" applyFont="1" applyFill="1" applyBorder="1" applyAlignment="1">
      <alignment horizontal="center" wrapText="1"/>
    </xf>
    <xf numFmtId="0" fontId="16" fillId="2" borderId="57" xfId="0" applyFont="1" applyFill="1" applyBorder="1" applyAlignment="1">
      <alignment horizontal="center" wrapText="1"/>
    </xf>
    <xf numFmtId="0" fontId="16" fillId="2" borderId="57" xfId="8" applyFont="1" applyFill="1" applyBorder="1" applyAlignment="1">
      <alignment horizontal="center" vertical="top" wrapText="1"/>
    </xf>
    <xf numFmtId="0" fontId="16" fillId="2" borderId="56" xfId="0" applyFont="1" applyFill="1" applyBorder="1" applyAlignment="1">
      <alignment horizontal="left" wrapText="1"/>
    </xf>
    <xf numFmtId="0" fontId="16" fillId="2" borderId="57" xfId="0" applyFont="1" applyFill="1" applyBorder="1" applyAlignment="1">
      <alignment horizontal="left" wrapText="1"/>
    </xf>
    <xf numFmtId="0" fontId="16" fillId="2" borderId="53" xfId="0" applyFont="1" applyFill="1" applyBorder="1" applyAlignment="1">
      <alignment horizontal="center" wrapText="1"/>
    </xf>
    <xf numFmtId="0" fontId="16" fillId="2" borderId="58" xfId="0" applyFont="1" applyFill="1" applyBorder="1" applyAlignment="1">
      <alignment horizontal="center" wrapText="1"/>
    </xf>
    <xf numFmtId="49" fontId="16" fillId="2" borderId="49" xfId="0" applyNumberFormat="1" applyFont="1" applyFill="1" applyBorder="1" applyAlignment="1">
      <alignment horizontal="left" vertical="top" wrapText="1"/>
    </xf>
    <xf numFmtId="0" fontId="72" fillId="2" borderId="49" xfId="0" applyFont="1" applyFill="1" applyBorder="1" applyAlignment="1">
      <alignment wrapText="1"/>
    </xf>
    <xf numFmtId="0" fontId="72" fillId="2" borderId="62" xfId="0" applyNumberFormat="1" applyFont="1" applyFill="1" applyBorder="1" applyAlignment="1">
      <alignment horizontal="center" vertical="top" wrapText="1"/>
    </xf>
    <xf numFmtId="0" fontId="16" fillId="2" borderId="56" xfId="8" applyFont="1" applyFill="1" applyBorder="1" applyAlignment="1">
      <alignment horizontal="center" vertical="top" wrapText="1"/>
    </xf>
    <xf numFmtId="0" fontId="95" fillId="2" borderId="31" xfId="96" applyFont="1" applyFill="1" applyBorder="1" applyAlignment="1">
      <alignment horizontal="center" vertical="center" wrapText="1"/>
    </xf>
    <xf numFmtId="0" fontId="95" fillId="2" borderId="2" xfId="96" applyFont="1" applyFill="1" applyBorder="1" applyAlignment="1">
      <alignment horizontal="center" vertical="center" wrapText="1"/>
    </xf>
    <xf numFmtId="0" fontId="95" fillId="2" borderId="3" xfId="96" applyFont="1" applyFill="1" applyBorder="1" applyAlignment="1">
      <alignment horizontal="center" vertical="center" wrapText="1"/>
    </xf>
    <xf numFmtId="170" fontId="72" fillId="2" borderId="0" xfId="96" applyNumberFormat="1" applyFont="1" applyFill="1" applyAlignment="1">
      <alignment horizontal="right" vertical="top" wrapText="1"/>
    </xf>
    <xf numFmtId="170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9" fontId="16" fillId="2" borderId="8" xfId="96" applyNumberFormat="1" applyFont="1" applyFill="1" applyBorder="1" applyAlignment="1">
      <alignment horizontal="center" vertical="center" wrapText="1"/>
    </xf>
    <xf numFmtId="169" fontId="16" fillId="2" borderId="3" xfId="96" applyNumberFormat="1" applyFont="1" applyFill="1" applyBorder="1" applyAlignment="1">
      <alignment horizontal="center" vertical="center" wrapText="1"/>
    </xf>
    <xf numFmtId="169" fontId="72" fillId="2" borderId="44" xfId="96" applyNumberFormat="1" applyFont="1" applyFill="1" applyBorder="1" applyAlignment="1">
      <alignment horizontal="center" vertical="center" wrapText="1"/>
    </xf>
    <xf numFmtId="169" fontId="72" fillId="2" borderId="42" xfId="96" applyNumberFormat="1" applyFont="1" applyFill="1" applyBorder="1" applyAlignment="1">
      <alignment horizontal="center" vertical="center" wrapText="1"/>
    </xf>
    <xf numFmtId="169" fontId="72" fillId="2" borderId="43" xfId="96" applyNumberFormat="1" applyFont="1" applyFill="1" applyBorder="1" applyAlignment="1">
      <alignment horizontal="center" vertical="center" wrapText="1"/>
    </xf>
    <xf numFmtId="0" fontId="72" fillId="2" borderId="62" xfId="0" applyFont="1" applyFill="1" applyBorder="1" applyAlignment="1">
      <alignment horizontal="center"/>
    </xf>
    <xf numFmtId="164" fontId="16" fillId="0" borderId="40" xfId="7" applyFont="1" applyBorder="1" applyAlignment="1">
      <alignment horizontal="center" vertical="center" wrapText="1"/>
    </xf>
    <xf numFmtId="164" fontId="16" fillId="0" borderId="2" xfId="7" applyFont="1" applyBorder="1" applyAlignment="1">
      <alignment horizontal="center" vertical="center" wrapText="1"/>
    </xf>
    <xf numFmtId="164" fontId="16" fillId="0" borderId="3" xfId="7" applyFont="1" applyBorder="1" applyAlignment="1">
      <alignment horizontal="center" vertical="center" wrapText="1"/>
    </xf>
    <xf numFmtId="0" fontId="16" fillId="0" borderId="40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95" fillId="2" borderId="49" xfId="96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 wrapText="1"/>
    </xf>
    <xf numFmtId="0" fontId="16" fillId="2" borderId="0" xfId="0" applyFont="1" applyFill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169" fontId="16" fillId="2" borderId="31" xfId="96" applyNumberFormat="1" applyFont="1" applyFill="1" applyBorder="1" applyAlignment="1">
      <alignment horizontal="center" vertical="center" wrapText="1"/>
    </xf>
    <xf numFmtId="169" fontId="72" fillId="2" borderId="55" xfId="96" applyNumberFormat="1" applyFont="1" applyFill="1" applyBorder="1" applyAlignment="1">
      <alignment horizontal="center" vertical="center" wrapText="1"/>
    </xf>
    <xf numFmtId="169" fontId="72" fillId="2" borderId="52" xfId="96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16" fillId="0" borderId="31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0" borderId="62" xfId="96" applyFont="1" applyBorder="1" applyAlignment="1">
      <alignment horizontal="center" vertical="center" wrapText="1"/>
    </xf>
    <xf numFmtId="0" fontId="87" fillId="2" borderId="36" xfId="0" applyFont="1" applyFill="1" applyBorder="1" applyAlignment="1">
      <alignment horizontal="left" vertical="top" wrapText="1"/>
    </xf>
    <xf numFmtId="0" fontId="87" fillId="2" borderId="33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left" vertical="center" wrapText="1"/>
    </xf>
    <xf numFmtId="0" fontId="86" fillId="2" borderId="52" xfId="0" applyFont="1" applyFill="1" applyBorder="1" applyAlignment="1">
      <alignment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 vertical="top" wrapText="1"/>
    </xf>
    <xf numFmtId="0" fontId="72" fillId="2" borderId="52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left" vertical="top" wrapText="1"/>
    </xf>
    <xf numFmtId="0" fontId="13" fillId="2" borderId="55" xfId="0" applyFont="1" applyFill="1" applyBorder="1" applyAlignment="1">
      <alignment horizontal="left" vertical="top" wrapText="1"/>
    </xf>
    <xf numFmtId="0" fontId="90" fillId="2" borderId="5" xfId="0" applyFont="1" applyFill="1" applyBorder="1" applyAlignment="1">
      <alignment wrapText="1"/>
    </xf>
    <xf numFmtId="0" fontId="16" fillId="2" borderId="1" xfId="0" applyFont="1" applyFill="1" applyBorder="1" applyAlignment="1">
      <alignment horizontal="left" vertical="top" wrapText="1"/>
    </xf>
    <xf numFmtId="0" fontId="86" fillId="2" borderId="1" xfId="0" applyFont="1" applyFill="1" applyBorder="1" applyAlignment="1">
      <alignment horizontal="left" vertical="top" wrapText="1"/>
    </xf>
    <xf numFmtId="0" fontId="87" fillId="2" borderId="54" xfId="0" applyFont="1" applyFill="1" applyBorder="1" applyAlignment="1">
      <alignment horizontal="left" vertical="top" wrapText="1"/>
    </xf>
    <xf numFmtId="0" fontId="96" fillId="2" borderId="52" xfId="0" applyFont="1" applyFill="1" applyBorder="1" applyAlignment="1">
      <alignment horizontal="left" vertical="top" wrapText="1"/>
    </xf>
    <xf numFmtId="0" fontId="16" fillId="2" borderId="51" xfId="0" applyFont="1" applyFill="1" applyBorder="1" applyAlignment="1">
      <alignment horizontal="left" vertical="center" wrapText="1"/>
    </xf>
    <xf numFmtId="0" fontId="16" fillId="2" borderId="50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center" vertical="top" wrapText="1"/>
    </xf>
    <xf numFmtId="0" fontId="72" fillId="2" borderId="50" xfId="0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/>
    </xf>
    <xf numFmtId="0" fontId="75" fillId="2" borderId="0" xfId="0" applyFont="1" applyFill="1" applyAlignment="1">
      <alignment horizontal="right" vertical="top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55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89" fillId="2" borderId="0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top" wrapText="1"/>
    </xf>
    <xf numFmtId="0" fontId="87" fillId="2" borderId="56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left" vertical="top" wrapText="1"/>
    </xf>
    <xf numFmtId="0" fontId="16" fillId="2" borderId="56" xfId="0" applyFont="1" applyFill="1" applyBorder="1" applyAlignment="1">
      <alignment horizontal="left" vertical="top" wrapText="1"/>
    </xf>
    <xf numFmtId="0" fontId="72" fillId="2" borderId="57" xfId="0" applyFont="1" applyFill="1" applyBorder="1" applyAlignment="1">
      <alignment horizontal="left" vertical="center"/>
    </xf>
    <xf numFmtId="0" fontId="72" fillId="2" borderId="30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top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2" fillId="58" borderId="36" xfId="0" applyFont="1" applyFill="1" applyBorder="1" applyAlignment="1">
      <alignment horizontal="left" vertical="center" wrapText="1"/>
    </xf>
    <xf numFmtId="0" fontId="72" fillId="58" borderId="37" xfId="0" applyFont="1" applyFill="1" applyBorder="1" applyAlignment="1">
      <alignment horizontal="left" vertical="center" wrapText="1"/>
    </xf>
    <xf numFmtId="0" fontId="72" fillId="58" borderId="33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  <xf numFmtId="0" fontId="16" fillId="57" borderId="41" xfId="0" applyFont="1" applyFill="1" applyBorder="1" applyAlignment="1">
      <alignment vertical="top" wrapText="1"/>
    </xf>
    <xf numFmtId="164" fontId="75" fillId="0" borderId="53" xfId="7" applyFont="1" applyFill="1" applyBorder="1" applyAlignment="1">
      <alignment vertical="center"/>
    </xf>
  </cellXfs>
  <cellStyles count="2030"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— акцент1" xfId="29" builtinId="30" customBuiltin="1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— акцент2" xfId="33" builtinId="34" customBuiltin="1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— акцент3" xfId="37" builtinId="38" customBuiltin="1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— акцент4" xfId="41" builtinId="42" customBuiltin="1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— акцент5" xfId="45" builtinId="46" customBuiltin="1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— акцент6" xfId="49" builtinId="50" customBuiltin="1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— акцент1" xfId="30" builtinId="31" customBuiltin="1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— акцент2" xfId="34" builtinId="35" customBuiltin="1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— акцент3" xfId="38" builtinId="39" customBuiltin="1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— акцент4" xfId="42" builtinId="43" customBuiltin="1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— акцент5" xfId="46" builtinId="47" customBuiltin="1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— акцент6" xfId="50" builtinId="51" customBuiltin="1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 2" xfId="64" xr:uid="{00000000-0005-0000-0000-0000E1010000}"/>
    <cellStyle name="60% - Accent1 2 2" xfId="120" xr:uid="{00000000-0005-0000-0000-0000E2010000}"/>
    <cellStyle name="60% - Accent2 2" xfId="62" xr:uid="{00000000-0005-0000-0000-0000E4010000}"/>
    <cellStyle name="60% - Accent2 2 2" xfId="121" xr:uid="{00000000-0005-0000-0000-0000E5010000}"/>
    <cellStyle name="60% - Accent3 2" xfId="56" xr:uid="{00000000-0005-0000-0000-0000E7010000}"/>
    <cellStyle name="60% - Accent3 2 2" xfId="122" xr:uid="{00000000-0005-0000-0000-0000E8010000}"/>
    <cellStyle name="60% - Accent4 2" xfId="66" xr:uid="{00000000-0005-0000-0000-0000EA010000}"/>
    <cellStyle name="60% - Accent4 2 2" xfId="123" xr:uid="{00000000-0005-0000-0000-0000EB010000}"/>
    <cellStyle name="60% - Accent5 2" xfId="73" xr:uid="{00000000-0005-0000-0000-0000ED010000}"/>
    <cellStyle name="60% - Accent5 2 2" xfId="124" xr:uid="{00000000-0005-0000-0000-0000EE010000}"/>
    <cellStyle name="60% - Accent6 2" xfId="55" xr:uid="{00000000-0005-0000-0000-0000F0010000}"/>
    <cellStyle name="60% - Accent6 2 2" xfId="125" xr:uid="{00000000-0005-0000-0000-0000F1010000}"/>
    <cellStyle name="60% — акцент1" xfId="31" builtinId="32" customBuiltin="1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— акцент2" xfId="35" builtinId="36" customBuiltin="1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— акцент3" xfId="39" builtinId="40" customBuiltin="1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— акцент4" xfId="43" builtinId="44" customBuiltin="1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— акцент5" xfId="47" builtinId="48" customBuiltin="1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— акцент6" xfId="51" builtinId="52" customBuiltin="1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 2" xfId="57" xr:uid="{00000000-0005-0000-0000-0000C5020000}"/>
    <cellStyle name="Accent1 2 2" xfId="126" xr:uid="{00000000-0005-0000-0000-0000C6020000}"/>
    <cellStyle name="Accent2 2" xfId="53" xr:uid="{00000000-0005-0000-0000-0000C8020000}"/>
    <cellStyle name="Accent2 2 2" xfId="127" xr:uid="{00000000-0005-0000-0000-0000C9020000}"/>
    <cellStyle name="Accent3 2" xfId="90" xr:uid="{00000000-0005-0000-0000-0000CB020000}"/>
    <cellStyle name="Accent3 2 2" xfId="128" xr:uid="{00000000-0005-0000-0000-0000CC020000}"/>
    <cellStyle name="Accent4 2" xfId="75" xr:uid="{00000000-0005-0000-0000-0000CE020000}"/>
    <cellStyle name="Accent4 2 2" xfId="129" xr:uid="{00000000-0005-0000-0000-0000CF020000}"/>
    <cellStyle name="Accent5 2" xfId="85" xr:uid="{00000000-0005-0000-0000-0000D1020000}"/>
    <cellStyle name="Accent5 2 2" xfId="130" xr:uid="{00000000-0005-0000-0000-0000D2020000}"/>
    <cellStyle name="Accent6 2" xfId="58" xr:uid="{00000000-0005-0000-0000-0000D4020000}"/>
    <cellStyle name="Accent6 2 2" xfId="131" xr:uid="{00000000-0005-0000-0000-0000D5020000}"/>
    <cellStyle name="Bad 2" xfId="92" xr:uid="{00000000-0005-0000-0000-0000D7020000}"/>
    <cellStyle name="Bad 2 2" xfId="132" xr:uid="{00000000-0005-0000-0000-0000D8020000}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 2" xfId="86" xr:uid="{00000000-0005-0000-0000-0000FD020000}"/>
    <cellStyle name="Check Cell 2 2" xfId="134" xr:uid="{00000000-0005-0000-0000-0000FE020000}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2" xfId="10" xr:uid="{00000000-0005-0000-0000-000004030000}"/>
    <cellStyle name="Comma 2 2" xfId="100" xr:uid="{00000000-0005-0000-0000-000005030000}"/>
    <cellStyle name="Comma 2 2 2" xfId="135" xr:uid="{00000000-0005-0000-0000-000006030000}"/>
    <cellStyle name="Comma 2 2 2 2" xfId="218" xr:uid="{00000000-0005-0000-0000-000007030000}"/>
    <cellStyle name="Comma 2 2 3" xfId="219" xr:uid="{00000000-0005-0000-0000-000008030000}"/>
    <cellStyle name="Comma 2 3" xfId="103" xr:uid="{00000000-0005-0000-0000-000009030000}"/>
    <cellStyle name="Comma 2 3 2" xfId="220" xr:uid="{00000000-0005-0000-0000-00000A030000}"/>
    <cellStyle name="Comma 2 3 3" xfId="221" xr:uid="{00000000-0005-0000-0000-00000B030000}"/>
    <cellStyle name="Comma 2 4" xfId="222" xr:uid="{00000000-0005-0000-0000-00000C030000}"/>
    <cellStyle name="Comma 2 5" xfId="223" xr:uid="{00000000-0005-0000-0000-00000D030000}"/>
    <cellStyle name="Comma 3" xfId="99" xr:uid="{00000000-0005-0000-0000-00000E030000}"/>
    <cellStyle name="Comma 3 2" xfId="136" xr:uid="{00000000-0005-0000-0000-00000F030000}"/>
    <cellStyle name="Comma 3 2 2" xfId="188" xr:uid="{00000000-0005-0000-0000-000010030000}"/>
    <cellStyle name="Comma 3 2 2 2" xfId="211" xr:uid="{00000000-0005-0000-0000-000011030000}"/>
    <cellStyle name="Comma 3 2 3" xfId="181" xr:uid="{00000000-0005-0000-0000-000012030000}"/>
    <cellStyle name="Comma 3 2 4" xfId="205" xr:uid="{00000000-0005-0000-0000-000013030000}"/>
    <cellStyle name="Comma 3 3" xfId="224" xr:uid="{00000000-0005-0000-0000-000014030000}"/>
    <cellStyle name="Comma 4" xfId="102" xr:uid="{00000000-0005-0000-0000-000015030000}"/>
    <cellStyle name="Comma 4 2" xfId="225" xr:uid="{00000000-0005-0000-0000-000016030000}"/>
    <cellStyle name="Comma 4 2 2" xfId="2023" xr:uid="{00000000-0005-0000-0000-000017030000}"/>
    <cellStyle name="Comma 4 3" xfId="226" xr:uid="{00000000-0005-0000-0000-000018030000}"/>
    <cellStyle name="Comma 5" xfId="95" xr:uid="{00000000-0005-0000-0000-000019030000}"/>
    <cellStyle name="Comma 5 2" xfId="180" xr:uid="{00000000-0005-0000-0000-00001A030000}"/>
    <cellStyle name="Comma 5 3" xfId="204" xr:uid="{00000000-0005-0000-0000-00001B030000}"/>
    <cellStyle name="Comma 6" xfId="187" xr:uid="{00000000-0005-0000-0000-00001C030000}"/>
    <cellStyle name="Comma 6 2" xfId="210" xr:uid="{00000000-0005-0000-0000-00001D030000}"/>
    <cellStyle name="Comma 6 3" xfId="227" xr:uid="{00000000-0005-0000-0000-00001E030000}"/>
    <cellStyle name="Comma 7" xfId="228" xr:uid="{00000000-0005-0000-0000-00001F030000}"/>
    <cellStyle name="Comma 7 2" xfId="229" xr:uid="{00000000-0005-0000-0000-000020030000}"/>
    <cellStyle name="Comma 7 2 2" xfId="230" xr:uid="{00000000-0005-0000-0000-000021030000}"/>
    <cellStyle name="Comma 7 3" xfId="231" xr:uid="{00000000-0005-0000-0000-000022030000}"/>
    <cellStyle name="Comma 8" xfId="232" xr:uid="{00000000-0005-0000-0000-000023030000}"/>
    <cellStyle name="Comma 9" xfId="233" xr:uid="{00000000-0005-0000-0000-000024030000}"/>
    <cellStyle name="Explanatory Text 2" xfId="74" xr:uid="{00000000-0005-0000-0000-000026030000}"/>
    <cellStyle name="Explanatory Text 2 2" xfId="137" xr:uid="{00000000-0005-0000-0000-000027030000}"/>
    <cellStyle name="Good 2" xfId="80" xr:uid="{00000000-0005-0000-0000-000029030000}"/>
    <cellStyle name="Good 2 2" xfId="138" xr:uid="{00000000-0005-0000-0000-00002A030000}"/>
    <cellStyle name="Heading 1 2" xfId="65" xr:uid="{00000000-0005-0000-0000-00002C030000}"/>
    <cellStyle name="Heading 1 2 2" xfId="139" xr:uid="{00000000-0005-0000-0000-00002D030000}"/>
    <cellStyle name="Heading 2 2" xfId="83" xr:uid="{00000000-0005-0000-0000-00002F030000}"/>
    <cellStyle name="Heading 2 2 2" xfId="140" xr:uid="{00000000-0005-0000-0000-000030030000}"/>
    <cellStyle name="Heading 3 2" xfId="67" xr:uid="{00000000-0005-0000-0000-000032030000}"/>
    <cellStyle name="Heading 3 2 2" xfId="141" xr:uid="{00000000-0005-0000-0000-000033030000}"/>
    <cellStyle name="Heading 4 2" xfId="63" xr:uid="{00000000-0005-0000-0000-000035030000}"/>
    <cellStyle name="Heading 4 2 2" xfId="142" xr:uid="{00000000-0005-0000-0000-000036030000}"/>
    <cellStyle name="Input 2" xfId="82" xr:uid="{00000000-0005-0000-0000-000038030000}"/>
    <cellStyle name="Input 2 2" xfId="143" xr:uid="{00000000-0005-0000-0000-000039030000}"/>
    <cellStyle name="Input 2 2 10" xfId="963" xr:uid="{00000000-0005-0000-0000-00003A030000}"/>
    <cellStyle name="Input 2 2 11" xfId="964" xr:uid="{00000000-0005-0000-0000-00003B030000}"/>
    <cellStyle name="Input 2 2 12" xfId="965" xr:uid="{00000000-0005-0000-0000-00003C030000}"/>
    <cellStyle name="Input 2 2 13" xfId="966" xr:uid="{00000000-0005-0000-0000-00003D030000}"/>
    <cellStyle name="Input 2 2 14" xfId="967" xr:uid="{00000000-0005-0000-0000-00003E030000}"/>
    <cellStyle name="Input 2 2 15" xfId="968" xr:uid="{00000000-0005-0000-0000-00003F030000}"/>
    <cellStyle name="Input 2 2 16" xfId="969" xr:uid="{00000000-0005-0000-0000-000040030000}"/>
    <cellStyle name="Input 2 2 17" xfId="970" xr:uid="{00000000-0005-0000-0000-000041030000}"/>
    <cellStyle name="Input 2 2 18" xfId="971" xr:uid="{00000000-0005-0000-0000-000042030000}"/>
    <cellStyle name="Input 2 2 19" xfId="972" xr:uid="{00000000-0005-0000-0000-000043030000}"/>
    <cellStyle name="Input 2 2 2" xfId="973" xr:uid="{00000000-0005-0000-0000-000044030000}"/>
    <cellStyle name="Input 2 2 20" xfId="974" xr:uid="{00000000-0005-0000-0000-000045030000}"/>
    <cellStyle name="Input 2 2 21" xfId="975" xr:uid="{00000000-0005-0000-0000-000046030000}"/>
    <cellStyle name="Input 2 2 22" xfId="976" xr:uid="{00000000-0005-0000-0000-000047030000}"/>
    <cellStyle name="Input 2 2 23" xfId="977" xr:uid="{00000000-0005-0000-0000-000048030000}"/>
    <cellStyle name="Input 2 2 24" xfId="978" xr:uid="{00000000-0005-0000-0000-000049030000}"/>
    <cellStyle name="Input 2 2 25" xfId="979" xr:uid="{00000000-0005-0000-0000-00004A030000}"/>
    <cellStyle name="Input 2 2 26" xfId="980" xr:uid="{00000000-0005-0000-0000-00004B030000}"/>
    <cellStyle name="Input 2 2 27" xfId="981" xr:uid="{00000000-0005-0000-0000-00004C030000}"/>
    <cellStyle name="Input 2 2 28" xfId="982" xr:uid="{00000000-0005-0000-0000-00004D030000}"/>
    <cellStyle name="Input 2 2 29" xfId="983" xr:uid="{00000000-0005-0000-0000-00004E030000}"/>
    <cellStyle name="Input 2 2 3" xfId="984" xr:uid="{00000000-0005-0000-0000-00004F030000}"/>
    <cellStyle name="Input 2 2 30" xfId="985" xr:uid="{00000000-0005-0000-0000-000050030000}"/>
    <cellStyle name="Input 2 2 31" xfId="986" xr:uid="{00000000-0005-0000-0000-000051030000}"/>
    <cellStyle name="Input 2 2 32" xfId="987" xr:uid="{00000000-0005-0000-0000-000052030000}"/>
    <cellStyle name="Input 2 2 33" xfId="988" xr:uid="{00000000-0005-0000-0000-000053030000}"/>
    <cellStyle name="Input 2 2 4" xfId="989" xr:uid="{00000000-0005-0000-0000-000054030000}"/>
    <cellStyle name="Input 2 2 5" xfId="990" xr:uid="{00000000-0005-0000-0000-000055030000}"/>
    <cellStyle name="Input 2 2 6" xfId="991" xr:uid="{00000000-0005-0000-0000-000056030000}"/>
    <cellStyle name="Input 2 2 7" xfId="992" xr:uid="{00000000-0005-0000-0000-000057030000}"/>
    <cellStyle name="Input 2 2 8" xfId="993" xr:uid="{00000000-0005-0000-0000-000058030000}"/>
    <cellStyle name="Input 2 2 9" xfId="994" xr:uid="{00000000-0005-0000-0000-000059030000}"/>
    <cellStyle name="KPMG Heading 1" xfId="234" xr:uid="{00000000-0005-0000-0000-00005A030000}"/>
    <cellStyle name="KPMG Heading 2" xfId="235" xr:uid="{00000000-0005-0000-0000-00005B030000}"/>
    <cellStyle name="KPMG Heading 3" xfId="236" xr:uid="{00000000-0005-0000-0000-00005C030000}"/>
    <cellStyle name="KPMG Heading 4" xfId="237" xr:uid="{00000000-0005-0000-0000-00005D030000}"/>
    <cellStyle name="KPMG Normal" xfId="238" xr:uid="{00000000-0005-0000-0000-00005E030000}"/>
    <cellStyle name="KPMG Normal Text" xfId="239" xr:uid="{00000000-0005-0000-0000-00005F030000}"/>
    <cellStyle name="KPMG Normal_123" xfId="240" xr:uid="{00000000-0005-0000-0000-000060030000}"/>
    <cellStyle name="Linked Cell 2" xfId="70" xr:uid="{00000000-0005-0000-0000-000062030000}"/>
    <cellStyle name="Linked Cell 2 2" xfId="144" xr:uid="{00000000-0005-0000-0000-000063030000}"/>
    <cellStyle name="Neutral 2" xfId="76" xr:uid="{00000000-0005-0000-0000-000065030000}"/>
    <cellStyle name="Neutral 2 2" xfId="105" xr:uid="{00000000-0005-0000-0000-000066030000}"/>
    <cellStyle name="Neutral 3" xfId="145" xr:uid="{00000000-0005-0000-0000-000067030000}"/>
    <cellStyle name="Normal 10" xfId="4" xr:uid="{00000000-0005-0000-0000-000069030000}"/>
    <cellStyle name="Normal 10 2" xfId="185" xr:uid="{00000000-0005-0000-0000-00006A030000}"/>
    <cellStyle name="Normal 10 3" xfId="208" xr:uid="{00000000-0005-0000-0000-00006B030000}"/>
    <cellStyle name="Normal 11" xfId="164" xr:uid="{00000000-0005-0000-0000-00006C030000}"/>
    <cellStyle name="Normal 11 2" xfId="186" xr:uid="{00000000-0005-0000-0000-00006D030000}"/>
    <cellStyle name="Normal 11 3" xfId="209" xr:uid="{00000000-0005-0000-0000-00006E030000}"/>
    <cellStyle name="Normal 12" xfId="165" xr:uid="{00000000-0005-0000-0000-00006F030000}"/>
    <cellStyle name="Normal 12 2" xfId="241" xr:uid="{00000000-0005-0000-0000-000070030000}"/>
    <cellStyle name="Normal 12 3" xfId="2024" xr:uid="{00000000-0005-0000-0000-000071030000}"/>
    <cellStyle name="Normal 13" xfId="242" xr:uid="{00000000-0005-0000-0000-000072030000}"/>
    <cellStyle name="Normal 14" xfId="243" xr:uid="{00000000-0005-0000-0000-000073030000}"/>
    <cellStyle name="Normal 14 2" xfId="244" xr:uid="{00000000-0005-0000-0000-000074030000}"/>
    <cellStyle name="Normal 15" xfId="245" xr:uid="{00000000-0005-0000-0000-000075030000}"/>
    <cellStyle name="Normal 16" xfId="246" xr:uid="{00000000-0005-0000-0000-000076030000}"/>
    <cellStyle name="Normal 17" xfId="247" xr:uid="{00000000-0005-0000-0000-000077030000}"/>
    <cellStyle name="Normal 18" xfId="299" xr:uid="{00000000-0005-0000-0000-000078030000}"/>
    <cellStyle name="Normal 2" xfId="1" xr:uid="{00000000-0005-0000-0000-000079030000}"/>
    <cellStyle name="Normal 2 2" xfId="146" xr:uid="{00000000-0005-0000-0000-00007A030000}"/>
    <cellStyle name="Normal 2 2 2" xfId="163" xr:uid="{00000000-0005-0000-0000-00007B030000}"/>
    <cellStyle name="Normal 2 2 3" xfId="248" xr:uid="{00000000-0005-0000-0000-00007C030000}"/>
    <cellStyle name="Normal 2 3" xfId="147" xr:uid="{00000000-0005-0000-0000-00007D030000}"/>
    <cellStyle name="Normal 2 3 2" xfId="249" xr:uid="{00000000-0005-0000-0000-00007E030000}"/>
    <cellStyle name="Normal 2 3 3" xfId="250" xr:uid="{00000000-0005-0000-0000-00007F030000}"/>
    <cellStyle name="Normal 2 4" xfId="96" xr:uid="{00000000-0005-0000-0000-000080030000}"/>
    <cellStyle name="Normal 2 4 2" xfId="251" xr:uid="{00000000-0005-0000-0000-000081030000}"/>
    <cellStyle name="Normal 2 5" xfId="252" xr:uid="{00000000-0005-0000-0000-000082030000}"/>
    <cellStyle name="Normal 2 6" xfId="253" xr:uid="{00000000-0005-0000-0000-000083030000}"/>
    <cellStyle name="Normal 3" xfId="3" xr:uid="{00000000-0005-0000-0000-000084030000}"/>
    <cellStyle name="Normal 3 2" xfId="104" xr:uid="{00000000-0005-0000-0000-000085030000}"/>
    <cellStyle name="Normal 3 2 2" xfId="148" xr:uid="{00000000-0005-0000-0000-000086030000}"/>
    <cellStyle name="Normal 3 2 3" xfId="254" xr:uid="{00000000-0005-0000-0000-000087030000}"/>
    <cellStyle name="Normal 3 3" xfId="98" xr:uid="{00000000-0005-0000-0000-000088030000}"/>
    <cellStyle name="Normal 3 4" xfId="255" xr:uid="{00000000-0005-0000-0000-000089030000}"/>
    <cellStyle name="Normal 3 5" xfId="256" xr:uid="{00000000-0005-0000-0000-00008A030000}"/>
    <cellStyle name="Normal 3_HavelvacN2axjusakN3" xfId="106" xr:uid="{00000000-0005-0000-0000-00008B030000}"/>
    <cellStyle name="Normal 4" xfId="5" xr:uid="{00000000-0005-0000-0000-00008C030000}"/>
    <cellStyle name="Normal 4 2" xfId="9" xr:uid="{00000000-0005-0000-0000-00008D030000}"/>
    <cellStyle name="Normal 4 3" xfId="101" xr:uid="{00000000-0005-0000-0000-00008E030000}"/>
    <cellStyle name="Normal 5" xfId="107" xr:uid="{00000000-0005-0000-0000-00008F030000}"/>
    <cellStyle name="Normal 5 2" xfId="149" xr:uid="{00000000-0005-0000-0000-000090030000}"/>
    <cellStyle name="Normal 5 2 2" xfId="189" xr:uid="{00000000-0005-0000-0000-000091030000}"/>
    <cellStyle name="Normal 5 2 2 2" xfId="212" xr:uid="{00000000-0005-0000-0000-000092030000}"/>
    <cellStyle name="Normal 5 2 3" xfId="182" xr:uid="{00000000-0005-0000-0000-000093030000}"/>
    <cellStyle name="Normal 5 2 4" xfId="206" xr:uid="{00000000-0005-0000-0000-000094030000}"/>
    <cellStyle name="Normal 5 3" xfId="257" xr:uid="{00000000-0005-0000-0000-000095030000}"/>
    <cellStyle name="Normal 6" xfId="150" xr:uid="{00000000-0005-0000-0000-000096030000}"/>
    <cellStyle name="Normal 6 2" xfId="213" xr:uid="{00000000-0005-0000-0000-000097030000}"/>
    <cellStyle name="Normal 6 3" xfId="258" xr:uid="{00000000-0005-0000-0000-000098030000}"/>
    <cellStyle name="Normal 7" xfId="151" xr:uid="{00000000-0005-0000-0000-000099030000}"/>
    <cellStyle name="Normal 7 2" xfId="259" xr:uid="{00000000-0005-0000-0000-00009A030000}"/>
    <cellStyle name="Normal 8" xfId="8" xr:uid="{00000000-0005-0000-0000-00009B030000}"/>
    <cellStyle name="Normal 8 2" xfId="162" xr:uid="{00000000-0005-0000-0000-00009C030000}"/>
    <cellStyle name="Normal 8 3" xfId="179" xr:uid="{00000000-0005-0000-0000-00009D030000}"/>
    <cellStyle name="Normal 8 4" xfId="203" xr:uid="{00000000-0005-0000-0000-00009E030000}"/>
    <cellStyle name="Normal 9" xfId="94" xr:uid="{00000000-0005-0000-0000-00009F030000}"/>
    <cellStyle name="Normal 9 2" xfId="184" xr:uid="{00000000-0005-0000-0000-0000A0030000}"/>
    <cellStyle name="Normal 9 3" xfId="207" xr:uid="{00000000-0005-0000-0000-0000A1030000}"/>
    <cellStyle name="Note 2" xfId="54" xr:uid="{00000000-0005-0000-0000-0000A3030000}"/>
    <cellStyle name="Note 2 2" xfId="152" xr:uid="{00000000-0005-0000-0000-0000A4030000}"/>
    <cellStyle name="Note 2 2 10" xfId="995" xr:uid="{00000000-0005-0000-0000-0000A5030000}"/>
    <cellStyle name="Note 2 2 11" xfId="996" xr:uid="{00000000-0005-0000-0000-0000A6030000}"/>
    <cellStyle name="Note 2 2 12" xfId="997" xr:uid="{00000000-0005-0000-0000-0000A7030000}"/>
    <cellStyle name="Note 2 2 13" xfId="998" xr:uid="{00000000-0005-0000-0000-0000A8030000}"/>
    <cellStyle name="Note 2 2 14" xfId="999" xr:uid="{00000000-0005-0000-0000-0000A9030000}"/>
    <cellStyle name="Note 2 2 15" xfId="1000" xr:uid="{00000000-0005-0000-0000-0000AA030000}"/>
    <cellStyle name="Note 2 2 16" xfId="1001" xr:uid="{00000000-0005-0000-0000-0000AB030000}"/>
    <cellStyle name="Note 2 2 17" xfId="1002" xr:uid="{00000000-0005-0000-0000-0000AC030000}"/>
    <cellStyle name="Note 2 2 18" xfId="1003" xr:uid="{00000000-0005-0000-0000-0000AD030000}"/>
    <cellStyle name="Note 2 2 19" xfId="1004" xr:uid="{00000000-0005-0000-0000-0000AE030000}"/>
    <cellStyle name="Note 2 2 2" xfId="1005" xr:uid="{00000000-0005-0000-0000-0000AF030000}"/>
    <cellStyle name="Note 2 2 20" xfId="1006" xr:uid="{00000000-0005-0000-0000-0000B0030000}"/>
    <cellStyle name="Note 2 2 21" xfId="1007" xr:uid="{00000000-0005-0000-0000-0000B1030000}"/>
    <cellStyle name="Note 2 2 22" xfId="1008" xr:uid="{00000000-0005-0000-0000-0000B2030000}"/>
    <cellStyle name="Note 2 2 23" xfId="1009" xr:uid="{00000000-0005-0000-0000-0000B3030000}"/>
    <cellStyle name="Note 2 2 24" xfId="1010" xr:uid="{00000000-0005-0000-0000-0000B4030000}"/>
    <cellStyle name="Note 2 2 25" xfId="1011" xr:uid="{00000000-0005-0000-0000-0000B5030000}"/>
    <cellStyle name="Note 2 2 26" xfId="1012" xr:uid="{00000000-0005-0000-0000-0000B6030000}"/>
    <cellStyle name="Note 2 2 27" xfId="1013" xr:uid="{00000000-0005-0000-0000-0000B7030000}"/>
    <cellStyle name="Note 2 2 28" xfId="1014" xr:uid="{00000000-0005-0000-0000-0000B8030000}"/>
    <cellStyle name="Note 2 2 29" xfId="1015" xr:uid="{00000000-0005-0000-0000-0000B9030000}"/>
    <cellStyle name="Note 2 2 3" xfId="1016" xr:uid="{00000000-0005-0000-0000-0000BA030000}"/>
    <cellStyle name="Note 2 2 30" xfId="1017" xr:uid="{00000000-0005-0000-0000-0000BB030000}"/>
    <cellStyle name="Note 2 2 31" xfId="1018" xr:uid="{00000000-0005-0000-0000-0000BC030000}"/>
    <cellStyle name="Note 2 2 32" xfId="1019" xr:uid="{00000000-0005-0000-0000-0000BD030000}"/>
    <cellStyle name="Note 2 2 33" xfId="1020" xr:uid="{00000000-0005-0000-0000-0000BE030000}"/>
    <cellStyle name="Note 2 2 34" xfId="1021" xr:uid="{00000000-0005-0000-0000-0000BF030000}"/>
    <cellStyle name="Note 2 2 4" xfId="1022" xr:uid="{00000000-0005-0000-0000-0000C0030000}"/>
    <cellStyle name="Note 2 2 5" xfId="1023" xr:uid="{00000000-0005-0000-0000-0000C1030000}"/>
    <cellStyle name="Note 2 2 6" xfId="1024" xr:uid="{00000000-0005-0000-0000-0000C2030000}"/>
    <cellStyle name="Note 2 2 7" xfId="1025" xr:uid="{00000000-0005-0000-0000-0000C3030000}"/>
    <cellStyle name="Note 2 2 8" xfId="1026" xr:uid="{00000000-0005-0000-0000-0000C4030000}"/>
    <cellStyle name="Note 2 2 9" xfId="1027" xr:uid="{00000000-0005-0000-0000-0000C5030000}"/>
    <cellStyle name="Note 2 3" xfId="260" xr:uid="{00000000-0005-0000-0000-0000C6030000}"/>
    <cellStyle name="Note 3" xfId="166" xr:uid="{00000000-0005-0000-0000-0000C7030000}"/>
    <cellStyle name="Note 4" xfId="190" xr:uid="{00000000-0005-0000-0000-0000C8030000}"/>
    <cellStyle name="Output 2" xfId="81" xr:uid="{00000000-0005-0000-0000-0000CA030000}"/>
    <cellStyle name="Output 2 2" xfId="153" xr:uid="{00000000-0005-0000-0000-0000CB030000}"/>
    <cellStyle name="Output 2 2 10" xfId="1028" xr:uid="{00000000-0005-0000-0000-0000CC030000}"/>
    <cellStyle name="Output 2 2 11" xfId="1029" xr:uid="{00000000-0005-0000-0000-0000CD030000}"/>
    <cellStyle name="Output 2 2 12" xfId="1030" xr:uid="{00000000-0005-0000-0000-0000CE030000}"/>
    <cellStyle name="Output 2 2 13" xfId="1031" xr:uid="{00000000-0005-0000-0000-0000CF030000}"/>
    <cellStyle name="Output 2 2 14" xfId="1032" xr:uid="{00000000-0005-0000-0000-0000D0030000}"/>
    <cellStyle name="Output 2 2 15" xfId="1033" xr:uid="{00000000-0005-0000-0000-0000D1030000}"/>
    <cellStyle name="Output 2 2 16" xfId="1034" xr:uid="{00000000-0005-0000-0000-0000D2030000}"/>
    <cellStyle name="Output 2 2 17" xfId="1035" xr:uid="{00000000-0005-0000-0000-0000D3030000}"/>
    <cellStyle name="Output 2 2 18" xfId="1036" xr:uid="{00000000-0005-0000-0000-0000D4030000}"/>
    <cellStyle name="Output 2 2 19" xfId="1037" xr:uid="{00000000-0005-0000-0000-0000D5030000}"/>
    <cellStyle name="Output 2 2 2" xfId="1038" xr:uid="{00000000-0005-0000-0000-0000D6030000}"/>
    <cellStyle name="Output 2 2 20" xfId="1039" xr:uid="{00000000-0005-0000-0000-0000D7030000}"/>
    <cellStyle name="Output 2 2 21" xfId="1040" xr:uid="{00000000-0005-0000-0000-0000D8030000}"/>
    <cellStyle name="Output 2 2 22" xfId="1041" xr:uid="{00000000-0005-0000-0000-0000D9030000}"/>
    <cellStyle name="Output 2 2 23" xfId="1042" xr:uid="{00000000-0005-0000-0000-0000DA030000}"/>
    <cellStyle name="Output 2 2 24" xfId="1043" xr:uid="{00000000-0005-0000-0000-0000DB030000}"/>
    <cellStyle name="Output 2 2 25" xfId="1044" xr:uid="{00000000-0005-0000-0000-0000DC030000}"/>
    <cellStyle name="Output 2 2 26" xfId="1045" xr:uid="{00000000-0005-0000-0000-0000DD030000}"/>
    <cellStyle name="Output 2 2 27" xfId="1046" xr:uid="{00000000-0005-0000-0000-0000DE030000}"/>
    <cellStyle name="Output 2 2 28" xfId="1047" xr:uid="{00000000-0005-0000-0000-0000DF030000}"/>
    <cellStyle name="Output 2 2 29" xfId="1048" xr:uid="{00000000-0005-0000-0000-0000E0030000}"/>
    <cellStyle name="Output 2 2 3" xfId="1049" xr:uid="{00000000-0005-0000-0000-0000E1030000}"/>
    <cellStyle name="Output 2 2 30" xfId="1050" xr:uid="{00000000-0005-0000-0000-0000E2030000}"/>
    <cellStyle name="Output 2 2 31" xfId="1051" xr:uid="{00000000-0005-0000-0000-0000E3030000}"/>
    <cellStyle name="Output 2 2 32" xfId="1052" xr:uid="{00000000-0005-0000-0000-0000E4030000}"/>
    <cellStyle name="Output 2 2 33" xfId="1053" xr:uid="{00000000-0005-0000-0000-0000E5030000}"/>
    <cellStyle name="Output 2 2 34" xfId="1054" xr:uid="{00000000-0005-0000-0000-0000E6030000}"/>
    <cellStyle name="Output 2 2 4" xfId="1055" xr:uid="{00000000-0005-0000-0000-0000E7030000}"/>
    <cellStyle name="Output 2 2 5" xfId="1056" xr:uid="{00000000-0005-0000-0000-0000E8030000}"/>
    <cellStyle name="Output 2 2 6" xfId="1057" xr:uid="{00000000-0005-0000-0000-0000E9030000}"/>
    <cellStyle name="Output 2 2 7" xfId="1058" xr:uid="{00000000-0005-0000-0000-0000EA030000}"/>
    <cellStyle name="Output 2 2 8" xfId="1059" xr:uid="{00000000-0005-0000-0000-0000EB030000}"/>
    <cellStyle name="Output 2 2 9" xfId="1060" xr:uid="{00000000-0005-0000-0000-0000EC030000}"/>
    <cellStyle name="Percent 2" xfId="2" xr:uid="{00000000-0005-0000-0000-0000ED030000}"/>
    <cellStyle name="Percent 2 2" xfId="97" xr:uid="{00000000-0005-0000-0000-0000EE030000}"/>
    <cellStyle name="Percent 2 2 2" xfId="261" xr:uid="{00000000-0005-0000-0000-0000EF030000}"/>
    <cellStyle name="Percent 2 3" xfId="262" xr:uid="{00000000-0005-0000-0000-0000F0030000}"/>
    <cellStyle name="Percent 2 4" xfId="263" xr:uid="{00000000-0005-0000-0000-0000F1030000}"/>
    <cellStyle name="Percent 3" xfId="264" xr:uid="{00000000-0005-0000-0000-0000F2030000}"/>
    <cellStyle name="Percent 3 2" xfId="265" xr:uid="{00000000-0005-0000-0000-0000F3030000}"/>
    <cellStyle name="Percent 4" xfId="266" xr:uid="{00000000-0005-0000-0000-0000F4030000}"/>
    <cellStyle name="Percent 4 2" xfId="267" xr:uid="{00000000-0005-0000-0000-0000F5030000}"/>
    <cellStyle name="Percent 5" xfId="268" xr:uid="{00000000-0005-0000-0000-0000F6030000}"/>
    <cellStyle name="Percent 5 2" xfId="269" xr:uid="{00000000-0005-0000-0000-0000F7030000}"/>
    <cellStyle name="Percent 5 2 2" xfId="270" xr:uid="{00000000-0005-0000-0000-0000F8030000}"/>
    <cellStyle name="Percent 5 3" xfId="271" xr:uid="{00000000-0005-0000-0000-0000F9030000}"/>
    <cellStyle name="Percent 6" xfId="2028" xr:uid="{00000000-0005-0000-0000-0000FA030000}"/>
    <cellStyle name="SN_241" xfId="6" xr:uid="{00000000-0005-0000-0000-0000FB030000}"/>
    <cellStyle name="Style 1" xfId="154" xr:uid="{00000000-0005-0000-0000-0000FC030000}"/>
    <cellStyle name="Style 1 2" xfId="155" xr:uid="{00000000-0005-0000-0000-0000FD030000}"/>
    <cellStyle name="Style 1 2 2" xfId="183" xr:uid="{00000000-0005-0000-0000-0000FE030000}"/>
    <cellStyle name="Style 1_verchnakan_ax21-25_2018" xfId="156" xr:uid="{00000000-0005-0000-0000-0000FF030000}"/>
    <cellStyle name="Title 2" xfId="52" xr:uid="{00000000-0005-0000-0000-000000040000}"/>
    <cellStyle name="Title 2 2" xfId="157" xr:uid="{00000000-0005-0000-0000-000001040000}"/>
    <cellStyle name="Title 3" xfId="84" xr:uid="{00000000-0005-0000-0000-000002040000}"/>
    <cellStyle name="Total 2" xfId="89" xr:uid="{00000000-0005-0000-0000-000004040000}"/>
    <cellStyle name="Total 2 2" xfId="158" xr:uid="{00000000-0005-0000-0000-000005040000}"/>
    <cellStyle name="Total 2 2 10" xfId="1061" xr:uid="{00000000-0005-0000-0000-000006040000}"/>
    <cellStyle name="Total 2 2 11" xfId="1062" xr:uid="{00000000-0005-0000-0000-000007040000}"/>
    <cellStyle name="Total 2 2 12" xfId="1063" xr:uid="{00000000-0005-0000-0000-000008040000}"/>
    <cellStyle name="Total 2 2 13" xfId="1064" xr:uid="{00000000-0005-0000-0000-000009040000}"/>
    <cellStyle name="Total 2 2 14" xfId="1065" xr:uid="{00000000-0005-0000-0000-00000A040000}"/>
    <cellStyle name="Total 2 2 15" xfId="1066" xr:uid="{00000000-0005-0000-0000-00000B040000}"/>
    <cellStyle name="Total 2 2 16" xfId="1067" xr:uid="{00000000-0005-0000-0000-00000C040000}"/>
    <cellStyle name="Total 2 2 17" xfId="1068" xr:uid="{00000000-0005-0000-0000-00000D040000}"/>
    <cellStyle name="Total 2 2 18" xfId="1069" xr:uid="{00000000-0005-0000-0000-00000E040000}"/>
    <cellStyle name="Total 2 2 19" xfId="1070" xr:uid="{00000000-0005-0000-0000-00000F040000}"/>
    <cellStyle name="Total 2 2 2" xfId="1071" xr:uid="{00000000-0005-0000-0000-000010040000}"/>
    <cellStyle name="Total 2 2 20" xfId="1072" xr:uid="{00000000-0005-0000-0000-000011040000}"/>
    <cellStyle name="Total 2 2 21" xfId="1073" xr:uid="{00000000-0005-0000-0000-000012040000}"/>
    <cellStyle name="Total 2 2 22" xfId="1074" xr:uid="{00000000-0005-0000-0000-000013040000}"/>
    <cellStyle name="Total 2 2 23" xfId="1075" xr:uid="{00000000-0005-0000-0000-000014040000}"/>
    <cellStyle name="Total 2 2 24" xfId="1076" xr:uid="{00000000-0005-0000-0000-000015040000}"/>
    <cellStyle name="Total 2 2 25" xfId="1077" xr:uid="{00000000-0005-0000-0000-000016040000}"/>
    <cellStyle name="Total 2 2 26" xfId="1078" xr:uid="{00000000-0005-0000-0000-000017040000}"/>
    <cellStyle name="Total 2 2 27" xfId="1079" xr:uid="{00000000-0005-0000-0000-000018040000}"/>
    <cellStyle name="Total 2 2 28" xfId="1080" xr:uid="{00000000-0005-0000-0000-000019040000}"/>
    <cellStyle name="Total 2 2 29" xfId="1081" xr:uid="{00000000-0005-0000-0000-00001A040000}"/>
    <cellStyle name="Total 2 2 3" xfId="1082" xr:uid="{00000000-0005-0000-0000-00001B040000}"/>
    <cellStyle name="Total 2 2 30" xfId="1083" xr:uid="{00000000-0005-0000-0000-00001C040000}"/>
    <cellStyle name="Total 2 2 31" xfId="1084" xr:uid="{00000000-0005-0000-0000-00001D040000}"/>
    <cellStyle name="Total 2 2 32" xfId="1085" xr:uid="{00000000-0005-0000-0000-00001E040000}"/>
    <cellStyle name="Total 2 2 33" xfId="1086" xr:uid="{00000000-0005-0000-0000-00001F040000}"/>
    <cellStyle name="Total 2 2 34" xfId="1087" xr:uid="{00000000-0005-0000-0000-000020040000}"/>
    <cellStyle name="Total 2 2 4" xfId="1088" xr:uid="{00000000-0005-0000-0000-000021040000}"/>
    <cellStyle name="Total 2 2 5" xfId="1089" xr:uid="{00000000-0005-0000-0000-000022040000}"/>
    <cellStyle name="Total 2 2 6" xfId="1090" xr:uid="{00000000-0005-0000-0000-000023040000}"/>
    <cellStyle name="Total 2 2 7" xfId="1091" xr:uid="{00000000-0005-0000-0000-000024040000}"/>
    <cellStyle name="Total 2 2 8" xfId="1092" xr:uid="{00000000-0005-0000-0000-000025040000}"/>
    <cellStyle name="Total 2 2 9" xfId="1093" xr:uid="{00000000-0005-0000-0000-000026040000}"/>
    <cellStyle name="Warning Text 2" xfId="68" xr:uid="{00000000-0005-0000-0000-000028040000}"/>
    <cellStyle name="Warning Text 2 2" xfId="159" xr:uid="{00000000-0005-0000-0000-000029040000}"/>
    <cellStyle name="Акцент1" xfId="28" builtinId="29" customBuiltin="1"/>
    <cellStyle name="Акцент1 10" xfId="1094" xr:uid="{00000000-0005-0000-0000-00002A040000}"/>
    <cellStyle name="Акцент1 11" xfId="1095" xr:uid="{00000000-0005-0000-0000-00002B040000}"/>
    <cellStyle name="Акцент1 12" xfId="1096" xr:uid="{00000000-0005-0000-0000-00002C040000}"/>
    <cellStyle name="Акцент1 13" xfId="1097" xr:uid="{00000000-0005-0000-0000-00002D040000}"/>
    <cellStyle name="Акцент1 14" xfId="1098" xr:uid="{00000000-0005-0000-0000-00002E040000}"/>
    <cellStyle name="Акцент1 15" xfId="1099" xr:uid="{00000000-0005-0000-0000-00002F040000}"/>
    <cellStyle name="Акцент1 16" xfId="1100" xr:uid="{00000000-0005-0000-0000-000030040000}"/>
    <cellStyle name="Акцент1 17" xfId="1101" xr:uid="{00000000-0005-0000-0000-000031040000}"/>
    <cellStyle name="Акцент1 18" xfId="1102" xr:uid="{00000000-0005-0000-0000-000032040000}"/>
    <cellStyle name="Акцент1 19" xfId="1103" xr:uid="{00000000-0005-0000-0000-000033040000}"/>
    <cellStyle name="Акцент1 2" xfId="1104" xr:uid="{00000000-0005-0000-0000-000034040000}"/>
    <cellStyle name="Акцент1 20" xfId="1105" xr:uid="{00000000-0005-0000-0000-000035040000}"/>
    <cellStyle name="Акцент1 21" xfId="1106" xr:uid="{00000000-0005-0000-0000-000036040000}"/>
    <cellStyle name="Акцент1 22" xfId="1107" xr:uid="{00000000-0005-0000-0000-000037040000}"/>
    <cellStyle name="Акцент1 23" xfId="1108" xr:uid="{00000000-0005-0000-0000-000038040000}"/>
    <cellStyle name="Акцент1 24" xfId="1109" xr:uid="{00000000-0005-0000-0000-000039040000}"/>
    <cellStyle name="Акцент1 25" xfId="1110" xr:uid="{00000000-0005-0000-0000-00003A040000}"/>
    <cellStyle name="Акцент1 26" xfId="1111" xr:uid="{00000000-0005-0000-0000-00003B040000}"/>
    <cellStyle name="Акцент1 27" xfId="1112" xr:uid="{00000000-0005-0000-0000-00003C040000}"/>
    <cellStyle name="Акцент1 28" xfId="1113" xr:uid="{00000000-0005-0000-0000-00003D040000}"/>
    <cellStyle name="Акцент1 29" xfId="1114" xr:uid="{00000000-0005-0000-0000-00003E040000}"/>
    <cellStyle name="Акцент1 3" xfId="1115" xr:uid="{00000000-0005-0000-0000-00003F040000}"/>
    <cellStyle name="Акцент1 30" xfId="1116" xr:uid="{00000000-0005-0000-0000-000040040000}"/>
    <cellStyle name="Акцент1 31" xfId="1117" xr:uid="{00000000-0005-0000-0000-000041040000}"/>
    <cellStyle name="Акцент1 32" xfId="1118" xr:uid="{00000000-0005-0000-0000-000042040000}"/>
    <cellStyle name="Акцент1 33" xfId="1119" xr:uid="{00000000-0005-0000-0000-000043040000}"/>
    <cellStyle name="Акцент1 34" xfId="1120" xr:uid="{00000000-0005-0000-0000-000044040000}"/>
    <cellStyle name="Акцент1 35" xfId="1121" xr:uid="{00000000-0005-0000-0000-000045040000}"/>
    <cellStyle name="Акцент1 36" xfId="1122" xr:uid="{00000000-0005-0000-0000-000046040000}"/>
    <cellStyle name="Акцент1 4" xfId="1123" xr:uid="{00000000-0005-0000-0000-000047040000}"/>
    <cellStyle name="Акцент1 5" xfId="1124" xr:uid="{00000000-0005-0000-0000-000048040000}"/>
    <cellStyle name="Акцент1 6" xfId="1125" xr:uid="{00000000-0005-0000-0000-000049040000}"/>
    <cellStyle name="Акцент1 7" xfId="1126" xr:uid="{00000000-0005-0000-0000-00004A040000}"/>
    <cellStyle name="Акцент1 8" xfId="1127" xr:uid="{00000000-0005-0000-0000-00004B040000}"/>
    <cellStyle name="Акцент1 9" xfId="1128" xr:uid="{00000000-0005-0000-0000-00004C040000}"/>
    <cellStyle name="Акцент2" xfId="32" builtinId="33" customBuiltin="1"/>
    <cellStyle name="Акцент2 10" xfId="1129" xr:uid="{00000000-0005-0000-0000-00004D040000}"/>
    <cellStyle name="Акцент2 11" xfId="1130" xr:uid="{00000000-0005-0000-0000-00004E040000}"/>
    <cellStyle name="Акцент2 12" xfId="1131" xr:uid="{00000000-0005-0000-0000-00004F040000}"/>
    <cellStyle name="Акцент2 13" xfId="1132" xr:uid="{00000000-0005-0000-0000-000050040000}"/>
    <cellStyle name="Акцент2 14" xfId="1133" xr:uid="{00000000-0005-0000-0000-000051040000}"/>
    <cellStyle name="Акцент2 15" xfId="1134" xr:uid="{00000000-0005-0000-0000-000052040000}"/>
    <cellStyle name="Акцент2 16" xfId="1135" xr:uid="{00000000-0005-0000-0000-000053040000}"/>
    <cellStyle name="Акцент2 17" xfId="1136" xr:uid="{00000000-0005-0000-0000-000054040000}"/>
    <cellStyle name="Акцент2 18" xfId="1137" xr:uid="{00000000-0005-0000-0000-000055040000}"/>
    <cellStyle name="Акцент2 19" xfId="1138" xr:uid="{00000000-0005-0000-0000-000056040000}"/>
    <cellStyle name="Акцент2 2" xfId="1139" xr:uid="{00000000-0005-0000-0000-000057040000}"/>
    <cellStyle name="Акцент2 20" xfId="1140" xr:uid="{00000000-0005-0000-0000-000058040000}"/>
    <cellStyle name="Акцент2 21" xfId="1141" xr:uid="{00000000-0005-0000-0000-000059040000}"/>
    <cellStyle name="Акцент2 22" xfId="1142" xr:uid="{00000000-0005-0000-0000-00005A040000}"/>
    <cellStyle name="Акцент2 23" xfId="1143" xr:uid="{00000000-0005-0000-0000-00005B040000}"/>
    <cellStyle name="Акцент2 24" xfId="1144" xr:uid="{00000000-0005-0000-0000-00005C040000}"/>
    <cellStyle name="Акцент2 25" xfId="1145" xr:uid="{00000000-0005-0000-0000-00005D040000}"/>
    <cellStyle name="Акцент2 26" xfId="1146" xr:uid="{00000000-0005-0000-0000-00005E040000}"/>
    <cellStyle name="Акцент2 27" xfId="1147" xr:uid="{00000000-0005-0000-0000-00005F040000}"/>
    <cellStyle name="Акцент2 28" xfId="1148" xr:uid="{00000000-0005-0000-0000-000060040000}"/>
    <cellStyle name="Акцент2 29" xfId="1149" xr:uid="{00000000-0005-0000-0000-000061040000}"/>
    <cellStyle name="Акцент2 3" xfId="1150" xr:uid="{00000000-0005-0000-0000-000062040000}"/>
    <cellStyle name="Акцент2 30" xfId="1151" xr:uid="{00000000-0005-0000-0000-000063040000}"/>
    <cellStyle name="Акцент2 31" xfId="1152" xr:uid="{00000000-0005-0000-0000-000064040000}"/>
    <cellStyle name="Акцент2 32" xfId="1153" xr:uid="{00000000-0005-0000-0000-000065040000}"/>
    <cellStyle name="Акцент2 33" xfId="1154" xr:uid="{00000000-0005-0000-0000-000066040000}"/>
    <cellStyle name="Акцент2 34" xfId="1155" xr:uid="{00000000-0005-0000-0000-000067040000}"/>
    <cellStyle name="Акцент2 35" xfId="1156" xr:uid="{00000000-0005-0000-0000-000068040000}"/>
    <cellStyle name="Акцент2 36" xfId="1157" xr:uid="{00000000-0005-0000-0000-000069040000}"/>
    <cellStyle name="Акцент2 4" xfId="1158" xr:uid="{00000000-0005-0000-0000-00006A040000}"/>
    <cellStyle name="Акцент2 5" xfId="1159" xr:uid="{00000000-0005-0000-0000-00006B040000}"/>
    <cellStyle name="Акцент2 6" xfId="1160" xr:uid="{00000000-0005-0000-0000-00006C040000}"/>
    <cellStyle name="Акцент2 7" xfId="1161" xr:uid="{00000000-0005-0000-0000-00006D040000}"/>
    <cellStyle name="Акцент2 8" xfId="1162" xr:uid="{00000000-0005-0000-0000-00006E040000}"/>
    <cellStyle name="Акцент2 9" xfId="1163" xr:uid="{00000000-0005-0000-0000-00006F040000}"/>
    <cellStyle name="Акцент3" xfId="36" builtinId="37" customBuiltin="1"/>
    <cellStyle name="Акцент3 10" xfId="1164" xr:uid="{00000000-0005-0000-0000-000070040000}"/>
    <cellStyle name="Акцент3 11" xfId="1165" xr:uid="{00000000-0005-0000-0000-000071040000}"/>
    <cellStyle name="Акцент3 12" xfId="1166" xr:uid="{00000000-0005-0000-0000-000072040000}"/>
    <cellStyle name="Акцент3 13" xfId="1167" xr:uid="{00000000-0005-0000-0000-000073040000}"/>
    <cellStyle name="Акцент3 14" xfId="1168" xr:uid="{00000000-0005-0000-0000-000074040000}"/>
    <cellStyle name="Акцент3 15" xfId="1169" xr:uid="{00000000-0005-0000-0000-000075040000}"/>
    <cellStyle name="Акцент3 16" xfId="1170" xr:uid="{00000000-0005-0000-0000-000076040000}"/>
    <cellStyle name="Акцент3 17" xfId="1171" xr:uid="{00000000-0005-0000-0000-000077040000}"/>
    <cellStyle name="Акцент3 18" xfId="1172" xr:uid="{00000000-0005-0000-0000-000078040000}"/>
    <cellStyle name="Акцент3 19" xfId="1173" xr:uid="{00000000-0005-0000-0000-000079040000}"/>
    <cellStyle name="Акцент3 2" xfId="1174" xr:uid="{00000000-0005-0000-0000-00007A040000}"/>
    <cellStyle name="Акцент3 20" xfId="1175" xr:uid="{00000000-0005-0000-0000-00007B040000}"/>
    <cellStyle name="Акцент3 21" xfId="1176" xr:uid="{00000000-0005-0000-0000-00007C040000}"/>
    <cellStyle name="Акцент3 22" xfId="1177" xr:uid="{00000000-0005-0000-0000-00007D040000}"/>
    <cellStyle name="Акцент3 23" xfId="1178" xr:uid="{00000000-0005-0000-0000-00007E040000}"/>
    <cellStyle name="Акцент3 24" xfId="1179" xr:uid="{00000000-0005-0000-0000-00007F040000}"/>
    <cellStyle name="Акцент3 25" xfId="1180" xr:uid="{00000000-0005-0000-0000-000080040000}"/>
    <cellStyle name="Акцент3 26" xfId="1181" xr:uid="{00000000-0005-0000-0000-000081040000}"/>
    <cellStyle name="Акцент3 27" xfId="1182" xr:uid="{00000000-0005-0000-0000-000082040000}"/>
    <cellStyle name="Акцент3 28" xfId="1183" xr:uid="{00000000-0005-0000-0000-000083040000}"/>
    <cellStyle name="Акцент3 29" xfId="1184" xr:uid="{00000000-0005-0000-0000-000084040000}"/>
    <cellStyle name="Акцент3 3" xfId="1185" xr:uid="{00000000-0005-0000-0000-000085040000}"/>
    <cellStyle name="Акцент3 30" xfId="1186" xr:uid="{00000000-0005-0000-0000-000086040000}"/>
    <cellStyle name="Акцент3 31" xfId="1187" xr:uid="{00000000-0005-0000-0000-000087040000}"/>
    <cellStyle name="Акцент3 32" xfId="1188" xr:uid="{00000000-0005-0000-0000-000088040000}"/>
    <cellStyle name="Акцент3 33" xfId="1189" xr:uid="{00000000-0005-0000-0000-000089040000}"/>
    <cellStyle name="Акцент3 34" xfId="1190" xr:uid="{00000000-0005-0000-0000-00008A040000}"/>
    <cellStyle name="Акцент3 35" xfId="1191" xr:uid="{00000000-0005-0000-0000-00008B040000}"/>
    <cellStyle name="Акцент3 36" xfId="1192" xr:uid="{00000000-0005-0000-0000-00008C040000}"/>
    <cellStyle name="Акцент3 4" xfId="1193" xr:uid="{00000000-0005-0000-0000-00008D040000}"/>
    <cellStyle name="Акцент3 5" xfId="1194" xr:uid="{00000000-0005-0000-0000-00008E040000}"/>
    <cellStyle name="Акцент3 6" xfId="1195" xr:uid="{00000000-0005-0000-0000-00008F040000}"/>
    <cellStyle name="Акцент3 7" xfId="1196" xr:uid="{00000000-0005-0000-0000-000090040000}"/>
    <cellStyle name="Акцент3 8" xfId="1197" xr:uid="{00000000-0005-0000-0000-000091040000}"/>
    <cellStyle name="Акцент3 9" xfId="1198" xr:uid="{00000000-0005-0000-0000-000092040000}"/>
    <cellStyle name="Акцент4" xfId="40" builtinId="41" customBuiltin="1"/>
    <cellStyle name="Акцент4 10" xfId="1199" xr:uid="{00000000-0005-0000-0000-000093040000}"/>
    <cellStyle name="Акцент4 11" xfId="1200" xr:uid="{00000000-0005-0000-0000-000094040000}"/>
    <cellStyle name="Акцент4 12" xfId="1201" xr:uid="{00000000-0005-0000-0000-000095040000}"/>
    <cellStyle name="Акцент4 13" xfId="1202" xr:uid="{00000000-0005-0000-0000-000096040000}"/>
    <cellStyle name="Акцент4 14" xfId="1203" xr:uid="{00000000-0005-0000-0000-000097040000}"/>
    <cellStyle name="Акцент4 15" xfId="1204" xr:uid="{00000000-0005-0000-0000-000098040000}"/>
    <cellStyle name="Акцент4 16" xfId="1205" xr:uid="{00000000-0005-0000-0000-000099040000}"/>
    <cellStyle name="Акцент4 17" xfId="1206" xr:uid="{00000000-0005-0000-0000-00009A040000}"/>
    <cellStyle name="Акцент4 18" xfId="1207" xr:uid="{00000000-0005-0000-0000-00009B040000}"/>
    <cellStyle name="Акцент4 19" xfId="1208" xr:uid="{00000000-0005-0000-0000-00009C040000}"/>
    <cellStyle name="Акцент4 2" xfId="1209" xr:uid="{00000000-0005-0000-0000-00009D040000}"/>
    <cellStyle name="Акцент4 20" xfId="1210" xr:uid="{00000000-0005-0000-0000-00009E040000}"/>
    <cellStyle name="Акцент4 21" xfId="1211" xr:uid="{00000000-0005-0000-0000-00009F040000}"/>
    <cellStyle name="Акцент4 22" xfId="1212" xr:uid="{00000000-0005-0000-0000-0000A0040000}"/>
    <cellStyle name="Акцент4 23" xfId="1213" xr:uid="{00000000-0005-0000-0000-0000A1040000}"/>
    <cellStyle name="Акцент4 24" xfId="1214" xr:uid="{00000000-0005-0000-0000-0000A2040000}"/>
    <cellStyle name="Акцент4 25" xfId="1215" xr:uid="{00000000-0005-0000-0000-0000A3040000}"/>
    <cellStyle name="Акцент4 26" xfId="1216" xr:uid="{00000000-0005-0000-0000-0000A4040000}"/>
    <cellStyle name="Акцент4 27" xfId="1217" xr:uid="{00000000-0005-0000-0000-0000A5040000}"/>
    <cellStyle name="Акцент4 28" xfId="1218" xr:uid="{00000000-0005-0000-0000-0000A6040000}"/>
    <cellStyle name="Акцент4 29" xfId="1219" xr:uid="{00000000-0005-0000-0000-0000A7040000}"/>
    <cellStyle name="Акцент4 3" xfId="1220" xr:uid="{00000000-0005-0000-0000-0000A8040000}"/>
    <cellStyle name="Акцент4 30" xfId="1221" xr:uid="{00000000-0005-0000-0000-0000A9040000}"/>
    <cellStyle name="Акцент4 31" xfId="1222" xr:uid="{00000000-0005-0000-0000-0000AA040000}"/>
    <cellStyle name="Акцент4 32" xfId="1223" xr:uid="{00000000-0005-0000-0000-0000AB040000}"/>
    <cellStyle name="Акцент4 33" xfId="1224" xr:uid="{00000000-0005-0000-0000-0000AC040000}"/>
    <cellStyle name="Акцент4 34" xfId="1225" xr:uid="{00000000-0005-0000-0000-0000AD040000}"/>
    <cellStyle name="Акцент4 35" xfId="1226" xr:uid="{00000000-0005-0000-0000-0000AE040000}"/>
    <cellStyle name="Акцент4 36" xfId="1227" xr:uid="{00000000-0005-0000-0000-0000AF040000}"/>
    <cellStyle name="Акцент4 4" xfId="1228" xr:uid="{00000000-0005-0000-0000-0000B0040000}"/>
    <cellStyle name="Акцент4 5" xfId="1229" xr:uid="{00000000-0005-0000-0000-0000B1040000}"/>
    <cellStyle name="Акцент4 6" xfId="1230" xr:uid="{00000000-0005-0000-0000-0000B2040000}"/>
    <cellStyle name="Акцент4 7" xfId="1231" xr:uid="{00000000-0005-0000-0000-0000B3040000}"/>
    <cellStyle name="Акцент4 8" xfId="1232" xr:uid="{00000000-0005-0000-0000-0000B4040000}"/>
    <cellStyle name="Акцент4 9" xfId="1233" xr:uid="{00000000-0005-0000-0000-0000B5040000}"/>
    <cellStyle name="Акцент5" xfId="44" builtinId="45" customBuiltin="1"/>
    <cellStyle name="Акцент5 10" xfId="1234" xr:uid="{00000000-0005-0000-0000-0000B6040000}"/>
    <cellStyle name="Акцент5 11" xfId="1235" xr:uid="{00000000-0005-0000-0000-0000B7040000}"/>
    <cellStyle name="Акцент5 12" xfId="1236" xr:uid="{00000000-0005-0000-0000-0000B8040000}"/>
    <cellStyle name="Акцент5 13" xfId="1237" xr:uid="{00000000-0005-0000-0000-0000B9040000}"/>
    <cellStyle name="Акцент5 14" xfId="1238" xr:uid="{00000000-0005-0000-0000-0000BA040000}"/>
    <cellStyle name="Акцент5 15" xfId="1239" xr:uid="{00000000-0005-0000-0000-0000BB040000}"/>
    <cellStyle name="Акцент5 16" xfId="1240" xr:uid="{00000000-0005-0000-0000-0000BC040000}"/>
    <cellStyle name="Акцент5 17" xfId="1241" xr:uid="{00000000-0005-0000-0000-0000BD040000}"/>
    <cellStyle name="Акцент5 18" xfId="1242" xr:uid="{00000000-0005-0000-0000-0000BE040000}"/>
    <cellStyle name="Акцент5 19" xfId="1243" xr:uid="{00000000-0005-0000-0000-0000BF040000}"/>
    <cellStyle name="Акцент5 2" xfId="1244" xr:uid="{00000000-0005-0000-0000-0000C0040000}"/>
    <cellStyle name="Акцент5 20" xfId="1245" xr:uid="{00000000-0005-0000-0000-0000C1040000}"/>
    <cellStyle name="Акцент5 21" xfId="1246" xr:uid="{00000000-0005-0000-0000-0000C2040000}"/>
    <cellStyle name="Акцент5 22" xfId="1247" xr:uid="{00000000-0005-0000-0000-0000C3040000}"/>
    <cellStyle name="Акцент5 23" xfId="1248" xr:uid="{00000000-0005-0000-0000-0000C4040000}"/>
    <cellStyle name="Акцент5 24" xfId="1249" xr:uid="{00000000-0005-0000-0000-0000C5040000}"/>
    <cellStyle name="Акцент5 25" xfId="1250" xr:uid="{00000000-0005-0000-0000-0000C6040000}"/>
    <cellStyle name="Акцент5 26" xfId="1251" xr:uid="{00000000-0005-0000-0000-0000C7040000}"/>
    <cellStyle name="Акцент5 27" xfId="1252" xr:uid="{00000000-0005-0000-0000-0000C8040000}"/>
    <cellStyle name="Акцент5 28" xfId="1253" xr:uid="{00000000-0005-0000-0000-0000C9040000}"/>
    <cellStyle name="Акцент5 29" xfId="1254" xr:uid="{00000000-0005-0000-0000-0000CA040000}"/>
    <cellStyle name="Акцент5 3" xfId="1255" xr:uid="{00000000-0005-0000-0000-0000CB040000}"/>
    <cellStyle name="Акцент5 30" xfId="1256" xr:uid="{00000000-0005-0000-0000-0000CC040000}"/>
    <cellStyle name="Акцент5 31" xfId="1257" xr:uid="{00000000-0005-0000-0000-0000CD040000}"/>
    <cellStyle name="Акцент5 32" xfId="1258" xr:uid="{00000000-0005-0000-0000-0000CE040000}"/>
    <cellStyle name="Акцент5 33" xfId="1259" xr:uid="{00000000-0005-0000-0000-0000CF040000}"/>
    <cellStyle name="Акцент5 34" xfId="1260" xr:uid="{00000000-0005-0000-0000-0000D0040000}"/>
    <cellStyle name="Акцент5 35" xfId="1261" xr:uid="{00000000-0005-0000-0000-0000D1040000}"/>
    <cellStyle name="Акцент5 36" xfId="1262" xr:uid="{00000000-0005-0000-0000-0000D2040000}"/>
    <cellStyle name="Акцент5 4" xfId="1263" xr:uid="{00000000-0005-0000-0000-0000D3040000}"/>
    <cellStyle name="Акцент5 5" xfId="1264" xr:uid="{00000000-0005-0000-0000-0000D4040000}"/>
    <cellStyle name="Акцент5 6" xfId="1265" xr:uid="{00000000-0005-0000-0000-0000D5040000}"/>
    <cellStyle name="Акцент5 7" xfId="1266" xr:uid="{00000000-0005-0000-0000-0000D6040000}"/>
    <cellStyle name="Акцент5 8" xfId="1267" xr:uid="{00000000-0005-0000-0000-0000D7040000}"/>
    <cellStyle name="Акцент5 9" xfId="1268" xr:uid="{00000000-0005-0000-0000-0000D8040000}"/>
    <cellStyle name="Акцент6" xfId="48" builtinId="49" customBuiltin="1"/>
    <cellStyle name="Акцент6 10" xfId="1269" xr:uid="{00000000-0005-0000-0000-0000D9040000}"/>
    <cellStyle name="Акцент6 11" xfId="1270" xr:uid="{00000000-0005-0000-0000-0000DA040000}"/>
    <cellStyle name="Акцент6 12" xfId="1271" xr:uid="{00000000-0005-0000-0000-0000DB040000}"/>
    <cellStyle name="Акцент6 13" xfId="1272" xr:uid="{00000000-0005-0000-0000-0000DC040000}"/>
    <cellStyle name="Акцент6 14" xfId="1273" xr:uid="{00000000-0005-0000-0000-0000DD040000}"/>
    <cellStyle name="Акцент6 15" xfId="1274" xr:uid="{00000000-0005-0000-0000-0000DE040000}"/>
    <cellStyle name="Акцент6 16" xfId="1275" xr:uid="{00000000-0005-0000-0000-0000DF040000}"/>
    <cellStyle name="Акцент6 17" xfId="1276" xr:uid="{00000000-0005-0000-0000-0000E0040000}"/>
    <cellStyle name="Акцент6 18" xfId="1277" xr:uid="{00000000-0005-0000-0000-0000E1040000}"/>
    <cellStyle name="Акцент6 19" xfId="1278" xr:uid="{00000000-0005-0000-0000-0000E2040000}"/>
    <cellStyle name="Акцент6 2" xfId="1279" xr:uid="{00000000-0005-0000-0000-0000E3040000}"/>
    <cellStyle name="Акцент6 20" xfId="1280" xr:uid="{00000000-0005-0000-0000-0000E4040000}"/>
    <cellStyle name="Акцент6 21" xfId="1281" xr:uid="{00000000-0005-0000-0000-0000E5040000}"/>
    <cellStyle name="Акцент6 22" xfId="1282" xr:uid="{00000000-0005-0000-0000-0000E6040000}"/>
    <cellStyle name="Акцент6 23" xfId="1283" xr:uid="{00000000-0005-0000-0000-0000E7040000}"/>
    <cellStyle name="Акцент6 24" xfId="1284" xr:uid="{00000000-0005-0000-0000-0000E8040000}"/>
    <cellStyle name="Акцент6 25" xfId="1285" xr:uid="{00000000-0005-0000-0000-0000E9040000}"/>
    <cellStyle name="Акцент6 26" xfId="1286" xr:uid="{00000000-0005-0000-0000-0000EA040000}"/>
    <cellStyle name="Акцент6 27" xfId="1287" xr:uid="{00000000-0005-0000-0000-0000EB040000}"/>
    <cellStyle name="Акцент6 28" xfId="1288" xr:uid="{00000000-0005-0000-0000-0000EC040000}"/>
    <cellStyle name="Акцент6 29" xfId="1289" xr:uid="{00000000-0005-0000-0000-0000ED040000}"/>
    <cellStyle name="Акцент6 3" xfId="1290" xr:uid="{00000000-0005-0000-0000-0000EE040000}"/>
    <cellStyle name="Акцент6 30" xfId="1291" xr:uid="{00000000-0005-0000-0000-0000EF040000}"/>
    <cellStyle name="Акцент6 31" xfId="1292" xr:uid="{00000000-0005-0000-0000-0000F0040000}"/>
    <cellStyle name="Акцент6 32" xfId="1293" xr:uid="{00000000-0005-0000-0000-0000F1040000}"/>
    <cellStyle name="Акцент6 33" xfId="1294" xr:uid="{00000000-0005-0000-0000-0000F2040000}"/>
    <cellStyle name="Акцент6 34" xfId="1295" xr:uid="{00000000-0005-0000-0000-0000F3040000}"/>
    <cellStyle name="Акцент6 35" xfId="1296" xr:uid="{00000000-0005-0000-0000-0000F4040000}"/>
    <cellStyle name="Акцент6 36" xfId="1297" xr:uid="{00000000-0005-0000-0000-0000F5040000}"/>
    <cellStyle name="Акцент6 4" xfId="1298" xr:uid="{00000000-0005-0000-0000-0000F6040000}"/>
    <cellStyle name="Акцент6 5" xfId="1299" xr:uid="{00000000-0005-0000-0000-0000F7040000}"/>
    <cellStyle name="Акцент6 6" xfId="1300" xr:uid="{00000000-0005-0000-0000-0000F8040000}"/>
    <cellStyle name="Акцент6 7" xfId="1301" xr:uid="{00000000-0005-0000-0000-0000F9040000}"/>
    <cellStyle name="Акцент6 8" xfId="1302" xr:uid="{00000000-0005-0000-0000-0000FA040000}"/>
    <cellStyle name="Акцент6 9" xfId="1303" xr:uid="{00000000-0005-0000-0000-0000FB040000}"/>
    <cellStyle name="Беззащитный" xfId="272" xr:uid="{00000000-0005-0000-0000-0000FC040000}"/>
    <cellStyle name="Ввод " xfId="19" builtinId="20" customBuiltin="1"/>
    <cellStyle name="Ввод  10" xfId="1304" xr:uid="{00000000-0005-0000-0000-0000FD040000}"/>
    <cellStyle name="Ввод  11" xfId="1305" xr:uid="{00000000-0005-0000-0000-0000FE040000}"/>
    <cellStyle name="Ввод  12" xfId="1306" xr:uid="{00000000-0005-0000-0000-0000FF040000}"/>
    <cellStyle name="Ввод  13" xfId="1307" xr:uid="{00000000-0005-0000-0000-000000050000}"/>
    <cellStyle name="Ввод  14" xfId="1308" xr:uid="{00000000-0005-0000-0000-000001050000}"/>
    <cellStyle name="Ввод  15" xfId="1309" xr:uid="{00000000-0005-0000-0000-000002050000}"/>
    <cellStyle name="Ввод  16" xfId="1310" xr:uid="{00000000-0005-0000-0000-000003050000}"/>
    <cellStyle name="Ввод  17" xfId="1311" xr:uid="{00000000-0005-0000-0000-000004050000}"/>
    <cellStyle name="Ввод  18" xfId="1312" xr:uid="{00000000-0005-0000-0000-000005050000}"/>
    <cellStyle name="Ввод  19" xfId="1313" xr:uid="{00000000-0005-0000-0000-000006050000}"/>
    <cellStyle name="Ввод  2" xfId="1314" xr:uid="{00000000-0005-0000-0000-000007050000}"/>
    <cellStyle name="Ввод  20" xfId="1315" xr:uid="{00000000-0005-0000-0000-000008050000}"/>
    <cellStyle name="Ввод  21" xfId="1316" xr:uid="{00000000-0005-0000-0000-000009050000}"/>
    <cellStyle name="Ввод  22" xfId="1317" xr:uid="{00000000-0005-0000-0000-00000A050000}"/>
    <cellStyle name="Ввод  23" xfId="1318" xr:uid="{00000000-0005-0000-0000-00000B050000}"/>
    <cellStyle name="Ввод  24" xfId="1319" xr:uid="{00000000-0005-0000-0000-00000C050000}"/>
    <cellStyle name="Ввод  25" xfId="1320" xr:uid="{00000000-0005-0000-0000-00000D050000}"/>
    <cellStyle name="Ввод  26" xfId="1321" xr:uid="{00000000-0005-0000-0000-00000E050000}"/>
    <cellStyle name="Ввод  27" xfId="1322" xr:uid="{00000000-0005-0000-0000-00000F050000}"/>
    <cellStyle name="Ввод  28" xfId="1323" xr:uid="{00000000-0005-0000-0000-000010050000}"/>
    <cellStyle name="Ввод  29" xfId="1324" xr:uid="{00000000-0005-0000-0000-000011050000}"/>
    <cellStyle name="Ввод  3" xfId="1325" xr:uid="{00000000-0005-0000-0000-000012050000}"/>
    <cellStyle name="Ввод  30" xfId="1326" xr:uid="{00000000-0005-0000-0000-000013050000}"/>
    <cellStyle name="Ввод  31" xfId="1327" xr:uid="{00000000-0005-0000-0000-000014050000}"/>
    <cellStyle name="Ввод  32" xfId="1328" xr:uid="{00000000-0005-0000-0000-000015050000}"/>
    <cellStyle name="Ввод  33" xfId="1329" xr:uid="{00000000-0005-0000-0000-000016050000}"/>
    <cellStyle name="Ввод  34" xfId="1330" xr:uid="{00000000-0005-0000-0000-000017050000}"/>
    <cellStyle name="Ввод  35" xfId="1331" xr:uid="{00000000-0005-0000-0000-000018050000}"/>
    <cellStyle name="Ввод  36" xfId="1332" xr:uid="{00000000-0005-0000-0000-000019050000}"/>
    <cellStyle name="Ввод  4" xfId="1333" xr:uid="{00000000-0005-0000-0000-00001A050000}"/>
    <cellStyle name="Ввод  5" xfId="1334" xr:uid="{00000000-0005-0000-0000-00001B050000}"/>
    <cellStyle name="Ввод  6" xfId="1335" xr:uid="{00000000-0005-0000-0000-00001C050000}"/>
    <cellStyle name="Ввод  7" xfId="1336" xr:uid="{00000000-0005-0000-0000-00001D050000}"/>
    <cellStyle name="Ввод  8" xfId="1337" xr:uid="{00000000-0005-0000-0000-00001E050000}"/>
    <cellStyle name="Ввод  9" xfId="1338" xr:uid="{00000000-0005-0000-0000-00001F050000}"/>
    <cellStyle name="Вывод" xfId="20" builtinId="21" customBuiltin="1"/>
    <cellStyle name="Вывод 10" xfId="1339" xr:uid="{00000000-0005-0000-0000-000020050000}"/>
    <cellStyle name="Вывод 11" xfId="1340" xr:uid="{00000000-0005-0000-0000-000021050000}"/>
    <cellStyle name="Вывод 12" xfId="1341" xr:uid="{00000000-0005-0000-0000-000022050000}"/>
    <cellStyle name="Вывод 13" xfId="1342" xr:uid="{00000000-0005-0000-0000-000023050000}"/>
    <cellStyle name="Вывод 14" xfId="1343" xr:uid="{00000000-0005-0000-0000-000024050000}"/>
    <cellStyle name="Вывод 15" xfId="1344" xr:uid="{00000000-0005-0000-0000-000025050000}"/>
    <cellStyle name="Вывод 16" xfId="1345" xr:uid="{00000000-0005-0000-0000-000026050000}"/>
    <cellStyle name="Вывод 17" xfId="1346" xr:uid="{00000000-0005-0000-0000-000027050000}"/>
    <cellStyle name="Вывод 18" xfId="1347" xr:uid="{00000000-0005-0000-0000-000028050000}"/>
    <cellStyle name="Вывод 19" xfId="1348" xr:uid="{00000000-0005-0000-0000-000029050000}"/>
    <cellStyle name="Вывод 2" xfId="1349" xr:uid="{00000000-0005-0000-0000-00002A050000}"/>
    <cellStyle name="Вывод 20" xfId="1350" xr:uid="{00000000-0005-0000-0000-00002B050000}"/>
    <cellStyle name="Вывод 21" xfId="1351" xr:uid="{00000000-0005-0000-0000-00002C050000}"/>
    <cellStyle name="Вывод 22" xfId="1352" xr:uid="{00000000-0005-0000-0000-00002D050000}"/>
    <cellStyle name="Вывод 23" xfId="1353" xr:uid="{00000000-0005-0000-0000-00002E050000}"/>
    <cellStyle name="Вывод 24" xfId="1354" xr:uid="{00000000-0005-0000-0000-00002F050000}"/>
    <cellStyle name="Вывод 25" xfId="1355" xr:uid="{00000000-0005-0000-0000-000030050000}"/>
    <cellStyle name="Вывод 26" xfId="1356" xr:uid="{00000000-0005-0000-0000-000031050000}"/>
    <cellStyle name="Вывод 27" xfId="1357" xr:uid="{00000000-0005-0000-0000-000032050000}"/>
    <cellStyle name="Вывод 28" xfId="1358" xr:uid="{00000000-0005-0000-0000-000033050000}"/>
    <cellStyle name="Вывод 29" xfId="1359" xr:uid="{00000000-0005-0000-0000-000034050000}"/>
    <cellStyle name="Вывод 3" xfId="1360" xr:uid="{00000000-0005-0000-0000-000035050000}"/>
    <cellStyle name="Вывод 30" xfId="1361" xr:uid="{00000000-0005-0000-0000-000036050000}"/>
    <cellStyle name="Вывод 31" xfId="1362" xr:uid="{00000000-0005-0000-0000-000037050000}"/>
    <cellStyle name="Вывод 32" xfId="1363" xr:uid="{00000000-0005-0000-0000-000038050000}"/>
    <cellStyle name="Вывод 33" xfId="1364" xr:uid="{00000000-0005-0000-0000-000039050000}"/>
    <cellStyle name="Вывод 34" xfId="1365" xr:uid="{00000000-0005-0000-0000-00003A050000}"/>
    <cellStyle name="Вывод 35" xfId="1366" xr:uid="{00000000-0005-0000-0000-00003B050000}"/>
    <cellStyle name="Вывод 36" xfId="1367" xr:uid="{00000000-0005-0000-0000-00003C050000}"/>
    <cellStyle name="Вывод 4" xfId="1368" xr:uid="{00000000-0005-0000-0000-00003D050000}"/>
    <cellStyle name="Вывод 5" xfId="1369" xr:uid="{00000000-0005-0000-0000-00003E050000}"/>
    <cellStyle name="Вывод 6" xfId="1370" xr:uid="{00000000-0005-0000-0000-00003F050000}"/>
    <cellStyle name="Вывод 7" xfId="1371" xr:uid="{00000000-0005-0000-0000-000040050000}"/>
    <cellStyle name="Вывод 8" xfId="1372" xr:uid="{00000000-0005-0000-0000-000041050000}"/>
    <cellStyle name="Вывод 9" xfId="1373" xr:uid="{00000000-0005-0000-0000-000042050000}"/>
    <cellStyle name="Вычисление" xfId="21" builtinId="22" customBuiltin="1"/>
    <cellStyle name="Вычисление 10" xfId="1374" xr:uid="{00000000-0005-0000-0000-000043050000}"/>
    <cellStyle name="Вычисление 11" xfId="1375" xr:uid="{00000000-0005-0000-0000-000044050000}"/>
    <cellStyle name="Вычисление 12" xfId="1376" xr:uid="{00000000-0005-0000-0000-000045050000}"/>
    <cellStyle name="Вычисление 13" xfId="1377" xr:uid="{00000000-0005-0000-0000-000046050000}"/>
    <cellStyle name="Вычисление 14" xfId="1378" xr:uid="{00000000-0005-0000-0000-000047050000}"/>
    <cellStyle name="Вычисление 15" xfId="1379" xr:uid="{00000000-0005-0000-0000-000048050000}"/>
    <cellStyle name="Вычисление 16" xfId="1380" xr:uid="{00000000-0005-0000-0000-000049050000}"/>
    <cellStyle name="Вычисление 17" xfId="1381" xr:uid="{00000000-0005-0000-0000-00004A050000}"/>
    <cellStyle name="Вычисление 18" xfId="1382" xr:uid="{00000000-0005-0000-0000-00004B050000}"/>
    <cellStyle name="Вычисление 19" xfId="1383" xr:uid="{00000000-0005-0000-0000-00004C050000}"/>
    <cellStyle name="Вычисление 2" xfId="1384" xr:uid="{00000000-0005-0000-0000-00004D050000}"/>
    <cellStyle name="Вычисление 20" xfId="1385" xr:uid="{00000000-0005-0000-0000-00004E050000}"/>
    <cellStyle name="Вычисление 21" xfId="1386" xr:uid="{00000000-0005-0000-0000-00004F050000}"/>
    <cellStyle name="Вычисление 22" xfId="1387" xr:uid="{00000000-0005-0000-0000-000050050000}"/>
    <cellStyle name="Вычисление 23" xfId="1388" xr:uid="{00000000-0005-0000-0000-000051050000}"/>
    <cellStyle name="Вычисление 24" xfId="1389" xr:uid="{00000000-0005-0000-0000-000052050000}"/>
    <cellStyle name="Вычисление 25" xfId="1390" xr:uid="{00000000-0005-0000-0000-000053050000}"/>
    <cellStyle name="Вычисление 26" xfId="1391" xr:uid="{00000000-0005-0000-0000-000054050000}"/>
    <cellStyle name="Вычисление 27" xfId="1392" xr:uid="{00000000-0005-0000-0000-000055050000}"/>
    <cellStyle name="Вычисление 28" xfId="1393" xr:uid="{00000000-0005-0000-0000-000056050000}"/>
    <cellStyle name="Вычисление 29" xfId="1394" xr:uid="{00000000-0005-0000-0000-000057050000}"/>
    <cellStyle name="Вычисление 3" xfId="1395" xr:uid="{00000000-0005-0000-0000-000058050000}"/>
    <cellStyle name="Вычисление 30" xfId="1396" xr:uid="{00000000-0005-0000-0000-000059050000}"/>
    <cellStyle name="Вычисление 31" xfId="1397" xr:uid="{00000000-0005-0000-0000-00005A050000}"/>
    <cellStyle name="Вычисление 32" xfId="1398" xr:uid="{00000000-0005-0000-0000-00005B050000}"/>
    <cellStyle name="Вычисление 33" xfId="1399" xr:uid="{00000000-0005-0000-0000-00005C050000}"/>
    <cellStyle name="Вычисление 34" xfId="1400" xr:uid="{00000000-0005-0000-0000-00005D050000}"/>
    <cellStyle name="Вычисление 35" xfId="1401" xr:uid="{00000000-0005-0000-0000-00005E050000}"/>
    <cellStyle name="Вычисление 36" xfId="1402" xr:uid="{00000000-0005-0000-0000-00005F050000}"/>
    <cellStyle name="Вычисление 4" xfId="1403" xr:uid="{00000000-0005-0000-0000-000060050000}"/>
    <cellStyle name="Вычисление 5" xfId="1404" xr:uid="{00000000-0005-0000-0000-000061050000}"/>
    <cellStyle name="Вычисление 6" xfId="1405" xr:uid="{00000000-0005-0000-0000-000062050000}"/>
    <cellStyle name="Вычисление 7" xfId="1406" xr:uid="{00000000-0005-0000-0000-000063050000}"/>
    <cellStyle name="Вычисление 8" xfId="1407" xr:uid="{00000000-0005-0000-0000-000064050000}"/>
    <cellStyle name="Вычисление 9" xfId="1408" xr:uid="{00000000-0005-0000-0000-000065050000}"/>
    <cellStyle name="Заголовок 1" xfId="12" builtinId="16" customBuiltin="1"/>
    <cellStyle name="Заголовок 1 10" xfId="1409" xr:uid="{00000000-0005-0000-0000-000066050000}"/>
    <cellStyle name="Заголовок 1 11" xfId="1410" xr:uid="{00000000-0005-0000-0000-000067050000}"/>
    <cellStyle name="Заголовок 1 12" xfId="1411" xr:uid="{00000000-0005-0000-0000-000068050000}"/>
    <cellStyle name="Заголовок 1 13" xfId="1412" xr:uid="{00000000-0005-0000-0000-000069050000}"/>
    <cellStyle name="Заголовок 1 14" xfId="1413" xr:uid="{00000000-0005-0000-0000-00006A050000}"/>
    <cellStyle name="Заголовок 1 15" xfId="1414" xr:uid="{00000000-0005-0000-0000-00006B050000}"/>
    <cellStyle name="Заголовок 1 16" xfId="1415" xr:uid="{00000000-0005-0000-0000-00006C050000}"/>
    <cellStyle name="Заголовок 1 17" xfId="1416" xr:uid="{00000000-0005-0000-0000-00006D050000}"/>
    <cellStyle name="Заголовок 1 18" xfId="1417" xr:uid="{00000000-0005-0000-0000-00006E050000}"/>
    <cellStyle name="Заголовок 1 19" xfId="1418" xr:uid="{00000000-0005-0000-0000-00006F050000}"/>
    <cellStyle name="Заголовок 1 2" xfId="1419" xr:uid="{00000000-0005-0000-0000-000070050000}"/>
    <cellStyle name="Заголовок 1 20" xfId="1420" xr:uid="{00000000-0005-0000-0000-000071050000}"/>
    <cellStyle name="Заголовок 1 21" xfId="1421" xr:uid="{00000000-0005-0000-0000-000072050000}"/>
    <cellStyle name="Заголовок 1 22" xfId="1422" xr:uid="{00000000-0005-0000-0000-000073050000}"/>
    <cellStyle name="Заголовок 1 23" xfId="1423" xr:uid="{00000000-0005-0000-0000-000074050000}"/>
    <cellStyle name="Заголовок 1 24" xfId="1424" xr:uid="{00000000-0005-0000-0000-000075050000}"/>
    <cellStyle name="Заголовок 1 25" xfId="1425" xr:uid="{00000000-0005-0000-0000-000076050000}"/>
    <cellStyle name="Заголовок 1 26" xfId="1426" xr:uid="{00000000-0005-0000-0000-000077050000}"/>
    <cellStyle name="Заголовок 1 27" xfId="1427" xr:uid="{00000000-0005-0000-0000-000078050000}"/>
    <cellStyle name="Заголовок 1 28" xfId="1428" xr:uid="{00000000-0005-0000-0000-000079050000}"/>
    <cellStyle name="Заголовок 1 29" xfId="1429" xr:uid="{00000000-0005-0000-0000-00007A050000}"/>
    <cellStyle name="Заголовок 1 3" xfId="1430" xr:uid="{00000000-0005-0000-0000-00007B050000}"/>
    <cellStyle name="Заголовок 1 30" xfId="1431" xr:uid="{00000000-0005-0000-0000-00007C050000}"/>
    <cellStyle name="Заголовок 1 31" xfId="1432" xr:uid="{00000000-0005-0000-0000-00007D050000}"/>
    <cellStyle name="Заголовок 1 32" xfId="1433" xr:uid="{00000000-0005-0000-0000-00007E050000}"/>
    <cellStyle name="Заголовок 1 33" xfId="1434" xr:uid="{00000000-0005-0000-0000-00007F050000}"/>
    <cellStyle name="Заголовок 1 34" xfId="1435" xr:uid="{00000000-0005-0000-0000-000080050000}"/>
    <cellStyle name="Заголовок 1 35" xfId="1436" xr:uid="{00000000-0005-0000-0000-000081050000}"/>
    <cellStyle name="Заголовок 1 36" xfId="1437" xr:uid="{00000000-0005-0000-0000-000082050000}"/>
    <cellStyle name="Заголовок 1 4" xfId="1438" xr:uid="{00000000-0005-0000-0000-000083050000}"/>
    <cellStyle name="Заголовок 1 5" xfId="1439" xr:uid="{00000000-0005-0000-0000-000084050000}"/>
    <cellStyle name="Заголовок 1 6" xfId="1440" xr:uid="{00000000-0005-0000-0000-000085050000}"/>
    <cellStyle name="Заголовок 1 7" xfId="1441" xr:uid="{00000000-0005-0000-0000-000086050000}"/>
    <cellStyle name="Заголовок 1 8" xfId="1442" xr:uid="{00000000-0005-0000-0000-000087050000}"/>
    <cellStyle name="Заголовок 1 9" xfId="1443" xr:uid="{00000000-0005-0000-0000-000088050000}"/>
    <cellStyle name="Заголовок 2" xfId="13" builtinId="17" customBuiltin="1"/>
    <cellStyle name="Заголовок 2 10" xfId="1444" xr:uid="{00000000-0005-0000-0000-000089050000}"/>
    <cellStyle name="Заголовок 2 11" xfId="1445" xr:uid="{00000000-0005-0000-0000-00008A050000}"/>
    <cellStyle name="Заголовок 2 12" xfId="1446" xr:uid="{00000000-0005-0000-0000-00008B050000}"/>
    <cellStyle name="Заголовок 2 13" xfId="1447" xr:uid="{00000000-0005-0000-0000-00008C050000}"/>
    <cellStyle name="Заголовок 2 14" xfId="1448" xr:uid="{00000000-0005-0000-0000-00008D050000}"/>
    <cellStyle name="Заголовок 2 15" xfId="1449" xr:uid="{00000000-0005-0000-0000-00008E050000}"/>
    <cellStyle name="Заголовок 2 16" xfId="1450" xr:uid="{00000000-0005-0000-0000-00008F050000}"/>
    <cellStyle name="Заголовок 2 17" xfId="1451" xr:uid="{00000000-0005-0000-0000-000090050000}"/>
    <cellStyle name="Заголовок 2 18" xfId="1452" xr:uid="{00000000-0005-0000-0000-000091050000}"/>
    <cellStyle name="Заголовок 2 19" xfId="1453" xr:uid="{00000000-0005-0000-0000-000092050000}"/>
    <cellStyle name="Заголовок 2 2" xfId="1454" xr:uid="{00000000-0005-0000-0000-000093050000}"/>
    <cellStyle name="Заголовок 2 20" xfId="1455" xr:uid="{00000000-0005-0000-0000-000094050000}"/>
    <cellStyle name="Заголовок 2 21" xfId="1456" xr:uid="{00000000-0005-0000-0000-000095050000}"/>
    <cellStyle name="Заголовок 2 22" xfId="1457" xr:uid="{00000000-0005-0000-0000-000096050000}"/>
    <cellStyle name="Заголовок 2 23" xfId="1458" xr:uid="{00000000-0005-0000-0000-000097050000}"/>
    <cellStyle name="Заголовок 2 24" xfId="1459" xr:uid="{00000000-0005-0000-0000-000098050000}"/>
    <cellStyle name="Заголовок 2 25" xfId="1460" xr:uid="{00000000-0005-0000-0000-000099050000}"/>
    <cellStyle name="Заголовок 2 26" xfId="1461" xr:uid="{00000000-0005-0000-0000-00009A050000}"/>
    <cellStyle name="Заголовок 2 27" xfId="1462" xr:uid="{00000000-0005-0000-0000-00009B050000}"/>
    <cellStyle name="Заголовок 2 28" xfId="1463" xr:uid="{00000000-0005-0000-0000-00009C050000}"/>
    <cellStyle name="Заголовок 2 29" xfId="1464" xr:uid="{00000000-0005-0000-0000-00009D050000}"/>
    <cellStyle name="Заголовок 2 3" xfId="1465" xr:uid="{00000000-0005-0000-0000-00009E050000}"/>
    <cellStyle name="Заголовок 2 30" xfId="1466" xr:uid="{00000000-0005-0000-0000-00009F050000}"/>
    <cellStyle name="Заголовок 2 31" xfId="1467" xr:uid="{00000000-0005-0000-0000-0000A0050000}"/>
    <cellStyle name="Заголовок 2 32" xfId="1468" xr:uid="{00000000-0005-0000-0000-0000A1050000}"/>
    <cellStyle name="Заголовок 2 33" xfId="1469" xr:uid="{00000000-0005-0000-0000-0000A2050000}"/>
    <cellStyle name="Заголовок 2 34" xfId="1470" xr:uid="{00000000-0005-0000-0000-0000A3050000}"/>
    <cellStyle name="Заголовок 2 35" xfId="1471" xr:uid="{00000000-0005-0000-0000-0000A4050000}"/>
    <cellStyle name="Заголовок 2 36" xfId="1472" xr:uid="{00000000-0005-0000-0000-0000A5050000}"/>
    <cellStyle name="Заголовок 2 4" xfId="1473" xr:uid="{00000000-0005-0000-0000-0000A6050000}"/>
    <cellStyle name="Заголовок 2 5" xfId="1474" xr:uid="{00000000-0005-0000-0000-0000A7050000}"/>
    <cellStyle name="Заголовок 2 6" xfId="1475" xr:uid="{00000000-0005-0000-0000-0000A8050000}"/>
    <cellStyle name="Заголовок 2 7" xfId="1476" xr:uid="{00000000-0005-0000-0000-0000A9050000}"/>
    <cellStyle name="Заголовок 2 8" xfId="1477" xr:uid="{00000000-0005-0000-0000-0000AA050000}"/>
    <cellStyle name="Заголовок 2 9" xfId="1478" xr:uid="{00000000-0005-0000-0000-0000AB050000}"/>
    <cellStyle name="Заголовок 3" xfId="14" builtinId="18" customBuiltin="1"/>
    <cellStyle name="Заголовок 3 10" xfId="1479" xr:uid="{00000000-0005-0000-0000-0000AC050000}"/>
    <cellStyle name="Заголовок 3 11" xfId="1480" xr:uid="{00000000-0005-0000-0000-0000AD050000}"/>
    <cellStyle name="Заголовок 3 12" xfId="1481" xr:uid="{00000000-0005-0000-0000-0000AE050000}"/>
    <cellStyle name="Заголовок 3 13" xfId="1482" xr:uid="{00000000-0005-0000-0000-0000AF050000}"/>
    <cellStyle name="Заголовок 3 14" xfId="1483" xr:uid="{00000000-0005-0000-0000-0000B0050000}"/>
    <cellStyle name="Заголовок 3 15" xfId="1484" xr:uid="{00000000-0005-0000-0000-0000B1050000}"/>
    <cellStyle name="Заголовок 3 16" xfId="1485" xr:uid="{00000000-0005-0000-0000-0000B2050000}"/>
    <cellStyle name="Заголовок 3 17" xfId="1486" xr:uid="{00000000-0005-0000-0000-0000B3050000}"/>
    <cellStyle name="Заголовок 3 18" xfId="1487" xr:uid="{00000000-0005-0000-0000-0000B4050000}"/>
    <cellStyle name="Заголовок 3 19" xfId="1488" xr:uid="{00000000-0005-0000-0000-0000B5050000}"/>
    <cellStyle name="Заголовок 3 2" xfId="1489" xr:uid="{00000000-0005-0000-0000-0000B6050000}"/>
    <cellStyle name="Заголовок 3 20" xfId="1490" xr:uid="{00000000-0005-0000-0000-0000B7050000}"/>
    <cellStyle name="Заголовок 3 21" xfId="1491" xr:uid="{00000000-0005-0000-0000-0000B8050000}"/>
    <cellStyle name="Заголовок 3 22" xfId="1492" xr:uid="{00000000-0005-0000-0000-0000B9050000}"/>
    <cellStyle name="Заголовок 3 23" xfId="1493" xr:uid="{00000000-0005-0000-0000-0000BA050000}"/>
    <cellStyle name="Заголовок 3 24" xfId="1494" xr:uid="{00000000-0005-0000-0000-0000BB050000}"/>
    <cellStyle name="Заголовок 3 25" xfId="1495" xr:uid="{00000000-0005-0000-0000-0000BC050000}"/>
    <cellStyle name="Заголовок 3 26" xfId="1496" xr:uid="{00000000-0005-0000-0000-0000BD050000}"/>
    <cellStyle name="Заголовок 3 27" xfId="1497" xr:uid="{00000000-0005-0000-0000-0000BE050000}"/>
    <cellStyle name="Заголовок 3 28" xfId="1498" xr:uid="{00000000-0005-0000-0000-0000BF050000}"/>
    <cellStyle name="Заголовок 3 29" xfId="1499" xr:uid="{00000000-0005-0000-0000-0000C0050000}"/>
    <cellStyle name="Заголовок 3 3" xfId="1500" xr:uid="{00000000-0005-0000-0000-0000C1050000}"/>
    <cellStyle name="Заголовок 3 30" xfId="1501" xr:uid="{00000000-0005-0000-0000-0000C2050000}"/>
    <cellStyle name="Заголовок 3 31" xfId="1502" xr:uid="{00000000-0005-0000-0000-0000C3050000}"/>
    <cellStyle name="Заголовок 3 32" xfId="1503" xr:uid="{00000000-0005-0000-0000-0000C4050000}"/>
    <cellStyle name="Заголовок 3 33" xfId="1504" xr:uid="{00000000-0005-0000-0000-0000C5050000}"/>
    <cellStyle name="Заголовок 3 34" xfId="1505" xr:uid="{00000000-0005-0000-0000-0000C6050000}"/>
    <cellStyle name="Заголовок 3 35" xfId="1506" xr:uid="{00000000-0005-0000-0000-0000C7050000}"/>
    <cellStyle name="Заголовок 3 36" xfId="1507" xr:uid="{00000000-0005-0000-0000-0000C8050000}"/>
    <cellStyle name="Заголовок 3 4" xfId="1508" xr:uid="{00000000-0005-0000-0000-0000C9050000}"/>
    <cellStyle name="Заголовок 3 5" xfId="1509" xr:uid="{00000000-0005-0000-0000-0000CA050000}"/>
    <cellStyle name="Заголовок 3 6" xfId="1510" xr:uid="{00000000-0005-0000-0000-0000CB050000}"/>
    <cellStyle name="Заголовок 3 7" xfId="1511" xr:uid="{00000000-0005-0000-0000-0000CC050000}"/>
    <cellStyle name="Заголовок 3 8" xfId="1512" xr:uid="{00000000-0005-0000-0000-0000CD050000}"/>
    <cellStyle name="Заголовок 3 9" xfId="1513" xr:uid="{00000000-0005-0000-0000-0000CE050000}"/>
    <cellStyle name="Заголовок 4" xfId="15" builtinId="19" customBuiltin="1"/>
    <cellStyle name="Заголовок 4 10" xfId="1514" xr:uid="{00000000-0005-0000-0000-0000CF050000}"/>
    <cellStyle name="Заголовок 4 11" xfId="1515" xr:uid="{00000000-0005-0000-0000-0000D0050000}"/>
    <cellStyle name="Заголовок 4 12" xfId="1516" xr:uid="{00000000-0005-0000-0000-0000D1050000}"/>
    <cellStyle name="Заголовок 4 13" xfId="1517" xr:uid="{00000000-0005-0000-0000-0000D2050000}"/>
    <cellStyle name="Заголовок 4 14" xfId="1518" xr:uid="{00000000-0005-0000-0000-0000D3050000}"/>
    <cellStyle name="Заголовок 4 15" xfId="1519" xr:uid="{00000000-0005-0000-0000-0000D4050000}"/>
    <cellStyle name="Заголовок 4 16" xfId="1520" xr:uid="{00000000-0005-0000-0000-0000D5050000}"/>
    <cellStyle name="Заголовок 4 17" xfId="1521" xr:uid="{00000000-0005-0000-0000-0000D6050000}"/>
    <cellStyle name="Заголовок 4 18" xfId="1522" xr:uid="{00000000-0005-0000-0000-0000D7050000}"/>
    <cellStyle name="Заголовок 4 19" xfId="1523" xr:uid="{00000000-0005-0000-0000-0000D8050000}"/>
    <cellStyle name="Заголовок 4 2" xfId="1524" xr:uid="{00000000-0005-0000-0000-0000D9050000}"/>
    <cellStyle name="Заголовок 4 20" xfId="1525" xr:uid="{00000000-0005-0000-0000-0000DA050000}"/>
    <cellStyle name="Заголовок 4 21" xfId="1526" xr:uid="{00000000-0005-0000-0000-0000DB050000}"/>
    <cellStyle name="Заголовок 4 22" xfId="1527" xr:uid="{00000000-0005-0000-0000-0000DC050000}"/>
    <cellStyle name="Заголовок 4 23" xfId="1528" xr:uid="{00000000-0005-0000-0000-0000DD050000}"/>
    <cellStyle name="Заголовок 4 24" xfId="1529" xr:uid="{00000000-0005-0000-0000-0000DE050000}"/>
    <cellStyle name="Заголовок 4 25" xfId="1530" xr:uid="{00000000-0005-0000-0000-0000DF050000}"/>
    <cellStyle name="Заголовок 4 26" xfId="1531" xr:uid="{00000000-0005-0000-0000-0000E0050000}"/>
    <cellStyle name="Заголовок 4 27" xfId="1532" xr:uid="{00000000-0005-0000-0000-0000E1050000}"/>
    <cellStyle name="Заголовок 4 28" xfId="1533" xr:uid="{00000000-0005-0000-0000-0000E2050000}"/>
    <cellStyle name="Заголовок 4 29" xfId="1534" xr:uid="{00000000-0005-0000-0000-0000E3050000}"/>
    <cellStyle name="Заголовок 4 3" xfId="1535" xr:uid="{00000000-0005-0000-0000-0000E4050000}"/>
    <cellStyle name="Заголовок 4 30" xfId="1536" xr:uid="{00000000-0005-0000-0000-0000E5050000}"/>
    <cellStyle name="Заголовок 4 31" xfId="1537" xr:uid="{00000000-0005-0000-0000-0000E6050000}"/>
    <cellStyle name="Заголовок 4 32" xfId="1538" xr:uid="{00000000-0005-0000-0000-0000E7050000}"/>
    <cellStyle name="Заголовок 4 33" xfId="1539" xr:uid="{00000000-0005-0000-0000-0000E8050000}"/>
    <cellStyle name="Заголовок 4 34" xfId="1540" xr:uid="{00000000-0005-0000-0000-0000E9050000}"/>
    <cellStyle name="Заголовок 4 35" xfId="1541" xr:uid="{00000000-0005-0000-0000-0000EA050000}"/>
    <cellStyle name="Заголовок 4 36" xfId="1542" xr:uid="{00000000-0005-0000-0000-0000EB050000}"/>
    <cellStyle name="Заголовок 4 4" xfId="1543" xr:uid="{00000000-0005-0000-0000-0000EC050000}"/>
    <cellStyle name="Заголовок 4 5" xfId="1544" xr:uid="{00000000-0005-0000-0000-0000ED050000}"/>
    <cellStyle name="Заголовок 4 6" xfId="1545" xr:uid="{00000000-0005-0000-0000-0000EE050000}"/>
    <cellStyle name="Заголовок 4 7" xfId="1546" xr:uid="{00000000-0005-0000-0000-0000EF050000}"/>
    <cellStyle name="Заголовок 4 8" xfId="1547" xr:uid="{00000000-0005-0000-0000-0000F0050000}"/>
    <cellStyle name="Заголовок 4 9" xfId="1548" xr:uid="{00000000-0005-0000-0000-0000F1050000}"/>
    <cellStyle name="Защитный" xfId="273" xr:uid="{00000000-0005-0000-0000-0000F2050000}"/>
    <cellStyle name="Итог" xfId="27" builtinId="25" customBuiltin="1"/>
    <cellStyle name="Итог 10" xfId="1549" xr:uid="{00000000-0005-0000-0000-0000F3050000}"/>
    <cellStyle name="Итог 11" xfId="1550" xr:uid="{00000000-0005-0000-0000-0000F4050000}"/>
    <cellStyle name="Итог 12" xfId="1551" xr:uid="{00000000-0005-0000-0000-0000F5050000}"/>
    <cellStyle name="Итог 13" xfId="1552" xr:uid="{00000000-0005-0000-0000-0000F6050000}"/>
    <cellStyle name="Итог 14" xfId="1553" xr:uid="{00000000-0005-0000-0000-0000F7050000}"/>
    <cellStyle name="Итог 15" xfId="1554" xr:uid="{00000000-0005-0000-0000-0000F8050000}"/>
    <cellStyle name="Итог 16" xfId="1555" xr:uid="{00000000-0005-0000-0000-0000F9050000}"/>
    <cellStyle name="Итог 17" xfId="1556" xr:uid="{00000000-0005-0000-0000-0000FA050000}"/>
    <cellStyle name="Итог 18" xfId="1557" xr:uid="{00000000-0005-0000-0000-0000FB050000}"/>
    <cellStyle name="Итог 19" xfId="1558" xr:uid="{00000000-0005-0000-0000-0000FC050000}"/>
    <cellStyle name="Итог 2" xfId="1559" xr:uid="{00000000-0005-0000-0000-0000FD050000}"/>
    <cellStyle name="Итог 20" xfId="1560" xr:uid="{00000000-0005-0000-0000-0000FE050000}"/>
    <cellStyle name="Итог 21" xfId="1561" xr:uid="{00000000-0005-0000-0000-0000FF050000}"/>
    <cellStyle name="Итог 22" xfId="1562" xr:uid="{00000000-0005-0000-0000-000000060000}"/>
    <cellStyle name="Итог 23" xfId="1563" xr:uid="{00000000-0005-0000-0000-000001060000}"/>
    <cellStyle name="Итог 24" xfId="1564" xr:uid="{00000000-0005-0000-0000-000002060000}"/>
    <cellStyle name="Итог 25" xfId="1565" xr:uid="{00000000-0005-0000-0000-000003060000}"/>
    <cellStyle name="Итог 26" xfId="1566" xr:uid="{00000000-0005-0000-0000-000004060000}"/>
    <cellStyle name="Итог 27" xfId="1567" xr:uid="{00000000-0005-0000-0000-000005060000}"/>
    <cellStyle name="Итог 28" xfId="1568" xr:uid="{00000000-0005-0000-0000-000006060000}"/>
    <cellStyle name="Итог 29" xfId="1569" xr:uid="{00000000-0005-0000-0000-000007060000}"/>
    <cellStyle name="Итог 3" xfId="1570" xr:uid="{00000000-0005-0000-0000-000008060000}"/>
    <cellStyle name="Итог 30" xfId="1571" xr:uid="{00000000-0005-0000-0000-000009060000}"/>
    <cellStyle name="Итог 31" xfId="1572" xr:uid="{00000000-0005-0000-0000-00000A060000}"/>
    <cellStyle name="Итог 32" xfId="1573" xr:uid="{00000000-0005-0000-0000-00000B060000}"/>
    <cellStyle name="Итог 33" xfId="1574" xr:uid="{00000000-0005-0000-0000-00000C060000}"/>
    <cellStyle name="Итог 34" xfId="1575" xr:uid="{00000000-0005-0000-0000-00000D060000}"/>
    <cellStyle name="Итог 35" xfId="1576" xr:uid="{00000000-0005-0000-0000-00000E060000}"/>
    <cellStyle name="Итог 36" xfId="1577" xr:uid="{00000000-0005-0000-0000-00000F060000}"/>
    <cellStyle name="Итог 4" xfId="1578" xr:uid="{00000000-0005-0000-0000-000010060000}"/>
    <cellStyle name="Итог 5" xfId="1579" xr:uid="{00000000-0005-0000-0000-000011060000}"/>
    <cellStyle name="Итог 6" xfId="1580" xr:uid="{00000000-0005-0000-0000-000012060000}"/>
    <cellStyle name="Итог 7" xfId="1581" xr:uid="{00000000-0005-0000-0000-000013060000}"/>
    <cellStyle name="Итог 8" xfId="1582" xr:uid="{00000000-0005-0000-0000-000014060000}"/>
    <cellStyle name="Итог 9" xfId="1583" xr:uid="{00000000-0005-0000-0000-000015060000}"/>
    <cellStyle name="Контрольная ячейка" xfId="23" builtinId="23" customBuiltin="1"/>
    <cellStyle name="Контрольная ячейка 10" xfId="1584" xr:uid="{00000000-0005-0000-0000-000016060000}"/>
    <cellStyle name="Контрольная ячейка 11" xfId="1585" xr:uid="{00000000-0005-0000-0000-000017060000}"/>
    <cellStyle name="Контрольная ячейка 12" xfId="1586" xr:uid="{00000000-0005-0000-0000-000018060000}"/>
    <cellStyle name="Контрольная ячейка 13" xfId="1587" xr:uid="{00000000-0005-0000-0000-000019060000}"/>
    <cellStyle name="Контрольная ячейка 14" xfId="1588" xr:uid="{00000000-0005-0000-0000-00001A060000}"/>
    <cellStyle name="Контрольная ячейка 15" xfId="1589" xr:uid="{00000000-0005-0000-0000-00001B060000}"/>
    <cellStyle name="Контрольная ячейка 16" xfId="1590" xr:uid="{00000000-0005-0000-0000-00001C060000}"/>
    <cellStyle name="Контрольная ячейка 17" xfId="1591" xr:uid="{00000000-0005-0000-0000-00001D060000}"/>
    <cellStyle name="Контрольная ячейка 18" xfId="1592" xr:uid="{00000000-0005-0000-0000-00001E060000}"/>
    <cellStyle name="Контрольная ячейка 19" xfId="1593" xr:uid="{00000000-0005-0000-0000-00001F060000}"/>
    <cellStyle name="Контрольная ячейка 2" xfId="1594" xr:uid="{00000000-0005-0000-0000-000020060000}"/>
    <cellStyle name="Контрольная ячейка 20" xfId="1595" xr:uid="{00000000-0005-0000-0000-000021060000}"/>
    <cellStyle name="Контрольная ячейка 21" xfId="1596" xr:uid="{00000000-0005-0000-0000-000022060000}"/>
    <cellStyle name="Контрольная ячейка 22" xfId="1597" xr:uid="{00000000-0005-0000-0000-000023060000}"/>
    <cellStyle name="Контрольная ячейка 23" xfId="1598" xr:uid="{00000000-0005-0000-0000-000024060000}"/>
    <cellStyle name="Контрольная ячейка 24" xfId="1599" xr:uid="{00000000-0005-0000-0000-000025060000}"/>
    <cellStyle name="Контрольная ячейка 25" xfId="1600" xr:uid="{00000000-0005-0000-0000-000026060000}"/>
    <cellStyle name="Контрольная ячейка 26" xfId="1601" xr:uid="{00000000-0005-0000-0000-000027060000}"/>
    <cellStyle name="Контрольная ячейка 27" xfId="1602" xr:uid="{00000000-0005-0000-0000-000028060000}"/>
    <cellStyle name="Контрольная ячейка 28" xfId="1603" xr:uid="{00000000-0005-0000-0000-000029060000}"/>
    <cellStyle name="Контрольная ячейка 29" xfId="1604" xr:uid="{00000000-0005-0000-0000-00002A060000}"/>
    <cellStyle name="Контрольная ячейка 3" xfId="1605" xr:uid="{00000000-0005-0000-0000-00002B060000}"/>
    <cellStyle name="Контрольная ячейка 30" xfId="1606" xr:uid="{00000000-0005-0000-0000-00002C060000}"/>
    <cellStyle name="Контрольная ячейка 31" xfId="1607" xr:uid="{00000000-0005-0000-0000-00002D060000}"/>
    <cellStyle name="Контрольная ячейка 32" xfId="1608" xr:uid="{00000000-0005-0000-0000-00002E060000}"/>
    <cellStyle name="Контрольная ячейка 33" xfId="1609" xr:uid="{00000000-0005-0000-0000-00002F060000}"/>
    <cellStyle name="Контрольная ячейка 34" xfId="1610" xr:uid="{00000000-0005-0000-0000-000030060000}"/>
    <cellStyle name="Контрольная ячейка 35" xfId="1611" xr:uid="{00000000-0005-0000-0000-000031060000}"/>
    <cellStyle name="Контрольная ячейка 36" xfId="1612" xr:uid="{00000000-0005-0000-0000-000032060000}"/>
    <cellStyle name="Контрольная ячейка 4" xfId="1613" xr:uid="{00000000-0005-0000-0000-000033060000}"/>
    <cellStyle name="Контрольная ячейка 5" xfId="1614" xr:uid="{00000000-0005-0000-0000-000034060000}"/>
    <cellStyle name="Контрольная ячейка 6" xfId="1615" xr:uid="{00000000-0005-0000-0000-000035060000}"/>
    <cellStyle name="Контрольная ячейка 7" xfId="1616" xr:uid="{00000000-0005-0000-0000-000036060000}"/>
    <cellStyle name="Контрольная ячейка 8" xfId="1617" xr:uid="{00000000-0005-0000-0000-000037060000}"/>
    <cellStyle name="Контрольная ячейка 9" xfId="1618" xr:uid="{00000000-0005-0000-0000-000038060000}"/>
    <cellStyle name="Нейтральный" xfId="18" builtinId="28" customBuiltin="1"/>
    <cellStyle name="Нейтральный 10" xfId="1619" xr:uid="{00000000-0005-0000-0000-000039060000}"/>
    <cellStyle name="Нейтральный 11" xfId="1620" xr:uid="{00000000-0005-0000-0000-00003A060000}"/>
    <cellStyle name="Нейтральный 12" xfId="1621" xr:uid="{00000000-0005-0000-0000-00003B060000}"/>
    <cellStyle name="Нейтральный 13" xfId="1622" xr:uid="{00000000-0005-0000-0000-00003C060000}"/>
    <cellStyle name="Нейтральный 14" xfId="1623" xr:uid="{00000000-0005-0000-0000-00003D060000}"/>
    <cellStyle name="Нейтральный 15" xfId="1624" xr:uid="{00000000-0005-0000-0000-00003E060000}"/>
    <cellStyle name="Нейтральный 16" xfId="1625" xr:uid="{00000000-0005-0000-0000-00003F060000}"/>
    <cellStyle name="Нейтральный 17" xfId="1626" xr:uid="{00000000-0005-0000-0000-000040060000}"/>
    <cellStyle name="Нейтральный 18" xfId="1627" xr:uid="{00000000-0005-0000-0000-000041060000}"/>
    <cellStyle name="Нейтральный 19" xfId="1628" xr:uid="{00000000-0005-0000-0000-000042060000}"/>
    <cellStyle name="Нейтральный 2" xfId="1629" xr:uid="{00000000-0005-0000-0000-000043060000}"/>
    <cellStyle name="Нейтральный 20" xfId="1630" xr:uid="{00000000-0005-0000-0000-000044060000}"/>
    <cellStyle name="Нейтральный 21" xfId="1631" xr:uid="{00000000-0005-0000-0000-000045060000}"/>
    <cellStyle name="Нейтральный 22" xfId="1632" xr:uid="{00000000-0005-0000-0000-000046060000}"/>
    <cellStyle name="Нейтральный 23" xfId="1633" xr:uid="{00000000-0005-0000-0000-000047060000}"/>
    <cellStyle name="Нейтральный 24" xfId="1634" xr:uid="{00000000-0005-0000-0000-000048060000}"/>
    <cellStyle name="Нейтральный 25" xfId="1635" xr:uid="{00000000-0005-0000-0000-000049060000}"/>
    <cellStyle name="Нейтральный 26" xfId="1636" xr:uid="{00000000-0005-0000-0000-00004A060000}"/>
    <cellStyle name="Нейтральный 27" xfId="1637" xr:uid="{00000000-0005-0000-0000-00004B060000}"/>
    <cellStyle name="Нейтральный 28" xfId="1638" xr:uid="{00000000-0005-0000-0000-00004C060000}"/>
    <cellStyle name="Нейтральный 29" xfId="1639" xr:uid="{00000000-0005-0000-0000-00004D060000}"/>
    <cellStyle name="Нейтральный 3" xfId="1640" xr:uid="{00000000-0005-0000-0000-00004E060000}"/>
    <cellStyle name="Нейтральный 30" xfId="1641" xr:uid="{00000000-0005-0000-0000-00004F060000}"/>
    <cellStyle name="Нейтральный 31" xfId="1642" xr:uid="{00000000-0005-0000-0000-000050060000}"/>
    <cellStyle name="Нейтральный 32" xfId="1643" xr:uid="{00000000-0005-0000-0000-000051060000}"/>
    <cellStyle name="Нейтральный 33" xfId="1644" xr:uid="{00000000-0005-0000-0000-000052060000}"/>
    <cellStyle name="Нейтральный 34" xfId="1645" xr:uid="{00000000-0005-0000-0000-000053060000}"/>
    <cellStyle name="Нейтральный 35" xfId="1646" xr:uid="{00000000-0005-0000-0000-000054060000}"/>
    <cellStyle name="Нейтральный 36" xfId="1647" xr:uid="{00000000-0005-0000-0000-000055060000}"/>
    <cellStyle name="Нейтральный 4" xfId="1648" xr:uid="{00000000-0005-0000-0000-000056060000}"/>
    <cellStyle name="Нейтральный 5" xfId="1649" xr:uid="{00000000-0005-0000-0000-000057060000}"/>
    <cellStyle name="Нейтральный 6" xfId="1650" xr:uid="{00000000-0005-0000-0000-000058060000}"/>
    <cellStyle name="Нейтральный 7" xfId="1651" xr:uid="{00000000-0005-0000-0000-000059060000}"/>
    <cellStyle name="Нейтральный 8" xfId="1652" xr:uid="{00000000-0005-0000-0000-00005A060000}"/>
    <cellStyle name="Нейтральный 9" xfId="1653" xr:uid="{00000000-0005-0000-0000-00005B060000}"/>
    <cellStyle name="Обычный" xfId="0" builtinId="0"/>
    <cellStyle name="Обычный 13" xfId="1654" xr:uid="{00000000-0005-0000-0000-00005C060000}"/>
    <cellStyle name="Обычный 14" xfId="1655" xr:uid="{00000000-0005-0000-0000-00005D060000}"/>
    <cellStyle name="Обычный 15" xfId="1656" xr:uid="{00000000-0005-0000-0000-00005E060000}"/>
    <cellStyle name="Обычный 16" xfId="1657" xr:uid="{00000000-0005-0000-0000-00005F060000}"/>
    <cellStyle name="Обычный 17" xfId="1658" xr:uid="{00000000-0005-0000-0000-000060060000}"/>
    <cellStyle name="Обычный 18" xfId="1659" xr:uid="{00000000-0005-0000-0000-000061060000}"/>
    <cellStyle name="Обычный 19" xfId="1660" xr:uid="{00000000-0005-0000-0000-000062060000}"/>
    <cellStyle name="Обычный 2" xfId="11" xr:uid="{00000000-0005-0000-0000-000063060000}"/>
    <cellStyle name="Обычный 2 10" xfId="274" xr:uid="{00000000-0005-0000-0000-000064060000}"/>
    <cellStyle name="Обычный 2 10 2" xfId="1661" xr:uid="{00000000-0005-0000-0000-000065060000}"/>
    <cellStyle name="Обычный 2 11" xfId="275" xr:uid="{00000000-0005-0000-0000-000066060000}"/>
    <cellStyle name="Обычный 2 11 2" xfId="1662" xr:uid="{00000000-0005-0000-0000-000067060000}"/>
    <cellStyle name="Обычный 2 12" xfId="276" xr:uid="{00000000-0005-0000-0000-000068060000}"/>
    <cellStyle name="Обычный 2 12 2" xfId="1663" xr:uid="{00000000-0005-0000-0000-000069060000}"/>
    <cellStyle name="Обычный 2 13" xfId="277" xr:uid="{00000000-0005-0000-0000-00006A060000}"/>
    <cellStyle name="Обычный 2 13 2" xfId="1664" xr:uid="{00000000-0005-0000-0000-00006B060000}"/>
    <cellStyle name="Обычный 2 14" xfId="278" xr:uid="{00000000-0005-0000-0000-00006C060000}"/>
    <cellStyle name="Обычный 2 14 2" xfId="1665" xr:uid="{00000000-0005-0000-0000-00006D060000}"/>
    <cellStyle name="Обычный 2 15" xfId="1666" xr:uid="{00000000-0005-0000-0000-00006E060000}"/>
    <cellStyle name="Обычный 2 16" xfId="1667" xr:uid="{00000000-0005-0000-0000-00006F060000}"/>
    <cellStyle name="Обычный 2 17" xfId="1668" xr:uid="{00000000-0005-0000-0000-000070060000}"/>
    <cellStyle name="Обычный 2 18" xfId="1669" xr:uid="{00000000-0005-0000-0000-000071060000}"/>
    <cellStyle name="Обычный 2 19" xfId="1670" xr:uid="{00000000-0005-0000-0000-000072060000}"/>
    <cellStyle name="Обычный 2 2" xfId="161" xr:uid="{00000000-0005-0000-0000-000073060000}"/>
    <cellStyle name="Обычный 2 2 10" xfId="1671" xr:uid="{00000000-0005-0000-0000-000074060000}"/>
    <cellStyle name="Обычный 2 2 11" xfId="1672" xr:uid="{00000000-0005-0000-0000-000075060000}"/>
    <cellStyle name="Обычный 2 2 12" xfId="1673" xr:uid="{00000000-0005-0000-0000-000076060000}"/>
    <cellStyle name="Обычный 2 2 13" xfId="1674" xr:uid="{00000000-0005-0000-0000-000077060000}"/>
    <cellStyle name="Обычный 2 2 14" xfId="1675" xr:uid="{00000000-0005-0000-0000-000078060000}"/>
    <cellStyle name="Обычный 2 2 15" xfId="1676" xr:uid="{00000000-0005-0000-0000-000079060000}"/>
    <cellStyle name="Обычный 2 2 16" xfId="1677" xr:uid="{00000000-0005-0000-0000-00007A060000}"/>
    <cellStyle name="Обычный 2 2 17" xfId="1678" xr:uid="{00000000-0005-0000-0000-00007B060000}"/>
    <cellStyle name="Обычный 2 2 18" xfId="1679" xr:uid="{00000000-0005-0000-0000-00007C060000}"/>
    <cellStyle name="Обычный 2 2 19" xfId="1680" xr:uid="{00000000-0005-0000-0000-00007D060000}"/>
    <cellStyle name="Обычный 2 2 2" xfId="279" xr:uid="{00000000-0005-0000-0000-00007E060000}"/>
    <cellStyle name="Обычный 2 2 2 2" xfId="1681" xr:uid="{00000000-0005-0000-0000-00007F060000}"/>
    <cellStyle name="Обычный 2 2 20" xfId="1682" xr:uid="{00000000-0005-0000-0000-000080060000}"/>
    <cellStyle name="Обычный 2 2 21" xfId="1683" xr:uid="{00000000-0005-0000-0000-000081060000}"/>
    <cellStyle name="Обычный 2 2 22" xfId="1684" xr:uid="{00000000-0005-0000-0000-000082060000}"/>
    <cellStyle name="Обычный 2 2 23" xfId="1685" xr:uid="{00000000-0005-0000-0000-000083060000}"/>
    <cellStyle name="Обычный 2 2 24" xfId="1686" xr:uid="{00000000-0005-0000-0000-000084060000}"/>
    <cellStyle name="Обычный 2 2 25" xfId="1687" xr:uid="{00000000-0005-0000-0000-000085060000}"/>
    <cellStyle name="Обычный 2 2 26" xfId="1688" xr:uid="{00000000-0005-0000-0000-000086060000}"/>
    <cellStyle name="Обычный 2 2 27" xfId="1689" xr:uid="{00000000-0005-0000-0000-000087060000}"/>
    <cellStyle name="Обычный 2 2 28" xfId="1690" xr:uid="{00000000-0005-0000-0000-000088060000}"/>
    <cellStyle name="Обычный 2 2 29" xfId="1691" xr:uid="{00000000-0005-0000-0000-000089060000}"/>
    <cellStyle name="Обычный 2 2 3" xfId="280" xr:uid="{00000000-0005-0000-0000-00008A060000}"/>
    <cellStyle name="Обычный 2 2 3 2" xfId="1692" xr:uid="{00000000-0005-0000-0000-00008B060000}"/>
    <cellStyle name="Обычный 2 2 30" xfId="1693" xr:uid="{00000000-0005-0000-0000-00008C060000}"/>
    <cellStyle name="Обычный 2 2 31" xfId="1694" xr:uid="{00000000-0005-0000-0000-00008D060000}"/>
    <cellStyle name="Обычный 2 2 32" xfId="1695" xr:uid="{00000000-0005-0000-0000-00008E060000}"/>
    <cellStyle name="Обычный 2 2 33" xfId="1696" xr:uid="{00000000-0005-0000-0000-00008F060000}"/>
    <cellStyle name="Обычный 2 2 34" xfId="1697" xr:uid="{00000000-0005-0000-0000-000090060000}"/>
    <cellStyle name="Обычный 2 2 35" xfId="1698" xr:uid="{00000000-0005-0000-0000-000091060000}"/>
    <cellStyle name="Обычный 2 2 36" xfId="1699" xr:uid="{00000000-0005-0000-0000-000092060000}"/>
    <cellStyle name="Обычный 2 2 4" xfId="1700" xr:uid="{00000000-0005-0000-0000-000093060000}"/>
    <cellStyle name="Обычный 2 2 5" xfId="1701" xr:uid="{00000000-0005-0000-0000-000094060000}"/>
    <cellStyle name="Обычный 2 2 6" xfId="1702" xr:uid="{00000000-0005-0000-0000-000095060000}"/>
    <cellStyle name="Обычный 2 2 7" xfId="1703" xr:uid="{00000000-0005-0000-0000-000096060000}"/>
    <cellStyle name="Обычный 2 2 8" xfId="1704" xr:uid="{00000000-0005-0000-0000-000097060000}"/>
    <cellStyle name="Обычный 2 2 9" xfId="1705" xr:uid="{00000000-0005-0000-0000-000098060000}"/>
    <cellStyle name="Обычный 2 20" xfId="1706" xr:uid="{00000000-0005-0000-0000-000099060000}"/>
    <cellStyle name="Обычный 2 21" xfId="1707" xr:uid="{00000000-0005-0000-0000-00009A060000}"/>
    <cellStyle name="Обычный 2 22" xfId="1708" xr:uid="{00000000-0005-0000-0000-00009B060000}"/>
    <cellStyle name="Обычный 2 23" xfId="1709" xr:uid="{00000000-0005-0000-0000-00009C060000}"/>
    <cellStyle name="Обычный 2 24" xfId="1710" xr:uid="{00000000-0005-0000-0000-00009D060000}"/>
    <cellStyle name="Обычный 2 25" xfId="1711" xr:uid="{00000000-0005-0000-0000-00009E060000}"/>
    <cellStyle name="Обычный 2 26" xfId="1712" xr:uid="{00000000-0005-0000-0000-00009F060000}"/>
    <cellStyle name="Обычный 2 27" xfId="1713" xr:uid="{00000000-0005-0000-0000-0000A0060000}"/>
    <cellStyle name="Обычный 2 28" xfId="1714" xr:uid="{00000000-0005-0000-0000-0000A1060000}"/>
    <cellStyle name="Обычный 2 29" xfId="1715" xr:uid="{00000000-0005-0000-0000-0000A2060000}"/>
    <cellStyle name="Обычный 2 3" xfId="160" xr:uid="{00000000-0005-0000-0000-0000A3060000}"/>
    <cellStyle name="Обычный 2 30" xfId="1716" xr:uid="{00000000-0005-0000-0000-0000A4060000}"/>
    <cellStyle name="Обычный 2 31" xfId="1717" xr:uid="{00000000-0005-0000-0000-0000A5060000}"/>
    <cellStyle name="Обычный 2 32" xfId="1718" xr:uid="{00000000-0005-0000-0000-0000A6060000}"/>
    <cellStyle name="Обычный 2 33" xfId="1719" xr:uid="{00000000-0005-0000-0000-0000A7060000}"/>
    <cellStyle name="Обычный 2 34" xfId="1720" xr:uid="{00000000-0005-0000-0000-0000A8060000}"/>
    <cellStyle name="Обычный 2 35" xfId="1721" xr:uid="{00000000-0005-0000-0000-0000A9060000}"/>
    <cellStyle name="Обычный 2 36" xfId="1722" xr:uid="{00000000-0005-0000-0000-0000AA060000}"/>
    <cellStyle name="Обычный 2 37" xfId="1723" xr:uid="{00000000-0005-0000-0000-0000AB060000}"/>
    <cellStyle name="Обычный 2 4" xfId="281" xr:uid="{00000000-0005-0000-0000-0000AC060000}"/>
    <cellStyle name="Обычный 2 4 2" xfId="282" xr:uid="{00000000-0005-0000-0000-0000AD060000}"/>
    <cellStyle name="Обычный 2 5" xfId="283" xr:uid="{00000000-0005-0000-0000-0000AE060000}"/>
    <cellStyle name="Обычный 2 5 2" xfId="284" xr:uid="{00000000-0005-0000-0000-0000AF060000}"/>
    <cellStyle name="Обычный 2 6" xfId="285" xr:uid="{00000000-0005-0000-0000-0000B0060000}"/>
    <cellStyle name="Обычный 2 6 2" xfId="286" xr:uid="{00000000-0005-0000-0000-0000B1060000}"/>
    <cellStyle name="Обычный 2 7" xfId="287" xr:uid="{00000000-0005-0000-0000-0000B2060000}"/>
    <cellStyle name="Обычный 2 7 2" xfId="288" xr:uid="{00000000-0005-0000-0000-0000B3060000}"/>
    <cellStyle name="Обычный 2 8" xfId="289" xr:uid="{00000000-0005-0000-0000-0000B4060000}"/>
    <cellStyle name="Обычный 2 8 2" xfId="290" xr:uid="{00000000-0005-0000-0000-0000B5060000}"/>
    <cellStyle name="Обычный 2 9" xfId="291" xr:uid="{00000000-0005-0000-0000-0000B6060000}"/>
    <cellStyle name="Обычный 2 9 2" xfId="1724" xr:uid="{00000000-0005-0000-0000-0000B7060000}"/>
    <cellStyle name="Обычный 2_900005052015" xfId="292" xr:uid="{00000000-0005-0000-0000-0000B8060000}"/>
    <cellStyle name="Обычный 23" xfId="1725" xr:uid="{00000000-0005-0000-0000-0000B9060000}"/>
    <cellStyle name="Обычный 24" xfId="1726" xr:uid="{00000000-0005-0000-0000-0000BA060000}"/>
    <cellStyle name="Обычный 25" xfId="1727" xr:uid="{00000000-0005-0000-0000-0000BB060000}"/>
    <cellStyle name="Обычный 27" xfId="1728" xr:uid="{00000000-0005-0000-0000-0000BC060000}"/>
    <cellStyle name="Обычный 28" xfId="1729" xr:uid="{00000000-0005-0000-0000-0000BD060000}"/>
    <cellStyle name="Обычный 29" xfId="1730" xr:uid="{00000000-0005-0000-0000-0000BE060000}"/>
    <cellStyle name="Обычный 3" xfId="293" xr:uid="{00000000-0005-0000-0000-0000BF060000}"/>
    <cellStyle name="Обычный 3 2" xfId="294" xr:uid="{00000000-0005-0000-0000-0000C0060000}"/>
    <cellStyle name="Обычный 3 2 2" xfId="1731" xr:uid="{00000000-0005-0000-0000-0000C1060000}"/>
    <cellStyle name="Обычный 3 3" xfId="2029" xr:uid="{00000000-0005-0000-0000-0000C2060000}"/>
    <cellStyle name="Обычный 30" xfId="1732" xr:uid="{00000000-0005-0000-0000-0000C3060000}"/>
    <cellStyle name="Обычный 31" xfId="1733" xr:uid="{00000000-0005-0000-0000-0000C4060000}"/>
    <cellStyle name="Обычный 32" xfId="1734" xr:uid="{00000000-0005-0000-0000-0000C5060000}"/>
    <cellStyle name="Обычный 34" xfId="1735" xr:uid="{00000000-0005-0000-0000-0000C6060000}"/>
    <cellStyle name="Обычный 35" xfId="1736" xr:uid="{00000000-0005-0000-0000-0000C7060000}"/>
    <cellStyle name="Обычный 36" xfId="1737" xr:uid="{00000000-0005-0000-0000-0000C8060000}"/>
    <cellStyle name="Обычный 4" xfId="295" xr:uid="{00000000-0005-0000-0000-0000C9060000}"/>
    <cellStyle name="Обычный 4 2" xfId="1738" xr:uid="{00000000-0005-0000-0000-0000CA060000}"/>
    <cellStyle name="Обычный 5" xfId="1739" xr:uid="{00000000-0005-0000-0000-0000CB060000}"/>
    <cellStyle name="Обычный 6" xfId="1740" xr:uid="{00000000-0005-0000-0000-0000CC060000}"/>
    <cellStyle name="Обычный 7" xfId="1741" xr:uid="{00000000-0005-0000-0000-0000CD060000}"/>
    <cellStyle name="Обычный 8" xfId="2025" xr:uid="{00000000-0005-0000-0000-0000CE060000}"/>
    <cellStyle name="Плохой" xfId="17" builtinId="27" customBuiltin="1"/>
    <cellStyle name="Плохой 10" xfId="1742" xr:uid="{00000000-0005-0000-0000-0000CF060000}"/>
    <cellStyle name="Плохой 11" xfId="1743" xr:uid="{00000000-0005-0000-0000-0000D0060000}"/>
    <cellStyle name="Плохой 12" xfId="1744" xr:uid="{00000000-0005-0000-0000-0000D1060000}"/>
    <cellStyle name="Плохой 13" xfId="1745" xr:uid="{00000000-0005-0000-0000-0000D2060000}"/>
    <cellStyle name="Плохой 14" xfId="1746" xr:uid="{00000000-0005-0000-0000-0000D3060000}"/>
    <cellStyle name="Плохой 15" xfId="1747" xr:uid="{00000000-0005-0000-0000-0000D4060000}"/>
    <cellStyle name="Плохой 16" xfId="1748" xr:uid="{00000000-0005-0000-0000-0000D5060000}"/>
    <cellStyle name="Плохой 17" xfId="1749" xr:uid="{00000000-0005-0000-0000-0000D6060000}"/>
    <cellStyle name="Плохой 18" xfId="1750" xr:uid="{00000000-0005-0000-0000-0000D7060000}"/>
    <cellStyle name="Плохой 19" xfId="1751" xr:uid="{00000000-0005-0000-0000-0000D8060000}"/>
    <cellStyle name="Плохой 2" xfId="1752" xr:uid="{00000000-0005-0000-0000-0000D9060000}"/>
    <cellStyle name="Плохой 20" xfId="1753" xr:uid="{00000000-0005-0000-0000-0000DA060000}"/>
    <cellStyle name="Плохой 21" xfId="1754" xr:uid="{00000000-0005-0000-0000-0000DB060000}"/>
    <cellStyle name="Плохой 22" xfId="1755" xr:uid="{00000000-0005-0000-0000-0000DC060000}"/>
    <cellStyle name="Плохой 23" xfId="1756" xr:uid="{00000000-0005-0000-0000-0000DD060000}"/>
    <cellStyle name="Плохой 24" xfId="1757" xr:uid="{00000000-0005-0000-0000-0000DE060000}"/>
    <cellStyle name="Плохой 25" xfId="1758" xr:uid="{00000000-0005-0000-0000-0000DF060000}"/>
    <cellStyle name="Плохой 26" xfId="1759" xr:uid="{00000000-0005-0000-0000-0000E0060000}"/>
    <cellStyle name="Плохой 27" xfId="1760" xr:uid="{00000000-0005-0000-0000-0000E1060000}"/>
    <cellStyle name="Плохой 28" xfId="1761" xr:uid="{00000000-0005-0000-0000-0000E2060000}"/>
    <cellStyle name="Плохой 29" xfId="1762" xr:uid="{00000000-0005-0000-0000-0000E3060000}"/>
    <cellStyle name="Плохой 3" xfId="1763" xr:uid="{00000000-0005-0000-0000-0000E4060000}"/>
    <cellStyle name="Плохой 30" xfId="1764" xr:uid="{00000000-0005-0000-0000-0000E5060000}"/>
    <cellStyle name="Плохой 31" xfId="1765" xr:uid="{00000000-0005-0000-0000-0000E6060000}"/>
    <cellStyle name="Плохой 32" xfId="1766" xr:uid="{00000000-0005-0000-0000-0000E7060000}"/>
    <cellStyle name="Плохой 33" xfId="1767" xr:uid="{00000000-0005-0000-0000-0000E8060000}"/>
    <cellStyle name="Плохой 34" xfId="1768" xr:uid="{00000000-0005-0000-0000-0000E9060000}"/>
    <cellStyle name="Плохой 35" xfId="1769" xr:uid="{00000000-0005-0000-0000-0000EA060000}"/>
    <cellStyle name="Плохой 36" xfId="1770" xr:uid="{00000000-0005-0000-0000-0000EB060000}"/>
    <cellStyle name="Плохой 4" xfId="1771" xr:uid="{00000000-0005-0000-0000-0000EC060000}"/>
    <cellStyle name="Плохой 5" xfId="1772" xr:uid="{00000000-0005-0000-0000-0000ED060000}"/>
    <cellStyle name="Плохой 6" xfId="1773" xr:uid="{00000000-0005-0000-0000-0000EE060000}"/>
    <cellStyle name="Плохой 7" xfId="1774" xr:uid="{00000000-0005-0000-0000-0000EF060000}"/>
    <cellStyle name="Плохой 8" xfId="1775" xr:uid="{00000000-0005-0000-0000-0000F0060000}"/>
    <cellStyle name="Плохой 9" xfId="1776" xr:uid="{00000000-0005-0000-0000-0000F1060000}"/>
    <cellStyle name="Пояснение" xfId="26" builtinId="53" customBuiltin="1"/>
    <cellStyle name="Пояснение 10" xfId="1777" xr:uid="{00000000-0005-0000-0000-0000F2060000}"/>
    <cellStyle name="Пояснение 11" xfId="1778" xr:uid="{00000000-0005-0000-0000-0000F3060000}"/>
    <cellStyle name="Пояснение 12" xfId="1779" xr:uid="{00000000-0005-0000-0000-0000F4060000}"/>
    <cellStyle name="Пояснение 13" xfId="1780" xr:uid="{00000000-0005-0000-0000-0000F5060000}"/>
    <cellStyle name="Пояснение 14" xfId="1781" xr:uid="{00000000-0005-0000-0000-0000F6060000}"/>
    <cellStyle name="Пояснение 15" xfId="1782" xr:uid="{00000000-0005-0000-0000-0000F7060000}"/>
    <cellStyle name="Пояснение 16" xfId="1783" xr:uid="{00000000-0005-0000-0000-0000F8060000}"/>
    <cellStyle name="Пояснение 17" xfId="1784" xr:uid="{00000000-0005-0000-0000-0000F9060000}"/>
    <cellStyle name="Пояснение 18" xfId="1785" xr:uid="{00000000-0005-0000-0000-0000FA060000}"/>
    <cellStyle name="Пояснение 19" xfId="1786" xr:uid="{00000000-0005-0000-0000-0000FB060000}"/>
    <cellStyle name="Пояснение 2" xfId="1787" xr:uid="{00000000-0005-0000-0000-0000FC060000}"/>
    <cellStyle name="Пояснение 20" xfId="1788" xr:uid="{00000000-0005-0000-0000-0000FD060000}"/>
    <cellStyle name="Пояснение 21" xfId="1789" xr:uid="{00000000-0005-0000-0000-0000FE060000}"/>
    <cellStyle name="Пояснение 22" xfId="1790" xr:uid="{00000000-0005-0000-0000-0000FF060000}"/>
    <cellStyle name="Пояснение 23" xfId="1791" xr:uid="{00000000-0005-0000-0000-000000070000}"/>
    <cellStyle name="Пояснение 24" xfId="1792" xr:uid="{00000000-0005-0000-0000-000001070000}"/>
    <cellStyle name="Пояснение 25" xfId="1793" xr:uid="{00000000-0005-0000-0000-000002070000}"/>
    <cellStyle name="Пояснение 26" xfId="1794" xr:uid="{00000000-0005-0000-0000-000003070000}"/>
    <cellStyle name="Пояснение 27" xfId="1795" xr:uid="{00000000-0005-0000-0000-000004070000}"/>
    <cellStyle name="Пояснение 28" xfId="1796" xr:uid="{00000000-0005-0000-0000-000005070000}"/>
    <cellStyle name="Пояснение 29" xfId="1797" xr:uid="{00000000-0005-0000-0000-000006070000}"/>
    <cellStyle name="Пояснение 3" xfId="1798" xr:uid="{00000000-0005-0000-0000-000007070000}"/>
    <cellStyle name="Пояснение 30" xfId="1799" xr:uid="{00000000-0005-0000-0000-000008070000}"/>
    <cellStyle name="Пояснение 31" xfId="1800" xr:uid="{00000000-0005-0000-0000-000009070000}"/>
    <cellStyle name="Пояснение 32" xfId="1801" xr:uid="{00000000-0005-0000-0000-00000A070000}"/>
    <cellStyle name="Пояснение 33" xfId="1802" xr:uid="{00000000-0005-0000-0000-00000B070000}"/>
    <cellStyle name="Пояснение 34" xfId="1803" xr:uid="{00000000-0005-0000-0000-00000C070000}"/>
    <cellStyle name="Пояснение 35" xfId="1804" xr:uid="{00000000-0005-0000-0000-00000D070000}"/>
    <cellStyle name="Пояснение 36" xfId="1805" xr:uid="{00000000-0005-0000-0000-00000E070000}"/>
    <cellStyle name="Пояснение 4" xfId="1806" xr:uid="{00000000-0005-0000-0000-00000F070000}"/>
    <cellStyle name="Пояснение 5" xfId="1807" xr:uid="{00000000-0005-0000-0000-000010070000}"/>
    <cellStyle name="Пояснение 6" xfId="1808" xr:uid="{00000000-0005-0000-0000-000011070000}"/>
    <cellStyle name="Пояснение 7" xfId="1809" xr:uid="{00000000-0005-0000-0000-000012070000}"/>
    <cellStyle name="Пояснение 8" xfId="1810" xr:uid="{00000000-0005-0000-0000-000013070000}"/>
    <cellStyle name="Пояснение 9" xfId="1811" xr:uid="{00000000-0005-0000-0000-000014070000}"/>
    <cellStyle name="Примечание" xfId="25" builtinId="10" customBuiltin="1"/>
    <cellStyle name="Примечание 10" xfId="1812" xr:uid="{00000000-0005-0000-0000-000015070000}"/>
    <cellStyle name="Примечание 11" xfId="1813" xr:uid="{00000000-0005-0000-0000-000016070000}"/>
    <cellStyle name="Примечание 12" xfId="1814" xr:uid="{00000000-0005-0000-0000-000017070000}"/>
    <cellStyle name="Примечание 13" xfId="1815" xr:uid="{00000000-0005-0000-0000-000018070000}"/>
    <cellStyle name="Примечание 14" xfId="1816" xr:uid="{00000000-0005-0000-0000-000019070000}"/>
    <cellStyle name="Примечание 15" xfId="1817" xr:uid="{00000000-0005-0000-0000-00001A070000}"/>
    <cellStyle name="Примечание 16" xfId="1818" xr:uid="{00000000-0005-0000-0000-00001B070000}"/>
    <cellStyle name="Примечание 17" xfId="1819" xr:uid="{00000000-0005-0000-0000-00001C070000}"/>
    <cellStyle name="Примечание 18" xfId="1820" xr:uid="{00000000-0005-0000-0000-00001D070000}"/>
    <cellStyle name="Примечание 19" xfId="1821" xr:uid="{00000000-0005-0000-0000-00001E070000}"/>
    <cellStyle name="Примечание 2" xfId="1822" xr:uid="{00000000-0005-0000-0000-00001F070000}"/>
    <cellStyle name="Примечание 20" xfId="1823" xr:uid="{00000000-0005-0000-0000-000020070000}"/>
    <cellStyle name="Примечание 21" xfId="1824" xr:uid="{00000000-0005-0000-0000-000021070000}"/>
    <cellStyle name="Примечание 22" xfId="1825" xr:uid="{00000000-0005-0000-0000-000022070000}"/>
    <cellStyle name="Примечание 23" xfId="1826" xr:uid="{00000000-0005-0000-0000-000023070000}"/>
    <cellStyle name="Примечание 24" xfId="1827" xr:uid="{00000000-0005-0000-0000-000024070000}"/>
    <cellStyle name="Примечание 25" xfId="1828" xr:uid="{00000000-0005-0000-0000-000025070000}"/>
    <cellStyle name="Примечание 26" xfId="1829" xr:uid="{00000000-0005-0000-0000-000026070000}"/>
    <cellStyle name="Примечание 27" xfId="1830" xr:uid="{00000000-0005-0000-0000-000027070000}"/>
    <cellStyle name="Примечание 28" xfId="1831" xr:uid="{00000000-0005-0000-0000-000028070000}"/>
    <cellStyle name="Примечание 29" xfId="1832" xr:uid="{00000000-0005-0000-0000-000029070000}"/>
    <cellStyle name="Примечание 3" xfId="1833" xr:uid="{00000000-0005-0000-0000-00002A070000}"/>
    <cellStyle name="Примечание 30" xfId="1834" xr:uid="{00000000-0005-0000-0000-00002B070000}"/>
    <cellStyle name="Примечание 31" xfId="1835" xr:uid="{00000000-0005-0000-0000-00002C070000}"/>
    <cellStyle name="Примечание 32" xfId="1836" xr:uid="{00000000-0005-0000-0000-00002D070000}"/>
    <cellStyle name="Примечание 33" xfId="1837" xr:uid="{00000000-0005-0000-0000-00002E070000}"/>
    <cellStyle name="Примечание 34" xfId="1838" xr:uid="{00000000-0005-0000-0000-00002F070000}"/>
    <cellStyle name="Примечание 35" xfId="1839" xr:uid="{00000000-0005-0000-0000-000030070000}"/>
    <cellStyle name="Примечание 36" xfId="1840" xr:uid="{00000000-0005-0000-0000-000031070000}"/>
    <cellStyle name="Примечание 4" xfId="1841" xr:uid="{00000000-0005-0000-0000-000032070000}"/>
    <cellStyle name="Примечание 5" xfId="1842" xr:uid="{00000000-0005-0000-0000-000033070000}"/>
    <cellStyle name="Примечание 6" xfId="1843" xr:uid="{00000000-0005-0000-0000-000034070000}"/>
    <cellStyle name="Примечание 7" xfId="1844" xr:uid="{00000000-0005-0000-0000-000035070000}"/>
    <cellStyle name="Примечание 8" xfId="1845" xr:uid="{00000000-0005-0000-0000-000036070000}"/>
    <cellStyle name="Примечание 9" xfId="1846" xr:uid="{00000000-0005-0000-0000-000037070000}"/>
    <cellStyle name="Связанная ячейка" xfId="22" builtinId="24" customBuiltin="1"/>
    <cellStyle name="Связанная ячейка 10" xfId="1847" xr:uid="{00000000-0005-0000-0000-000038070000}"/>
    <cellStyle name="Связанная ячейка 11" xfId="1848" xr:uid="{00000000-0005-0000-0000-000039070000}"/>
    <cellStyle name="Связанная ячейка 12" xfId="1849" xr:uid="{00000000-0005-0000-0000-00003A070000}"/>
    <cellStyle name="Связанная ячейка 13" xfId="1850" xr:uid="{00000000-0005-0000-0000-00003B070000}"/>
    <cellStyle name="Связанная ячейка 14" xfId="1851" xr:uid="{00000000-0005-0000-0000-00003C070000}"/>
    <cellStyle name="Связанная ячейка 15" xfId="1852" xr:uid="{00000000-0005-0000-0000-00003D070000}"/>
    <cellStyle name="Связанная ячейка 16" xfId="1853" xr:uid="{00000000-0005-0000-0000-00003E070000}"/>
    <cellStyle name="Связанная ячейка 17" xfId="1854" xr:uid="{00000000-0005-0000-0000-00003F070000}"/>
    <cellStyle name="Связанная ячейка 18" xfId="1855" xr:uid="{00000000-0005-0000-0000-000040070000}"/>
    <cellStyle name="Связанная ячейка 19" xfId="1856" xr:uid="{00000000-0005-0000-0000-000041070000}"/>
    <cellStyle name="Связанная ячейка 2" xfId="1857" xr:uid="{00000000-0005-0000-0000-000042070000}"/>
    <cellStyle name="Связанная ячейка 20" xfId="1858" xr:uid="{00000000-0005-0000-0000-000043070000}"/>
    <cellStyle name="Связанная ячейка 21" xfId="1859" xr:uid="{00000000-0005-0000-0000-000044070000}"/>
    <cellStyle name="Связанная ячейка 22" xfId="1860" xr:uid="{00000000-0005-0000-0000-000045070000}"/>
    <cellStyle name="Связанная ячейка 23" xfId="1861" xr:uid="{00000000-0005-0000-0000-000046070000}"/>
    <cellStyle name="Связанная ячейка 24" xfId="1862" xr:uid="{00000000-0005-0000-0000-000047070000}"/>
    <cellStyle name="Связанная ячейка 25" xfId="1863" xr:uid="{00000000-0005-0000-0000-000048070000}"/>
    <cellStyle name="Связанная ячейка 26" xfId="1864" xr:uid="{00000000-0005-0000-0000-000049070000}"/>
    <cellStyle name="Связанная ячейка 27" xfId="1865" xr:uid="{00000000-0005-0000-0000-00004A070000}"/>
    <cellStyle name="Связанная ячейка 28" xfId="1866" xr:uid="{00000000-0005-0000-0000-00004B070000}"/>
    <cellStyle name="Связанная ячейка 29" xfId="1867" xr:uid="{00000000-0005-0000-0000-00004C070000}"/>
    <cellStyle name="Связанная ячейка 3" xfId="1868" xr:uid="{00000000-0005-0000-0000-00004D070000}"/>
    <cellStyle name="Связанная ячейка 30" xfId="1869" xr:uid="{00000000-0005-0000-0000-00004E070000}"/>
    <cellStyle name="Связанная ячейка 31" xfId="1870" xr:uid="{00000000-0005-0000-0000-00004F070000}"/>
    <cellStyle name="Связанная ячейка 32" xfId="1871" xr:uid="{00000000-0005-0000-0000-000050070000}"/>
    <cellStyle name="Связанная ячейка 33" xfId="1872" xr:uid="{00000000-0005-0000-0000-000051070000}"/>
    <cellStyle name="Связанная ячейка 34" xfId="1873" xr:uid="{00000000-0005-0000-0000-000052070000}"/>
    <cellStyle name="Связанная ячейка 35" xfId="1874" xr:uid="{00000000-0005-0000-0000-000053070000}"/>
    <cellStyle name="Связанная ячейка 36" xfId="1875" xr:uid="{00000000-0005-0000-0000-000054070000}"/>
    <cellStyle name="Связанная ячейка 4" xfId="1876" xr:uid="{00000000-0005-0000-0000-000055070000}"/>
    <cellStyle name="Связанная ячейка 5" xfId="1877" xr:uid="{00000000-0005-0000-0000-000056070000}"/>
    <cellStyle name="Связанная ячейка 6" xfId="1878" xr:uid="{00000000-0005-0000-0000-000057070000}"/>
    <cellStyle name="Связанная ячейка 7" xfId="1879" xr:uid="{00000000-0005-0000-0000-000058070000}"/>
    <cellStyle name="Связанная ячейка 8" xfId="1880" xr:uid="{00000000-0005-0000-0000-000059070000}"/>
    <cellStyle name="Связанная ячейка 9" xfId="1881" xr:uid="{00000000-0005-0000-0000-00005A070000}"/>
    <cellStyle name="Стиль 1" xfId="296" xr:uid="{00000000-0005-0000-0000-00005B070000}"/>
    <cellStyle name="Текст предупреждения" xfId="24" builtinId="11" customBuiltin="1"/>
    <cellStyle name="Текст предупреждения 10" xfId="1882" xr:uid="{00000000-0005-0000-0000-00005C070000}"/>
    <cellStyle name="Текст предупреждения 11" xfId="1883" xr:uid="{00000000-0005-0000-0000-00005D070000}"/>
    <cellStyle name="Текст предупреждения 12" xfId="1884" xr:uid="{00000000-0005-0000-0000-00005E070000}"/>
    <cellStyle name="Текст предупреждения 13" xfId="1885" xr:uid="{00000000-0005-0000-0000-00005F070000}"/>
    <cellStyle name="Текст предупреждения 14" xfId="1886" xr:uid="{00000000-0005-0000-0000-000060070000}"/>
    <cellStyle name="Текст предупреждения 15" xfId="1887" xr:uid="{00000000-0005-0000-0000-000061070000}"/>
    <cellStyle name="Текст предупреждения 16" xfId="1888" xr:uid="{00000000-0005-0000-0000-000062070000}"/>
    <cellStyle name="Текст предупреждения 17" xfId="1889" xr:uid="{00000000-0005-0000-0000-000063070000}"/>
    <cellStyle name="Текст предупреждения 18" xfId="1890" xr:uid="{00000000-0005-0000-0000-000064070000}"/>
    <cellStyle name="Текст предупреждения 19" xfId="1891" xr:uid="{00000000-0005-0000-0000-000065070000}"/>
    <cellStyle name="Текст предупреждения 2" xfId="1892" xr:uid="{00000000-0005-0000-0000-000066070000}"/>
    <cellStyle name="Текст предупреждения 20" xfId="1893" xr:uid="{00000000-0005-0000-0000-000067070000}"/>
    <cellStyle name="Текст предупреждения 21" xfId="1894" xr:uid="{00000000-0005-0000-0000-000068070000}"/>
    <cellStyle name="Текст предупреждения 22" xfId="1895" xr:uid="{00000000-0005-0000-0000-000069070000}"/>
    <cellStyle name="Текст предупреждения 23" xfId="1896" xr:uid="{00000000-0005-0000-0000-00006A070000}"/>
    <cellStyle name="Текст предупреждения 24" xfId="1897" xr:uid="{00000000-0005-0000-0000-00006B070000}"/>
    <cellStyle name="Текст предупреждения 25" xfId="1898" xr:uid="{00000000-0005-0000-0000-00006C070000}"/>
    <cellStyle name="Текст предупреждения 26" xfId="1899" xr:uid="{00000000-0005-0000-0000-00006D070000}"/>
    <cellStyle name="Текст предупреждения 27" xfId="1900" xr:uid="{00000000-0005-0000-0000-00006E070000}"/>
    <cellStyle name="Текст предупреждения 28" xfId="1901" xr:uid="{00000000-0005-0000-0000-00006F070000}"/>
    <cellStyle name="Текст предупреждения 29" xfId="1902" xr:uid="{00000000-0005-0000-0000-000070070000}"/>
    <cellStyle name="Текст предупреждения 3" xfId="1903" xr:uid="{00000000-0005-0000-0000-000071070000}"/>
    <cellStyle name="Текст предупреждения 30" xfId="1904" xr:uid="{00000000-0005-0000-0000-000072070000}"/>
    <cellStyle name="Текст предупреждения 31" xfId="1905" xr:uid="{00000000-0005-0000-0000-000073070000}"/>
    <cellStyle name="Текст предупреждения 32" xfId="1906" xr:uid="{00000000-0005-0000-0000-000074070000}"/>
    <cellStyle name="Текст предупреждения 33" xfId="1907" xr:uid="{00000000-0005-0000-0000-000075070000}"/>
    <cellStyle name="Текст предупреждения 34" xfId="1908" xr:uid="{00000000-0005-0000-0000-000076070000}"/>
    <cellStyle name="Текст предупреждения 35" xfId="1909" xr:uid="{00000000-0005-0000-0000-000077070000}"/>
    <cellStyle name="Текст предупреждения 36" xfId="1910" xr:uid="{00000000-0005-0000-0000-000078070000}"/>
    <cellStyle name="Текст предупреждения 4" xfId="1911" xr:uid="{00000000-0005-0000-0000-000079070000}"/>
    <cellStyle name="Текст предупреждения 5" xfId="1912" xr:uid="{00000000-0005-0000-0000-00007A070000}"/>
    <cellStyle name="Текст предупреждения 6" xfId="1913" xr:uid="{00000000-0005-0000-0000-00007B070000}"/>
    <cellStyle name="Текст предупреждения 7" xfId="1914" xr:uid="{00000000-0005-0000-0000-00007C070000}"/>
    <cellStyle name="Текст предупреждения 8" xfId="1915" xr:uid="{00000000-0005-0000-0000-00007D070000}"/>
    <cellStyle name="Текст предупреждения 9" xfId="1916" xr:uid="{00000000-0005-0000-0000-00007E070000}"/>
    <cellStyle name="Финансовый" xfId="7" builtinId="3"/>
    <cellStyle name="Финансовый 16" xfId="300" xr:uid="{00000000-0005-0000-0000-00007F070000}"/>
    <cellStyle name="Финансовый 2" xfId="214" xr:uid="{00000000-0005-0000-0000-000080070000}"/>
    <cellStyle name="Финансовый 2 10" xfId="1917" xr:uid="{00000000-0005-0000-0000-000081070000}"/>
    <cellStyle name="Финансовый 2 11" xfId="1918" xr:uid="{00000000-0005-0000-0000-000082070000}"/>
    <cellStyle name="Финансовый 2 12" xfId="1919" xr:uid="{00000000-0005-0000-0000-000083070000}"/>
    <cellStyle name="Финансовый 2 13" xfId="1920" xr:uid="{00000000-0005-0000-0000-000084070000}"/>
    <cellStyle name="Финансовый 2 14" xfId="1921" xr:uid="{00000000-0005-0000-0000-000085070000}"/>
    <cellStyle name="Финансовый 2 15" xfId="1922" xr:uid="{00000000-0005-0000-0000-000086070000}"/>
    <cellStyle name="Финансовый 2 16" xfId="1923" xr:uid="{00000000-0005-0000-0000-000087070000}"/>
    <cellStyle name="Финансовый 2 17" xfId="1924" xr:uid="{00000000-0005-0000-0000-000088070000}"/>
    <cellStyle name="Финансовый 2 18" xfId="1925" xr:uid="{00000000-0005-0000-0000-000089070000}"/>
    <cellStyle name="Финансовый 2 19" xfId="1926" xr:uid="{00000000-0005-0000-0000-00008A070000}"/>
    <cellStyle name="Финансовый 2 2" xfId="215" xr:uid="{00000000-0005-0000-0000-00008B070000}"/>
    <cellStyle name="Финансовый 2 2 10" xfId="1927" xr:uid="{00000000-0005-0000-0000-00008C070000}"/>
    <cellStyle name="Финансовый 2 2 11" xfId="1928" xr:uid="{00000000-0005-0000-0000-00008D070000}"/>
    <cellStyle name="Финансовый 2 2 12" xfId="1929" xr:uid="{00000000-0005-0000-0000-00008E070000}"/>
    <cellStyle name="Финансовый 2 2 13" xfId="1930" xr:uid="{00000000-0005-0000-0000-00008F070000}"/>
    <cellStyle name="Финансовый 2 2 14" xfId="1931" xr:uid="{00000000-0005-0000-0000-000090070000}"/>
    <cellStyle name="Финансовый 2 2 15" xfId="1932" xr:uid="{00000000-0005-0000-0000-000091070000}"/>
    <cellStyle name="Финансовый 2 2 16" xfId="1933" xr:uid="{00000000-0005-0000-0000-000092070000}"/>
    <cellStyle name="Финансовый 2 2 17" xfId="1934" xr:uid="{00000000-0005-0000-0000-000093070000}"/>
    <cellStyle name="Финансовый 2 2 18" xfId="1935" xr:uid="{00000000-0005-0000-0000-000094070000}"/>
    <cellStyle name="Финансовый 2 2 19" xfId="1936" xr:uid="{00000000-0005-0000-0000-000095070000}"/>
    <cellStyle name="Финансовый 2 2 2" xfId="1937" xr:uid="{00000000-0005-0000-0000-000096070000}"/>
    <cellStyle name="Финансовый 2 2 20" xfId="1938" xr:uid="{00000000-0005-0000-0000-000097070000}"/>
    <cellStyle name="Финансовый 2 2 21" xfId="1939" xr:uid="{00000000-0005-0000-0000-000098070000}"/>
    <cellStyle name="Финансовый 2 2 22" xfId="1940" xr:uid="{00000000-0005-0000-0000-000099070000}"/>
    <cellStyle name="Финансовый 2 2 23" xfId="1941" xr:uid="{00000000-0005-0000-0000-00009A070000}"/>
    <cellStyle name="Финансовый 2 2 24" xfId="1942" xr:uid="{00000000-0005-0000-0000-00009B070000}"/>
    <cellStyle name="Финансовый 2 2 25" xfId="1943" xr:uid="{00000000-0005-0000-0000-00009C070000}"/>
    <cellStyle name="Финансовый 2 2 26" xfId="1944" xr:uid="{00000000-0005-0000-0000-00009D070000}"/>
    <cellStyle name="Финансовый 2 2 27" xfId="1945" xr:uid="{00000000-0005-0000-0000-00009E070000}"/>
    <cellStyle name="Финансовый 2 2 28" xfId="1946" xr:uid="{00000000-0005-0000-0000-00009F070000}"/>
    <cellStyle name="Финансовый 2 2 29" xfId="1947" xr:uid="{00000000-0005-0000-0000-0000A0070000}"/>
    <cellStyle name="Финансовый 2 2 3" xfId="1948" xr:uid="{00000000-0005-0000-0000-0000A1070000}"/>
    <cellStyle name="Финансовый 2 2 30" xfId="1949" xr:uid="{00000000-0005-0000-0000-0000A2070000}"/>
    <cellStyle name="Финансовый 2 2 31" xfId="1950" xr:uid="{00000000-0005-0000-0000-0000A3070000}"/>
    <cellStyle name="Финансовый 2 2 32" xfId="1951" xr:uid="{00000000-0005-0000-0000-0000A4070000}"/>
    <cellStyle name="Финансовый 2 2 33" xfId="1952" xr:uid="{00000000-0005-0000-0000-0000A5070000}"/>
    <cellStyle name="Финансовый 2 2 34" xfId="1953" xr:uid="{00000000-0005-0000-0000-0000A6070000}"/>
    <cellStyle name="Финансовый 2 2 35" xfId="1954" xr:uid="{00000000-0005-0000-0000-0000A7070000}"/>
    <cellStyle name="Финансовый 2 2 36" xfId="1955" xr:uid="{00000000-0005-0000-0000-0000A8070000}"/>
    <cellStyle name="Финансовый 2 2 4" xfId="1956" xr:uid="{00000000-0005-0000-0000-0000A9070000}"/>
    <cellStyle name="Финансовый 2 2 5" xfId="1957" xr:uid="{00000000-0005-0000-0000-0000AA070000}"/>
    <cellStyle name="Финансовый 2 2 6" xfId="1958" xr:uid="{00000000-0005-0000-0000-0000AB070000}"/>
    <cellStyle name="Финансовый 2 2 7" xfId="1959" xr:uid="{00000000-0005-0000-0000-0000AC070000}"/>
    <cellStyle name="Финансовый 2 2 8" xfId="1960" xr:uid="{00000000-0005-0000-0000-0000AD070000}"/>
    <cellStyle name="Финансовый 2 2 9" xfId="1961" xr:uid="{00000000-0005-0000-0000-0000AE070000}"/>
    <cellStyle name="Финансовый 2 20" xfId="1962" xr:uid="{00000000-0005-0000-0000-0000AF070000}"/>
    <cellStyle name="Финансовый 2 21" xfId="1963" xr:uid="{00000000-0005-0000-0000-0000B0070000}"/>
    <cellStyle name="Финансовый 2 22" xfId="1964" xr:uid="{00000000-0005-0000-0000-0000B1070000}"/>
    <cellStyle name="Финансовый 2 23" xfId="1965" xr:uid="{00000000-0005-0000-0000-0000B2070000}"/>
    <cellStyle name="Финансовый 2 24" xfId="1966" xr:uid="{00000000-0005-0000-0000-0000B3070000}"/>
    <cellStyle name="Финансовый 2 25" xfId="1967" xr:uid="{00000000-0005-0000-0000-0000B4070000}"/>
    <cellStyle name="Финансовый 2 26" xfId="1968" xr:uid="{00000000-0005-0000-0000-0000B5070000}"/>
    <cellStyle name="Финансовый 2 27" xfId="1969" xr:uid="{00000000-0005-0000-0000-0000B6070000}"/>
    <cellStyle name="Финансовый 2 28" xfId="1970" xr:uid="{00000000-0005-0000-0000-0000B7070000}"/>
    <cellStyle name="Финансовый 2 29" xfId="1971" xr:uid="{00000000-0005-0000-0000-0000B8070000}"/>
    <cellStyle name="Финансовый 2 3" xfId="1972" xr:uid="{00000000-0005-0000-0000-0000B9070000}"/>
    <cellStyle name="Финансовый 2 30" xfId="1973" xr:uid="{00000000-0005-0000-0000-0000BA070000}"/>
    <cellStyle name="Финансовый 2 31" xfId="1974" xr:uid="{00000000-0005-0000-0000-0000BB070000}"/>
    <cellStyle name="Финансовый 2 32" xfId="1975" xr:uid="{00000000-0005-0000-0000-0000BC070000}"/>
    <cellStyle name="Финансовый 2 33" xfId="1976" xr:uid="{00000000-0005-0000-0000-0000BD070000}"/>
    <cellStyle name="Финансовый 2 34" xfId="1977" xr:uid="{00000000-0005-0000-0000-0000BE070000}"/>
    <cellStyle name="Финансовый 2 35" xfId="1978" xr:uid="{00000000-0005-0000-0000-0000BF070000}"/>
    <cellStyle name="Финансовый 2 36" xfId="1979" xr:uid="{00000000-0005-0000-0000-0000C0070000}"/>
    <cellStyle name="Финансовый 2 4" xfId="1980" xr:uid="{00000000-0005-0000-0000-0000C1070000}"/>
    <cellStyle name="Финансовый 2 5" xfId="1981" xr:uid="{00000000-0005-0000-0000-0000C2070000}"/>
    <cellStyle name="Финансовый 2 6" xfId="1982" xr:uid="{00000000-0005-0000-0000-0000C3070000}"/>
    <cellStyle name="Финансовый 2 7" xfId="1983" xr:uid="{00000000-0005-0000-0000-0000C4070000}"/>
    <cellStyle name="Финансовый 2 8" xfId="1984" xr:uid="{00000000-0005-0000-0000-0000C5070000}"/>
    <cellStyle name="Финансовый 2 9" xfId="1985" xr:uid="{00000000-0005-0000-0000-0000C6070000}"/>
    <cellStyle name="Финансовый 3" xfId="216" xr:uid="{00000000-0005-0000-0000-0000C7070000}"/>
    <cellStyle name="Финансовый 4" xfId="297" xr:uid="{00000000-0005-0000-0000-0000C8070000}"/>
    <cellStyle name="Финансовый 4 2" xfId="298" xr:uid="{00000000-0005-0000-0000-0000C9070000}"/>
    <cellStyle name="Финансовый 5" xfId="2026" xr:uid="{00000000-0005-0000-0000-0000CA070000}"/>
    <cellStyle name="Хороший" xfId="16" builtinId="26" customBuiltin="1"/>
    <cellStyle name="Хороший 10" xfId="1986" xr:uid="{00000000-0005-0000-0000-0000CB070000}"/>
    <cellStyle name="Хороший 11" xfId="1987" xr:uid="{00000000-0005-0000-0000-0000CC070000}"/>
    <cellStyle name="Хороший 12" xfId="1988" xr:uid="{00000000-0005-0000-0000-0000CD070000}"/>
    <cellStyle name="Хороший 13" xfId="1989" xr:uid="{00000000-0005-0000-0000-0000CE070000}"/>
    <cellStyle name="Хороший 14" xfId="1990" xr:uid="{00000000-0005-0000-0000-0000CF070000}"/>
    <cellStyle name="Хороший 15" xfId="1991" xr:uid="{00000000-0005-0000-0000-0000D0070000}"/>
    <cellStyle name="Хороший 16" xfId="1992" xr:uid="{00000000-0005-0000-0000-0000D1070000}"/>
    <cellStyle name="Хороший 17" xfId="1993" xr:uid="{00000000-0005-0000-0000-0000D2070000}"/>
    <cellStyle name="Хороший 18" xfId="1994" xr:uid="{00000000-0005-0000-0000-0000D3070000}"/>
    <cellStyle name="Хороший 19" xfId="1995" xr:uid="{00000000-0005-0000-0000-0000D4070000}"/>
    <cellStyle name="Хороший 2" xfId="1996" xr:uid="{00000000-0005-0000-0000-0000D5070000}"/>
    <cellStyle name="Хороший 20" xfId="1997" xr:uid="{00000000-0005-0000-0000-0000D6070000}"/>
    <cellStyle name="Хороший 21" xfId="1998" xr:uid="{00000000-0005-0000-0000-0000D7070000}"/>
    <cellStyle name="Хороший 22" xfId="1999" xr:uid="{00000000-0005-0000-0000-0000D8070000}"/>
    <cellStyle name="Хороший 23" xfId="2000" xr:uid="{00000000-0005-0000-0000-0000D9070000}"/>
    <cellStyle name="Хороший 24" xfId="2001" xr:uid="{00000000-0005-0000-0000-0000DA070000}"/>
    <cellStyle name="Хороший 25" xfId="2002" xr:uid="{00000000-0005-0000-0000-0000DB070000}"/>
    <cellStyle name="Хороший 26" xfId="2003" xr:uid="{00000000-0005-0000-0000-0000DC070000}"/>
    <cellStyle name="Хороший 27" xfId="2004" xr:uid="{00000000-0005-0000-0000-0000DD070000}"/>
    <cellStyle name="Хороший 28" xfId="2005" xr:uid="{00000000-0005-0000-0000-0000DE070000}"/>
    <cellStyle name="Хороший 29" xfId="2006" xr:uid="{00000000-0005-0000-0000-0000DF070000}"/>
    <cellStyle name="Хороший 3" xfId="2007" xr:uid="{00000000-0005-0000-0000-0000E0070000}"/>
    <cellStyle name="Хороший 30" xfId="2008" xr:uid="{00000000-0005-0000-0000-0000E1070000}"/>
    <cellStyle name="Хороший 31" xfId="2009" xr:uid="{00000000-0005-0000-0000-0000E2070000}"/>
    <cellStyle name="Хороший 32" xfId="2010" xr:uid="{00000000-0005-0000-0000-0000E3070000}"/>
    <cellStyle name="Хороший 33" xfId="2011" xr:uid="{00000000-0005-0000-0000-0000E4070000}"/>
    <cellStyle name="Хороший 34" xfId="2012" xr:uid="{00000000-0005-0000-0000-0000E5070000}"/>
    <cellStyle name="Хороший 35" xfId="2013" xr:uid="{00000000-0005-0000-0000-0000E6070000}"/>
    <cellStyle name="Хороший 36" xfId="2014" xr:uid="{00000000-0005-0000-0000-0000E7070000}"/>
    <cellStyle name="Хороший 4" xfId="2015" xr:uid="{00000000-0005-0000-0000-0000E8070000}"/>
    <cellStyle name="Хороший 5" xfId="2016" xr:uid="{00000000-0005-0000-0000-0000E9070000}"/>
    <cellStyle name="Хороший 6" xfId="2017" xr:uid="{00000000-0005-0000-0000-0000EA070000}"/>
    <cellStyle name="Хороший 7" xfId="2018" xr:uid="{00000000-0005-0000-0000-0000EB070000}"/>
    <cellStyle name="Хороший 8" xfId="2019" xr:uid="{00000000-0005-0000-0000-0000EC070000}"/>
    <cellStyle name="Хороший 9" xfId="2020" xr:uid="{00000000-0005-0000-0000-0000ED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3"/>
  <sheetViews>
    <sheetView topLeftCell="A7" zoomScale="85" zoomScaleNormal="85" zoomScaleSheetLayoutView="100" workbookViewId="0">
      <selection activeCell="B15" sqref="B15:B20"/>
    </sheetView>
  </sheetViews>
  <sheetFormatPr defaultColWidth="9.125" defaultRowHeight="17.25"/>
  <cols>
    <col min="1" max="1" width="9.75" style="8" customWidth="1"/>
    <col min="2" max="2" width="24.75" style="8" customWidth="1"/>
    <col min="3" max="3" width="64.375" style="8" customWidth="1"/>
    <col min="4" max="5" width="25" style="8" customWidth="1"/>
    <col min="6" max="6" width="15.875" style="8" customWidth="1"/>
    <col min="7" max="7" width="15.75" style="8" customWidth="1"/>
    <col min="8" max="8" width="13.875" style="8" customWidth="1"/>
    <col min="9" max="10" width="12.25" style="8" customWidth="1"/>
    <col min="11" max="16384" width="9.125" style="8"/>
  </cols>
  <sheetData>
    <row r="1" spans="1:6" ht="37.15" customHeight="1">
      <c r="C1" s="407" t="s">
        <v>79</v>
      </c>
      <c r="D1" s="407"/>
      <c r="E1" s="407"/>
    </row>
    <row r="2" spans="1:6" ht="17.45" customHeight="1">
      <c r="C2" s="408" t="s">
        <v>126</v>
      </c>
      <c r="D2" s="408"/>
      <c r="E2" s="408"/>
    </row>
    <row r="3" spans="1:6" ht="17.45" customHeight="1">
      <c r="C3" s="408" t="s">
        <v>7</v>
      </c>
      <c r="D3" s="408"/>
      <c r="E3" s="408"/>
    </row>
    <row r="6" spans="1:6" ht="75.95" customHeight="1">
      <c r="A6" s="411" t="s">
        <v>127</v>
      </c>
      <c r="B6" s="411"/>
      <c r="C6" s="411"/>
      <c r="D6" s="411"/>
      <c r="E6" s="411"/>
    </row>
    <row r="7" spans="1:6">
      <c r="A7" s="103"/>
      <c r="B7" s="103"/>
      <c r="C7" s="103"/>
      <c r="D7" s="132"/>
      <c r="E7" s="103"/>
    </row>
    <row r="9" spans="1:6">
      <c r="D9" s="131"/>
      <c r="E9" s="326" t="s">
        <v>21</v>
      </c>
    </row>
    <row r="10" spans="1:6" s="27" customFormat="1" ht="66" customHeight="1">
      <c r="A10" s="412" t="s">
        <v>10</v>
      </c>
      <c r="B10" s="413"/>
      <c r="C10" s="409" t="s">
        <v>11</v>
      </c>
      <c r="D10" s="414" t="s">
        <v>103</v>
      </c>
      <c r="E10" s="415"/>
    </row>
    <row r="11" spans="1:6" s="27" customFormat="1" ht="44.45" customHeight="1">
      <c r="A11" s="33" t="s">
        <v>51</v>
      </c>
      <c r="B11" s="104" t="s">
        <v>14</v>
      </c>
      <c r="C11" s="410"/>
      <c r="D11" s="135" t="s">
        <v>122</v>
      </c>
      <c r="E11" s="102" t="s">
        <v>12</v>
      </c>
    </row>
    <row r="12" spans="1:6" s="27" customFormat="1" ht="34.9" customHeight="1">
      <c r="A12" s="34" t="s">
        <v>47</v>
      </c>
      <c r="B12" s="35"/>
      <c r="C12" s="113" t="s">
        <v>20</v>
      </c>
      <c r="D12" s="25">
        <f>+D14+D130</f>
        <v>0</v>
      </c>
      <c r="E12" s="25">
        <f>+E14+E130</f>
        <v>0</v>
      </c>
    </row>
    <row r="13" spans="1:6" s="27" customFormat="1" ht="18" customHeight="1">
      <c r="A13" s="34"/>
      <c r="B13" s="35"/>
      <c r="C13" s="11" t="s">
        <v>38</v>
      </c>
      <c r="D13" s="9"/>
      <c r="E13" s="9"/>
    </row>
    <row r="14" spans="1:6" s="27" customFormat="1" ht="34.5">
      <c r="A14" s="40"/>
      <c r="B14" s="36"/>
      <c r="C14" s="12" t="s">
        <v>55</v>
      </c>
      <c r="D14" s="7">
        <f>+D16+D35+D48+D61+D74+D87</f>
        <v>-1431410.5</v>
      </c>
      <c r="E14" s="7">
        <f>+E16+E35+E48+E61+E74+E87</f>
        <v>-1868106.830000001</v>
      </c>
    </row>
    <row r="15" spans="1:6" s="27" customFormat="1">
      <c r="A15" s="404">
        <v>1045</v>
      </c>
      <c r="B15" s="401"/>
      <c r="C15" s="170" t="s">
        <v>25</v>
      </c>
      <c r="D15" s="10"/>
      <c r="E15" s="10"/>
    </row>
    <row r="16" spans="1:6" s="27" customFormat="1" ht="34.5">
      <c r="A16" s="405"/>
      <c r="B16" s="402"/>
      <c r="C16" s="171" t="s">
        <v>206</v>
      </c>
      <c r="D16" s="7">
        <f>+D23+D29</f>
        <v>-653446.19999999995</v>
      </c>
      <c r="E16" s="7">
        <f>+E23+E29</f>
        <v>-850565.3</v>
      </c>
      <c r="F16" s="41"/>
    </row>
    <row r="17" spans="1:6" s="27" customFormat="1">
      <c r="A17" s="405"/>
      <c r="B17" s="402"/>
      <c r="C17" s="172" t="s">
        <v>26</v>
      </c>
      <c r="D17" s="29"/>
      <c r="E17" s="29"/>
    </row>
    <row r="18" spans="1:6" s="27" customFormat="1" ht="86.25">
      <c r="A18" s="405"/>
      <c r="B18" s="402"/>
      <c r="C18" s="173" t="s">
        <v>207</v>
      </c>
      <c r="D18" s="29"/>
      <c r="E18" s="29"/>
    </row>
    <row r="19" spans="1:6" s="27" customFormat="1">
      <c r="A19" s="405"/>
      <c r="B19" s="402"/>
      <c r="C19" s="172" t="s">
        <v>27</v>
      </c>
      <c r="D19" s="29"/>
      <c r="E19" s="29"/>
    </row>
    <row r="20" spans="1:6" s="27" customFormat="1" ht="69">
      <c r="A20" s="405"/>
      <c r="B20" s="402"/>
      <c r="C20" s="173" t="s">
        <v>208</v>
      </c>
      <c r="D20" s="29"/>
      <c r="E20" s="29"/>
    </row>
    <row r="21" spans="1:6" s="27" customFormat="1" ht="24" customHeight="1">
      <c r="A21" s="405"/>
      <c r="B21" s="174"/>
      <c r="C21" s="175" t="s">
        <v>46</v>
      </c>
      <c r="D21" s="29"/>
      <c r="E21" s="29"/>
    </row>
    <row r="22" spans="1:6" s="27" customFormat="1">
      <c r="A22" s="405"/>
      <c r="B22" s="403">
        <v>32001</v>
      </c>
      <c r="C22" s="172" t="s">
        <v>28</v>
      </c>
      <c r="D22" s="29"/>
      <c r="E22" s="29"/>
    </row>
    <row r="23" spans="1:6" s="27" customFormat="1" ht="51.75">
      <c r="A23" s="405"/>
      <c r="B23" s="403"/>
      <c r="C23" s="176" t="s">
        <v>209</v>
      </c>
      <c r="D23" s="29">
        <f>+'Հավելված N 2'!G67</f>
        <v>-264013.5</v>
      </c>
      <c r="E23" s="29">
        <f>+'Հավելված N 2'!H67</f>
        <v>-330699.7</v>
      </c>
      <c r="F23" s="44"/>
    </row>
    <row r="24" spans="1:6" s="27" customFormat="1">
      <c r="A24" s="405"/>
      <c r="B24" s="403"/>
      <c r="C24" s="172" t="s">
        <v>29</v>
      </c>
      <c r="D24" s="42"/>
      <c r="E24" s="42"/>
    </row>
    <row r="25" spans="1:6" s="27" customFormat="1" ht="69">
      <c r="A25" s="405"/>
      <c r="B25" s="403"/>
      <c r="C25" s="173" t="s">
        <v>210</v>
      </c>
      <c r="D25" s="42"/>
      <c r="E25" s="42"/>
    </row>
    <row r="26" spans="1:6" s="27" customFormat="1">
      <c r="A26" s="405"/>
      <c r="B26" s="403"/>
      <c r="C26" s="172" t="s">
        <v>30</v>
      </c>
      <c r="D26" s="42"/>
      <c r="E26" s="42"/>
    </row>
    <row r="27" spans="1:6" s="27" customFormat="1" ht="34.5">
      <c r="A27" s="405"/>
      <c r="B27" s="403"/>
      <c r="C27" s="173" t="s">
        <v>66</v>
      </c>
      <c r="D27" s="42"/>
      <c r="E27" s="42"/>
    </row>
    <row r="28" spans="1:6" s="27" customFormat="1">
      <c r="A28" s="405"/>
      <c r="B28" s="403">
        <v>32005</v>
      </c>
      <c r="C28" s="172" t="s">
        <v>28</v>
      </c>
      <c r="D28" s="29"/>
      <c r="E28" s="29"/>
    </row>
    <row r="29" spans="1:6" s="27" customFormat="1" ht="51.75">
      <c r="A29" s="405"/>
      <c r="B29" s="403"/>
      <c r="C29" s="176" t="s">
        <v>181</v>
      </c>
      <c r="D29" s="29">
        <f>+'Հավելված N 2'!G78</f>
        <v>-389432.7</v>
      </c>
      <c r="E29" s="29">
        <f>+'Հավելված N 2'!H78</f>
        <v>-519865.60000000003</v>
      </c>
      <c r="F29" s="44"/>
    </row>
    <row r="30" spans="1:6" s="27" customFormat="1">
      <c r="A30" s="405"/>
      <c r="B30" s="403"/>
      <c r="C30" s="172" t="s">
        <v>29</v>
      </c>
      <c r="D30" s="42"/>
      <c r="E30" s="42"/>
    </row>
    <row r="31" spans="1:6" s="27" customFormat="1" ht="34.5">
      <c r="A31" s="405"/>
      <c r="B31" s="403"/>
      <c r="C31" s="173" t="s">
        <v>211</v>
      </c>
      <c r="D31" s="42"/>
      <c r="E31" s="42"/>
    </row>
    <row r="32" spans="1:6" s="27" customFormat="1">
      <c r="A32" s="405"/>
      <c r="B32" s="403"/>
      <c r="C32" s="172" t="s">
        <v>30</v>
      </c>
      <c r="D32" s="42"/>
      <c r="E32" s="42"/>
    </row>
    <row r="33" spans="1:6" s="27" customFormat="1" ht="34.5">
      <c r="A33" s="406"/>
      <c r="B33" s="403"/>
      <c r="C33" s="173" t="s">
        <v>66</v>
      </c>
      <c r="D33" s="42"/>
      <c r="E33" s="42"/>
    </row>
    <row r="34" spans="1:6" s="27" customFormat="1">
      <c r="A34" s="404">
        <v>1075</v>
      </c>
      <c r="B34" s="401"/>
      <c r="C34" s="170" t="s">
        <v>25</v>
      </c>
      <c r="D34" s="10"/>
      <c r="E34" s="10"/>
    </row>
    <row r="35" spans="1:6" s="27" customFormat="1">
      <c r="A35" s="405"/>
      <c r="B35" s="402"/>
      <c r="C35" s="171" t="s">
        <v>194</v>
      </c>
      <c r="D35" s="7">
        <f>+D42</f>
        <v>-117379.8</v>
      </c>
      <c r="E35" s="7">
        <f>+E42</f>
        <v>-199482</v>
      </c>
      <c r="F35" s="41"/>
    </row>
    <row r="36" spans="1:6" s="27" customFormat="1">
      <c r="A36" s="405"/>
      <c r="B36" s="402"/>
      <c r="C36" s="172" t="s">
        <v>26</v>
      </c>
      <c r="D36" s="29"/>
      <c r="E36" s="29"/>
    </row>
    <row r="37" spans="1:6" s="27" customFormat="1" ht="34.5">
      <c r="A37" s="405"/>
      <c r="B37" s="402"/>
      <c r="C37" s="173" t="s">
        <v>212</v>
      </c>
      <c r="D37" s="29"/>
      <c r="E37" s="29"/>
    </row>
    <row r="38" spans="1:6" s="27" customFormat="1">
      <c r="A38" s="405"/>
      <c r="B38" s="402"/>
      <c r="C38" s="172" t="s">
        <v>27</v>
      </c>
      <c r="D38" s="29"/>
      <c r="E38" s="29"/>
    </row>
    <row r="39" spans="1:6" s="27" customFormat="1" ht="34.5">
      <c r="A39" s="405"/>
      <c r="B39" s="402"/>
      <c r="C39" s="173" t="s">
        <v>213</v>
      </c>
      <c r="D39" s="29"/>
      <c r="E39" s="29"/>
    </row>
    <row r="40" spans="1:6" s="27" customFormat="1" ht="24" customHeight="1">
      <c r="A40" s="405"/>
      <c r="B40" s="174"/>
      <c r="C40" s="175" t="s">
        <v>46</v>
      </c>
      <c r="D40" s="29"/>
      <c r="E40" s="29"/>
    </row>
    <row r="41" spans="1:6" s="27" customFormat="1">
      <c r="A41" s="405"/>
      <c r="B41" s="403">
        <v>32001</v>
      </c>
      <c r="C41" s="172" t="s">
        <v>28</v>
      </c>
      <c r="D41" s="29"/>
      <c r="E41" s="29"/>
    </row>
    <row r="42" spans="1:6" s="27" customFormat="1" ht="34.5">
      <c r="A42" s="405"/>
      <c r="B42" s="403"/>
      <c r="C42" s="176" t="s">
        <v>169</v>
      </c>
      <c r="D42" s="29">
        <f>+'Հավելված N 2'!G24</f>
        <v>-117379.8</v>
      </c>
      <c r="E42" s="29">
        <f>+'Հավելված N 2'!H24</f>
        <v>-199482</v>
      </c>
      <c r="F42" s="44"/>
    </row>
    <row r="43" spans="1:6" s="27" customFormat="1">
      <c r="A43" s="405"/>
      <c r="B43" s="403"/>
      <c r="C43" s="172" t="s">
        <v>29</v>
      </c>
      <c r="D43" s="42"/>
      <c r="E43" s="42"/>
    </row>
    <row r="44" spans="1:6" s="27" customFormat="1" ht="69">
      <c r="A44" s="405"/>
      <c r="B44" s="403"/>
      <c r="C44" s="173" t="s">
        <v>214</v>
      </c>
      <c r="D44" s="42"/>
      <c r="E44" s="42"/>
    </row>
    <row r="45" spans="1:6" s="27" customFormat="1">
      <c r="A45" s="405"/>
      <c r="B45" s="403"/>
      <c r="C45" s="172" t="s">
        <v>30</v>
      </c>
      <c r="D45" s="42"/>
      <c r="E45" s="42"/>
    </row>
    <row r="46" spans="1:6" s="27" customFormat="1" ht="34.5">
      <c r="A46" s="405"/>
      <c r="B46" s="403"/>
      <c r="C46" s="173" t="s">
        <v>66</v>
      </c>
      <c r="D46" s="42"/>
      <c r="E46" s="42"/>
    </row>
    <row r="47" spans="1:6" s="27" customFormat="1">
      <c r="A47" s="404">
        <v>1111</v>
      </c>
      <c r="B47" s="401"/>
      <c r="C47" s="170" t="s">
        <v>25</v>
      </c>
      <c r="D47" s="10"/>
      <c r="E47" s="10"/>
    </row>
    <row r="48" spans="1:6" s="27" customFormat="1" ht="34.5">
      <c r="A48" s="405"/>
      <c r="B48" s="402"/>
      <c r="C48" s="171" t="s">
        <v>428</v>
      </c>
      <c r="D48" s="7">
        <f>+D55</f>
        <v>-106918.2</v>
      </c>
      <c r="E48" s="7">
        <f>+E55</f>
        <v>-267295.40000000002</v>
      </c>
      <c r="F48" s="41"/>
    </row>
    <row r="49" spans="1:6" s="27" customFormat="1">
      <c r="A49" s="405"/>
      <c r="B49" s="402"/>
      <c r="C49" s="172" t="s">
        <v>26</v>
      </c>
      <c r="D49" s="29"/>
      <c r="E49" s="29"/>
    </row>
    <row r="50" spans="1:6" s="27" customFormat="1" ht="34.5">
      <c r="A50" s="405"/>
      <c r="B50" s="402"/>
      <c r="C50" s="173" t="s">
        <v>440</v>
      </c>
      <c r="D50" s="29"/>
      <c r="E50" s="29"/>
    </row>
    <row r="51" spans="1:6" s="27" customFormat="1">
      <c r="A51" s="405"/>
      <c r="B51" s="402"/>
      <c r="C51" s="172" t="s">
        <v>27</v>
      </c>
      <c r="D51" s="29"/>
      <c r="E51" s="29"/>
    </row>
    <row r="52" spans="1:6" s="27" customFormat="1" ht="69">
      <c r="A52" s="405"/>
      <c r="B52" s="402"/>
      <c r="C52" s="173" t="s">
        <v>441</v>
      </c>
      <c r="D52" s="29"/>
      <c r="E52" s="29"/>
    </row>
    <row r="53" spans="1:6" s="27" customFormat="1" ht="24" customHeight="1">
      <c r="A53" s="405"/>
      <c r="B53" s="174"/>
      <c r="C53" s="175" t="s">
        <v>46</v>
      </c>
      <c r="D53" s="29"/>
      <c r="E53" s="29"/>
    </row>
    <row r="54" spans="1:6" s="27" customFormat="1">
      <c r="A54" s="405"/>
      <c r="B54" s="403">
        <v>32001</v>
      </c>
      <c r="C54" s="172" t="s">
        <v>28</v>
      </c>
      <c r="D54" s="29"/>
      <c r="E54" s="29"/>
    </row>
    <row r="55" spans="1:6" s="27" customFormat="1" ht="51.75">
      <c r="A55" s="405"/>
      <c r="B55" s="403"/>
      <c r="C55" s="176" t="s">
        <v>429</v>
      </c>
      <c r="D55" s="29">
        <f>+'Հավելված N 2'!G89</f>
        <v>-106918.2</v>
      </c>
      <c r="E55" s="29">
        <f>+'Հավելված N 2'!H89</f>
        <v>-267295.40000000002</v>
      </c>
      <c r="F55" s="44"/>
    </row>
    <row r="56" spans="1:6" s="27" customFormat="1">
      <c r="A56" s="405"/>
      <c r="B56" s="403"/>
      <c r="C56" s="172" t="s">
        <v>29</v>
      </c>
      <c r="D56" s="42"/>
      <c r="E56" s="42"/>
    </row>
    <row r="57" spans="1:6" s="27" customFormat="1" ht="51.75">
      <c r="A57" s="405"/>
      <c r="B57" s="403"/>
      <c r="C57" s="173" t="s">
        <v>442</v>
      </c>
      <c r="D57" s="42"/>
      <c r="E57" s="42"/>
    </row>
    <row r="58" spans="1:6" s="27" customFormat="1">
      <c r="A58" s="405"/>
      <c r="B58" s="403"/>
      <c r="C58" s="172" t="s">
        <v>30</v>
      </c>
      <c r="D58" s="42"/>
      <c r="E58" s="42"/>
    </row>
    <row r="59" spans="1:6" s="27" customFormat="1" ht="34.5">
      <c r="A59" s="406"/>
      <c r="B59" s="403"/>
      <c r="C59" s="173" t="s">
        <v>66</v>
      </c>
      <c r="D59" s="42"/>
      <c r="E59" s="42"/>
    </row>
    <row r="60" spans="1:6" s="27" customFormat="1">
      <c r="A60" s="416">
        <v>1146</v>
      </c>
      <c r="B60" s="417"/>
      <c r="C60" s="92" t="s">
        <v>25</v>
      </c>
      <c r="D60" s="10"/>
      <c r="E60" s="10"/>
    </row>
    <row r="61" spans="1:6" s="27" customFormat="1">
      <c r="A61" s="405"/>
      <c r="B61" s="418"/>
      <c r="C61" s="93" t="s">
        <v>116</v>
      </c>
      <c r="D61" s="7">
        <f>+D68</f>
        <v>-1249723.7</v>
      </c>
      <c r="E61" s="7">
        <f t="shared" ref="E61" si="0">+E68</f>
        <v>-1751820.2300000002</v>
      </c>
      <c r="F61" s="41"/>
    </row>
    <row r="62" spans="1:6" s="27" customFormat="1">
      <c r="A62" s="405"/>
      <c r="B62" s="418"/>
      <c r="C62" s="94" t="s">
        <v>26</v>
      </c>
      <c r="D62" s="29"/>
      <c r="E62" s="29"/>
    </row>
    <row r="63" spans="1:6" s="27" customFormat="1">
      <c r="A63" s="405"/>
      <c r="B63" s="418"/>
      <c r="C63" s="95" t="s">
        <v>117</v>
      </c>
      <c r="D63" s="29"/>
      <c r="E63" s="29"/>
    </row>
    <row r="64" spans="1:6" s="27" customFormat="1">
      <c r="A64" s="405"/>
      <c r="B64" s="418"/>
      <c r="C64" s="94" t="s">
        <v>27</v>
      </c>
      <c r="D64" s="29"/>
      <c r="E64" s="29"/>
    </row>
    <row r="65" spans="1:6" s="27" customFormat="1" ht="86.25">
      <c r="A65" s="405"/>
      <c r="B65" s="418"/>
      <c r="C65" s="95" t="s">
        <v>118</v>
      </c>
      <c r="D65" s="29"/>
      <c r="E65" s="29"/>
    </row>
    <row r="66" spans="1:6" s="27" customFormat="1" ht="24" customHeight="1">
      <c r="A66" s="405"/>
      <c r="B66" s="42"/>
      <c r="C66" s="43" t="s">
        <v>46</v>
      </c>
      <c r="D66" s="29"/>
      <c r="E66" s="29"/>
    </row>
    <row r="67" spans="1:6" s="27" customFormat="1">
      <c r="A67" s="405"/>
      <c r="B67" s="419">
        <v>12010</v>
      </c>
      <c r="C67" s="94" t="s">
        <v>28</v>
      </c>
      <c r="D67" s="29"/>
      <c r="E67" s="29"/>
    </row>
    <row r="68" spans="1:6" s="27" customFormat="1" ht="34.5">
      <c r="A68" s="405"/>
      <c r="B68" s="419"/>
      <c r="C68" s="96" t="s">
        <v>190</v>
      </c>
      <c r="D68" s="29">
        <f>+'Հավելված N 2'!G100</f>
        <v>-1249723.7</v>
      </c>
      <c r="E68" s="29">
        <f>+'Հավելված N 2'!H100</f>
        <v>-1751820.2300000002</v>
      </c>
      <c r="F68" s="44"/>
    </row>
    <row r="69" spans="1:6" s="27" customFormat="1">
      <c r="A69" s="405"/>
      <c r="B69" s="419"/>
      <c r="C69" s="94" t="s">
        <v>29</v>
      </c>
      <c r="D69" s="42"/>
      <c r="E69" s="42"/>
    </row>
    <row r="70" spans="1:6" s="27" customFormat="1" ht="34.5">
      <c r="A70" s="405"/>
      <c r="B70" s="419"/>
      <c r="C70" s="95" t="s">
        <v>215</v>
      </c>
      <c r="D70" s="42"/>
      <c r="E70" s="42"/>
    </row>
    <row r="71" spans="1:6" s="27" customFormat="1">
      <c r="A71" s="405"/>
      <c r="B71" s="419"/>
      <c r="C71" s="94" t="s">
        <v>30</v>
      </c>
      <c r="D71" s="42"/>
      <c r="E71" s="42"/>
    </row>
    <row r="72" spans="1:6" s="27" customFormat="1">
      <c r="A72" s="405"/>
      <c r="B72" s="419"/>
      <c r="C72" s="95" t="s">
        <v>143</v>
      </c>
      <c r="D72" s="42"/>
      <c r="E72" s="42"/>
    </row>
    <row r="73" spans="1:6" s="27" customFormat="1">
      <c r="A73" s="404">
        <v>1168</v>
      </c>
      <c r="B73" s="401"/>
      <c r="C73" s="218" t="s">
        <v>25</v>
      </c>
      <c r="D73" s="10"/>
      <c r="E73" s="10"/>
    </row>
    <row r="74" spans="1:6" s="27" customFormat="1">
      <c r="A74" s="405"/>
      <c r="B74" s="402"/>
      <c r="C74" s="219" t="s">
        <v>195</v>
      </c>
      <c r="D74" s="7">
        <f>+D81</f>
        <v>0</v>
      </c>
      <c r="E74" s="7">
        <f>+E81</f>
        <v>278954.59999999998</v>
      </c>
      <c r="F74" s="41"/>
    </row>
    <row r="75" spans="1:6" s="27" customFormat="1">
      <c r="A75" s="405"/>
      <c r="B75" s="402"/>
      <c r="C75" s="215" t="s">
        <v>26</v>
      </c>
      <c r="D75" s="29"/>
      <c r="E75" s="29"/>
    </row>
    <row r="76" spans="1:6" s="27" customFormat="1" ht="51.75">
      <c r="A76" s="405"/>
      <c r="B76" s="402"/>
      <c r="C76" s="220" t="s">
        <v>216</v>
      </c>
      <c r="D76" s="29"/>
      <c r="E76" s="29"/>
    </row>
    <row r="77" spans="1:6" s="27" customFormat="1">
      <c r="A77" s="405"/>
      <c r="B77" s="402"/>
      <c r="C77" s="215" t="s">
        <v>27</v>
      </c>
      <c r="D77" s="29"/>
      <c r="E77" s="29"/>
    </row>
    <row r="78" spans="1:6" s="27" customFormat="1" ht="69">
      <c r="A78" s="405"/>
      <c r="B78" s="402"/>
      <c r="C78" s="221" t="s">
        <v>217</v>
      </c>
      <c r="D78" s="29"/>
      <c r="E78" s="29"/>
    </row>
    <row r="79" spans="1:6" s="27" customFormat="1" ht="24" customHeight="1">
      <c r="A79" s="405"/>
      <c r="B79" s="174"/>
      <c r="C79" s="175" t="s">
        <v>46</v>
      </c>
      <c r="D79" s="29"/>
      <c r="E79" s="29"/>
    </row>
    <row r="80" spans="1:6" s="27" customFormat="1">
      <c r="A80" s="405"/>
      <c r="B80" s="403">
        <v>32001</v>
      </c>
      <c r="C80" s="215" t="s">
        <v>28</v>
      </c>
      <c r="D80" s="29"/>
      <c r="E80" s="29"/>
    </row>
    <row r="81" spans="1:6" s="27" customFormat="1" ht="51.75">
      <c r="A81" s="405"/>
      <c r="B81" s="403"/>
      <c r="C81" s="222" t="s">
        <v>218</v>
      </c>
      <c r="D81" s="29">
        <f>+'Հավելված N 2'!G41</f>
        <v>0</v>
      </c>
      <c r="E81" s="29">
        <f>+'Հավելված N 2'!H41</f>
        <v>278954.59999999998</v>
      </c>
      <c r="F81" s="44"/>
    </row>
    <row r="82" spans="1:6" s="27" customFormat="1">
      <c r="A82" s="405"/>
      <c r="B82" s="403"/>
      <c r="C82" s="215" t="s">
        <v>29</v>
      </c>
      <c r="D82" s="42"/>
      <c r="E82" s="42"/>
    </row>
    <row r="83" spans="1:6" s="27" customFormat="1" ht="108.6" customHeight="1">
      <c r="A83" s="405"/>
      <c r="B83" s="403"/>
      <c r="C83" s="223" t="s">
        <v>219</v>
      </c>
      <c r="D83" s="42"/>
      <c r="E83" s="42"/>
    </row>
    <row r="84" spans="1:6" s="27" customFormat="1">
      <c r="A84" s="405"/>
      <c r="B84" s="403"/>
      <c r="C84" s="215" t="s">
        <v>30</v>
      </c>
      <c r="D84" s="42"/>
      <c r="E84" s="42"/>
    </row>
    <row r="85" spans="1:6" s="27" customFormat="1" ht="34.5">
      <c r="A85" s="405"/>
      <c r="B85" s="403"/>
      <c r="C85" s="223" t="s">
        <v>66</v>
      </c>
      <c r="D85" s="42"/>
      <c r="E85" s="42"/>
    </row>
    <row r="86" spans="1:6" ht="17.850000000000001" customHeight="1">
      <c r="A86" s="421">
        <v>1183</v>
      </c>
      <c r="B86" s="420"/>
      <c r="C86" s="284" t="s">
        <v>25</v>
      </c>
      <c r="D86" s="303"/>
      <c r="E86" s="303"/>
    </row>
    <row r="87" spans="1:6" ht="19.350000000000001" customHeight="1">
      <c r="A87" s="421"/>
      <c r="B87" s="420"/>
      <c r="C87" s="283" t="s">
        <v>95</v>
      </c>
      <c r="D87" s="205">
        <f>+D94+D100+D106+D112+D118+D124</f>
        <v>696057.4</v>
      </c>
      <c r="E87" s="205">
        <f>+E94+E100+E106+E112+E118+E124</f>
        <v>922101.49999999953</v>
      </c>
      <c r="F87" s="38"/>
    </row>
    <row r="88" spans="1:6" ht="17.850000000000001" customHeight="1">
      <c r="A88" s="421"/>
      <c r="B88" s="420"/>
      <c r="C88" s="284" t="s">
        <v>26</v>
      </c>
      <c r="D88" s="304"/>
      <c r="E88" s="304"/>
    </row>
    <row r="89" spans="1:6" ht="86.25">
      <c r="A89" s="421"/>
      <c r="B89" s="420"/>
      <c r="C89" s="299" t="s">
        <v>96</v>
      </c>
      <c r="D89" s="304"/>
      <c r="E89" s="304"/>
    </row>
    <row r="90" spans="1:6" ht="17.850000000000001" customHeight="1">
      <c r="A90" s="421"/>
      <c r="B90" s="420"/>
      <c r="C90" s="284" t="s">
        <v>27</v>
      </c>
      <c r="D90" s="304"/>
      <c r="E90" s="304"/>
    </row>
    <row r="91" spans="1:6">
      <c r="A91" s="421"/>
      <c r="B91" s="420"/>
      <c r="C91" s="299" t="s">
        <v>97</v>
      </c>
      <c r="D91" s="304"/>
      <c r="E91" s="304"/>
    </row>
    <row r="92" spans="1:6" ht="24" customHeight="1">
      <c r="A92" s="421"/>
      <c r="B92" s="211"/>
      <c r="C92" s="305" t="s">
        <v>15</v>
      </c>
      <c r="D92" s="297"/>
      <c r="E92" s="297"/>
    </row>
    <row r="93" spans="1:6" ht="17.850000000000001" customHeight="1">
      <c r="A93" s="421"/>
      <c r="B93" s="421">
        <v>32001</v>
      </c>
      <c r="C93" s="284" t="s">
        <v>28</v>
      </c>
      <c r="D93" s="306"/>
      <c r="E93" s="306"/>
    </row>
    <row r="94" spans="1:6">
      <c r="A94" s="421"/>
      <c r="B94" s="421"/>
      <c r="C94" s="276" t="s">
        <v>110</v>
      </c>
      <c r="D94" s="207">
        <f>+'Հավելված N 2'!G113</f>
        <v>-116082.1</v>
      </c>
      <c r="E94" s="207">
        <f>+'Հավելված N 2'!H113</f>
        <v>-353700.3</v>
      </c>
      <c r="F94" s="38"/>
    </row>
    <row r="95" spans="1:6" ht="17.45" customHeight="1">
      <c r="A95" s="421"/>
      <c r="B95" s="421"/>
      <c r="C95" s="284" t="s">
        <v>29</v>
      </c>
      <c r="D95" s="206"/>
      <c r="E95" s="206"/>
    </row>
    <row r="96" spans="1:6" ht="69">
      <c r="A96" s="421"/>
      <c r="B96" s="421"/>
      <c r="C96" s="299" t="s">
        <v>112</v>
      </c>
      <c r="D96" s="206"/>
      <c r="E96" s="206"/>
    </row>
    <row r="97" spans="1:6" ht="17.45" customHeight="1">
      <c r="A97" s="421"/>
      <c r="B97" s="421"/>
      <c r="C97" s="284" t="s">
        <v>30</v>
      </c>
      <c r="D97" s="206"/>
      <c r="E97" s="206"/>
    </row>
    <row r="98" spans="1:6" ht="34.5">
      <c r="A98" s="421"/>
      <c r="B98" s="421"/>
      <c r="C98" s="299" t="s">
        <v>66</v>
      </c>
      <c r="D98" s="206"/>
      <c r="E98" s="206"/>
    </row>
    <row r="99" spans="1:6" ht="17.850000000000001" customHeight="1">
      <c r="A99" s="422"/>
      <c r="B99" s="421">
        <v>32002</v>
      </c>
      <c r="C99" s="284" t="s">
        <v>28</v>
      </c>
      <c r="D99" s="306"/>
      <c r="E99" s="306"/>
    </row>
    <row r="100" spans="1:6" ht="34.5">
      <c r="A100" s="422"/>
      <c r="B100" s="421"/>
      <c r="C100" s="356" t="s">
        <v>334</v>
      </c>
      <c r="D100" s="207">
        <f>+'Հավելված N 2'!G124</f>
        <v>-942437.2</v>
      </c>
      <c r="E100" s="207">
        <f>+'Հավելված N 2'!H124</f>
        <v>-1259302.9000000001</v>
      </c>
      <c r="F100" s="38"/>
    </row>
    <row r="101" spans="1:6" ht="17.45" customHeight="1">
      <c r="A101" s="422"/>
      <c r="B101" s="421"/>
      <c r="C101" s="284" t="s">
        <v>29</v>
      </c>
      <c r="D101" s="206"/>
      <c r="E101" s="206"/>
    </row>
    <row r="102" spans="1:6" ht="69">
      <c r="A102" s="422"/>
      <c r="B102" s="421"/>
      <c r="C102" s="299" t="s">
        <v>443</v>
      </c>
      <c r="D102" s="206"/>
      <c r="E102" s="206"/>
    </row>
    <row r="103" spans="1:6" ht="17.45" customHeight="1">
      <c r="A103" s="422"/>
      <c r="B103" s="421"/>
      <c r="C103" s="284" t="s">
        <v>30</v>
      </c>
      <c r="D103" s="206"/>
      <c r="E103" s="206"/>
    </row>
    <row r="104" spans="1:6" ht="34.5">
      <c r="A104" s="422"/>
      <c r="B104" s="421"/>
      <c r="C104" s="299" t="s">
        <v>66</v>
      </c>
      <c r="D104" s="206"/>
      <c r="E104" s="206"/>
    </row>
    <row r="105" spans="1:6" ht="17.850000000000001" customHeight="1">
      <c r="A105" s="421"/>
      <c r="B105" s="423">
        <v>32003</v>
      </c>
      <c r="C105" s="215" t="s">
        <v>28</v>
      </c>
      <c r="D105" s="306"/>
      <c r="E105" s="306"/>
    </row>
    <row r="106" spans="1:6" ht="34.5">
      <c r="A106" s="421"/>
      <c r="B106" s="423"/>
      <c r="C106" s="224" t="s">
        <v>144</v>
      </c>
      <c r="D106" s="207">
        <f>+'Հավելված N 2'!G135</f>
        <v>1002513.7999999999</v>
      </c>
      <c r="E106" s="207">
        <f>+'Հավելված N 2'!H135</f>
        <v>1442123.2999999998</v>
      </c>
      <c r="F106" s="38"/>
    </row>
    <row r="107" spans="1:6" ht="17.45" customHeight="1">
      <c r="A107" s="421"/>
      <c r="B107" s="423"/>
      <c r="C107" s="215" t="s">
        <v>29</v>
      </c>
      <c r="D107" s="206"/>
      <c r="E107" s="206"/>
    </row>
    <row r="108" spans="1:6" ht="34.5">
      <c r="A108" s="421"/>
      <c r="B108" s="423"/>
      <c r="C108" s="223" t="s">
        <v>145</v>
      </c>
      <c r="D108" s="206"/>
      <c r="E108" s="206"/>
    </row>
    <row r="109" spans="1:6" ht="17.45" customHeight="1">
      <c r="A109" s="421"/>
      <c r="B109" s="423"/>
      <c r="C109" s="215" t="s">
        <v>30</v>
      </c>
      <c r="D109" s="206"/>
      <c r="E109" s="206"/>
    </row>
    <row r="110" spans="1:6" ht="34.5">
      <c r="A110" s="421"/>
      <c r="B110" s="423"/>
      <c r="C110" s="223" t="s">
        <v>66</v>
      </c>
      <c r="D110" s="206"/>
      <c r="E110" s="206"/>
    </row>
    <row r="111" spans="1:6" ht="17.850000000000001" customHeight="1">
      <c r="A111" s="421"/>
      <c r="B111" s="423">
        <v>32004</v>
      </c>
      <c r="C111" s="215" t="s">
        <v>28</v>
      </c>
      <c r="D111" s="306"/>
      <c r="E111" s="306"/>
    </row>
    <row r="112" spans="1:6" ht="34.5">
      <c r="A112" s="421"/>
      <c r="B112" s="423"/>
      <c r="C112" s="224" t="s">
        <v>177</v>
      </c>
      <c r="D112" s="207">
        <f>+'Հավելված N 2'!G146</f>
        <v>-20003</v>
      </c>
      <c r="E112" s="207">
        <f>+'Հավելված N 2'!H146</f>
        <v>-20003</v>
      </c>
      <c r="F112" s="38"/>
    </row>
    <row r="113" spans="1:6" ht="17.45" customHeight="1">
      <c r="A113" s="421"/>
      <c r="B113" s="423"/>
      <c r="C113" s="215" t="s">
        <v>29</v>
      </c>
      <c r="D113" s="206"/>
      <c r="E113" s="206"/>
    </row>
    <row r="114" spans="1:6">
      <c r="A114" s="421"/>
      <c r="B114" s="423"/>
      <c r="C114" s="223" t="s">
        <v>220</v>
      </c>
      <c r="D114" s="206"/>
      <c r="E114" s="206"/>
    </row>
    <row r="115" spans="1:6" ht="17.45" customHeight="1">
      <c r="A115" s="421"/>
      <c r="B115" s="423"/>
      <c r="C115" s="215" t="s">
        <v>30</v>
      </c>
      <c r="D115" s="206"/>
      <c r="E115" s="206"/>
    </row>
    <row r="116" spans="1:6" ht="34.5">
      <c r="A116" s="421"/>
      <c r="B116" s="423"/>
      <c r="C116" s="223" t="s">
        <v>66</v>
      </c>
      <c r="D116" s="206"/>
      <c r="E116" s="206"/>
    </row>
    <row r="117" spans="1:6" ht="17.850000000000001" customHeight="1">
      <c r="A117" s="421"/>
      <c r="B117" s="423">
        <v>32007</v>
      </c>
      <c r="C117" s="215" t="s">
        <v>28</v>
      </c>
      <c r="D117" s="306"/>
      <c r="E117" s="306"/>
    </row>
    <row r="118" spans="1:6" ht="34.5">
      <c r="A118" s="421"/>
      <c r="B118" s="423"/>
      <c r="C118" s="224" t="s">
        <v>184</v>
      </c>
      <c r="D118" s="207">
        <f>+'Հավելված N 2'!G155</f>
        <v>708989.00000000012</v>
      </c>
      <c r="E118" s="207">
        <f>+'Հավելված N 2'!H155</f>
        <v>798147.79999999993</v>
      </c>
      <c r="F118" s="38"/>
    </row>
    <row r="119" spans="1:6" ht="17.45" customHeight="1">
      <c r="A119" s="421"/>
      <c r="B119" s="423"/>
      <c r="C119" s="215" t="s">
        <v>29</v>
      </c>
      <c r="D119" s="206"/>
      <c r="E119" s="206"/>
    </row>
    <row r="120" spans="1:6" ht="51.75">
      <c r="A120" s="421"/>
      <c r="B120" s="423"/>
      <c r="C120" s="223" t="s">
        <v>221</v>
      </c>
      <c r="D120" s="206"/>
      <c r="E120" s="206"/>
    </row>
    <row r="121" spans="1:6" ht="17.45" customHeight="1">
      <c r="A121" s="421"/>
      <c r="B121" s="423"/>
      <c r="C121" s="215" t="s">
        <v>30</v>
      </c>
      <c r="D121" s="206"/>
      <c r="E121" s="206"/>
    </row>
    <row r="122" spans="1:6" ht="34.5">
      <c r="A122" s="421"/>
      <c r="B122" s="423"/>
      <c r="C122" s="223" t="s">
        <v>66</v>
      </c>
      <c r="D122" s="206"/>
      <c r="E122" s="206"/>
    </row>
    <row r="123" spans="1:6" ht="17.850000000000001" customHeight="1">
      <c r="A123" s="422"/>
      <c r="B123" s="423">
        <v>32009</v>
      </c>
      <c r="C123" s="215" t="s">
        <v>28</v>
      </c>
      <c r="D123" s="306"/>
      <c r="E123" s="306"/>
    </row>
    <row r="124" spans="1:6" ht="34.5">
      <c r="A124" s="422"/>
      <c r="B124" s="423"/>
      <c r="C124" s="224" t="s">
        <v>408</v>
      </c>
      <c r="D124" s="207">
        <f>+'Հավելված N 2'!G164</f>
        <v>63076.900000000009</v>
      </c>
      <c r="E124" s="207">
        <f>+'Հավելված N 2'!H164</f>
        <v>314836.60000000003</v>
      </c>
      <c r="F124" s="38"/>
    </row>
    <row r="125" spans="1:6" ht="17.45" customHeight="1">
      <c r="A125" s="422"/>
      <c r="B125" s="423"/>
      <c r="C125" s="215" t="s">
        <v>29</v>
      </c>
      <c r="D125" s="206"/>
      <c r="E125" s="206"/>
    </row>
    <row r="126" spans="1:6" ht="51.75">
      <c r="A126" s="422"/>
      <c r="B126" s="423"/>
      <c r="C126" s="223" t="s">
        <v>444</v>
      </c>
      <c r="D126" s="206"/>
      <c r="E126" s="206"/>
    </row>
    <row r="127" spans="1:6" ht="17.45" customHeight="1">
      <c r="A127" s="422"/>
      <c r="B127" s="423"/>
      <c r="C127" s="215" t="s">
        <v>30</v>
      </c>
      <c r="D127" s="206"/>
      <c r="E127" s="206"/>
    </row>
    <row r="128" spans="1:6" ht="34.5">
      <c r="A128" s="422"/>
      <c r="B128" s="423"/>
      <c r="C128" s="223" t="s">
        <v>66</v>
      </c>
      <c r="D128" s="206"/>
      <c r="E128" s="206"/>
    </row>
    <row r="129" spans="1:8">
      <c r="A129" s="13"/>
      <c r="B129" s="13"/>
      <c r="C129" s="302"/>
      <c r="D129" s="46"/>
      <c r="E129" s="46"/>
    </row>
    <row r="130" spans="1:8" s="28" customFormat="1" ht="34.9" customHeight="1">
      <c r="A130" s="206"/>
      <c r="B130" s="206"/>
      <c r="C130" s="276" t="s">
        <v>196</v>
      </c>
      <c r="D130" s="7">
        <f>+D132</f>
        <v>1431410.4999999998</v>
      </c>
      <c r="E130" s="7">
        <f>+E132</f>
        <v>1868106.830000001</v>
      </c>
      <c r="F130" s="308"/>
      <c r="G130" s="309"/>
      <c r="H130" s="309"/>
    </row>
    <row r="131" spans="1:8">
      <c r="A131" s="406">
        <v>1139</v>
      </c>
      <c r="B131" s="424"/>
      <c r="C131" s="37" t="s">
        <v>25</v>
      </c>
      <c r="D131" s="10"/>
      <c r="E131" s="10"/>
    </row>
    <row r="132" spans="1:8">
      <c r="A132" s="421"/>
      <c r="B132" s="420"/>
      <c r="C132" s="276" t="s">
        <v>200</v>
      </c>
      <c r="D132" s="7">
        <f>+D139</f>
        <v>1431410.4999999998</v>
      </c>
      <c r="E132" s="7">
        <f>+E139</f>
        <v>1868106.830000001</v>
      </c>
    </row>
    <row r="133" spans="1:8">
      <c r="A133" s="421"/>
      <c r="B133" s="420"/>
      <c r="C133" s="284" t="s">
        <v>26</v>
      </c>
      <c r="D133" s="29"/>
      <c r="E133" s="29"/>
    </row>
    <row r="134" spans="1:8" ht="51.75">
      <c r="A134" s="421"/>
      <c r="B134" s="420"/>
      <c r="C134" s="299" t="s">
        <v>222</v>
      </c>
      <c r="D134" s="29"/>
      <c r="E134" s="29"/>
    </row>
    <row r="135" spans="1:8">
      <c r="A135" s="421"/>
      <c r="B135" s="420"/>
      <c r="C135" s="284" t="s">
        <v>27</v>
      </c>
      <c r="D135" s="29"/>
      <c r="E135" s="29"/>
    </row>
    <row r="136" spans="1:8" ht="34.5">
      <c r="A136" s="421"/>
      <c r="B136" s="420"/>
      <c r="C136" s="300" t="s">
        <v>223</v>
      </c>
      <c r="D136" s="29"/>
      <c r="E136" s="29"/>
    </row>
    <row r="137" spans="1:8" s="27" customFormat="1" ht="24" customHeight="1">
      <c r="A137" s="421"/>
      <c r="B137" s="174"/>
      <c r="C137" s="175" t="s">
        <v>46</v>
      </c>
      <c r="D137" s="29"/>
      <c r="E137" s="29"/>
    </row>
    <row r="138" spans="1:8">
      <c r="A138" s="421"/>
      <c r="B138" s="421" t="s">
        <v>224</v>
      </c>
      <c r="C138" s="284" t="s">
        <v>28</v>
      </c>
      <c r="D138" s="29"/>
      <c r="E138" s="29"/>
    </row>
    <row r="139" spans="1:8">
      <c r="A139" s="421"/>
      <c r="B139" s="421"/>
      <c r="C139" s="301" t="s">
        <v>200</v>
      </c>
      <c r="D139" s="29">
        <f>+'Հավելված N 2'!G185</f>
        <v>1431410.4999999998</v>
      </c>
      <c r="E139" s="29">
        <f>+'Հավելված N 2'!H185</f>
        <v>1868106.830000001</v>
      </c>
    </row>
    <row r="140" spans="1:8">
      <c r="A140" s="421"/>
      <c r="B140" s="421"/>
      <c r="C140" s="284" t="s">
        <v>29</v>
      </c>
      <c r="D140" s="29"/>
      <c r="E140" s="29"/>
    </row>
    <row r="141" spans="1:8" ht="69">
      <c r="A141" s="421"/>
      <c r="B141" s="421"/>
      <c r="C141" s="299" t="s">
        <v>225</v>
      </c>
      <c r="D141" s="42"/>
      <c r="E141" s="42"/>
    </row>
    <row r="142" spans="1:8">
      <c r="A142" s="421"/>
      <c r="B142" s="421"/>
      <c r="C142" s="284" t="s">
        <v>30</v>
      </c>
      <c r="D142" s="42"/>
      <c r="E142" s="42"/>
    </row>
    <row r="143" spans="1:8">
      <c r="A143" s="421"/>
      <c r="B143" s="421"/>
      <c r="C143" s="299" t="s">
        <v>31</v>
      </c>
      <c r="D143" s="42"/>
      <c r="E143" s="42"/>
    </row>
  </sheetData>
  <mergeCells count="34">
    <mergeCell ref="A131:A143"/>
    <mergeCell ref="B131:B136"/>
    <mergeCell ref="B138:B143"/>
    <mergeCell ref="B73:B78"/>
    <mergeCell ref="B80:B85"/>
    <mergeCell ref="A73:A85"/>
    <mergeCell ref="A60:A72"/>
    <mergeCell ref="B60:B65"/>
    <mergeCell ref="B67:B72"/>
    <mergeCell ref="B86:B91"/>
    <mergeCell ref="B93:B98"/>
    <mergeCell ref="A86:A128"/>
    <mergeCell ref="B99:B104"/>
    <mergeCell ref="B105:B110"/>
    <mergeCell ref="B111:B116"/>
    <mergeCell ref="B117:B122"/>
    <mergeCell ref="B123:B128"/>
    <mergeCell ref="C1:E1"/>
    <mergeCell ref="C2:E2"/>
    <mergeCell ref="C3:E3"/>
    <mergeCell ref="C10:C11"/>
    <mergeCell ref="A6:E6"/>
    <mergeCell ref="A10:B10"/>
    <mergeCell ref="D10:E10"/>
    <mergeCell ref="B47:B52"/>
    <mergeCell ref="B54:B59"/>
    <mergeCell ref="A47:A59"/>
    <mergeCell ref="B15:B20"/>
    <mergeCell ref="B22:B27"/>
    <mergeCell ref="B28:B33"/>
    <mergeCell ref="A15:A33"/>
    <mergeCell ref="A34:A46"/>
    <mergeCell ref="B34:B39"/>
    <mergeCell ref="B41:B46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92"/>
  <sheetViews>
    <sheetView topLeftCell="A170" zoomScale="70" zoomScaleNormal="70" zoomScaleSheetLayoutView="100" workbookViewId="0">
      <selection activeCell="H192" sqref="H192"/>
    </sheetView>
  </sheetViews>
  <sheetFormatPr defaultColWidth="9.125" defaultRowHeight="17.25"/>
  <cols>
    <col min="1" max="3" width="8.125" style="8" customWidth="1"/>
    <col min="4" max="4" width="11.625" style="8" customWidth="1"/>
    <col min="5" max="5" width="13.875" style="8" customWidth="1"/>
    <col min="6" max="6" width="62.125" style="8" customWidth="1"/>
    <col min="7" max="7" width="24.75" style="8" customWidth="1"/>
    <col min="8" max="8" width="24.875" style="8" customWidth="1"/>
    <col min="9" max="9" width="15" style="8" customWidth="1"/>
    <col min="10" max="16384" width="9.125" style="8"/>
  </cols>
  <sheetData>
    <row r="1" spans="1:8" s="272" customFormat="1" ht="37.5" customHeight="1">
      <c r="F1" s="407" t="s">
        <v>80</v>
      </c>
      <c r="G1" s="407"/>
      <c r="H1" s="407"/>
    </row>
    <row r="2" spans="1:8" s="273" customFormat="1" ht="17.45" customHeight="1">
      <c r="F2" s="408" t="s">
        <v>126</v>
      </c>
      <c r="G2" s="408"/>
      <c r="H2" s="408"/>
    </row>
    <row r="3" spans="1:8" s="273" customFormat="1" ht="17.45" customHeight="1">
      <c r="F3" s="408" t="s">
        <v>7</v>
      </c>
      <c r="G3" s="408"/>
      <c r="H3" s="408"/>
    </row>
    <row r="4" spans="1:8" ht="13.5" customHeight="1"/>
    <row r="5" spans="1:8" ht="52.5" customHeight="1">
      <c r="A5" s="411" t="s">
        <v>205</v>
      </c>
      <c r="B5" s="411"/>
      <c r="C5" s="411"/>
      <c r="D5" s="411"/>
      <c r="E5" s="411"/>
      <c r="F5" s="411"/>
      <c r="G5" s="411"/>
      <c r="H5" s="411"/>
    </row>
    <row r="8" spans="1:8">
      <c r="G8" s="273"/>
      <c r="H8" s="273" t="s">
        <v>21</v>
      </c>
    </row>
    <row r="9" spans="1:8" s="27" customFormat="1" ht="61.7" customHeight="1">
      <c r="A9" s="437" t="s">
        <v>22</v>
      </c>
      <c r="B9" s="437"/>
      <c r="C9" s="437"/>
      <c r="D9" s="437" t="s">
        <v>10</v>
      </c>
      <c r="E9" s="437"/>
      <c r="F9" s="437" t="s">
        <v>16</v>
      </c>
      <c r="G9" s="414" t="s">
        <v>103</v>
      </c>
      <c r="H9" s="415"/>
    </row>
    <row r="10" spans="1:8" s="27" customFormat="1">
      <c r="A10" s="275" t="s">
        <v>104</v>
      </c>
      <c r="B10" s="275" t="s">
        <v>105</v>
      </c>
      <c r="C10" s="275" t="s">
        <v>23</v>
      </c>
      <c r="D10" s="275" t="s">
        <v>13</v>
      </c>
      <c r="E10" s="275" t="s">
        <v>52</v>
      </c>
      <c r="F10" s="437"/>
      <c r="G10" s="275" t="s">
        <v>122</v>
      </c>
      <c r="H10" s="275" t="s">
        <v>12</v>
      </c>
    </row>
    <row r="11" spans="1:8" s="27" customFormat="1" ht="34.9" customHeight="1">
      <c r="A11" s="107"/>
      <c r="B11" s="107"/>
      <c r="C11" s="107"/>
      <c r="D11" s="275"/>
      <c r="E11" s="275"/>
      <c r="F11" s="268" t="s">
        <v>20</v>
      </c>
      <c r="G11" s="25">
        <f>+G13+G174</f>
        <v>0</v>
      </c>
      <c r="H11" s="25">
        <f>+H13+H174</f>
        <v>0</v>
      </c>
    </row>
    <row r="12" spans="1:8" s="27" customFormat="1">
      <c r="A12" s="107"/>
      <c r="B12" s="107"/>
      <c r="C12" s="107"/>
      <c r="D12" s="275"/>
      <c r="E12" s="275"/>
      <c r="F12" s="107" t="s">
        <v>58</v>
      </c>
      <c r="G12" s="7"/>
      <c r="H12" s="7"/>
    </row>
    <row r="13" spans="1:8" s="27" customFormat="1" ht="34.5">
      <c r="A13" s="80"/>
      <c r="B13" s="67"/>
      <c r="C13" s="67"/>
      <c r="D13" s="81"/>
      <c r="E13" s="81"/>
      <c r="F13" s="268" t="s">
        <v>55</v>
      </c>
      <c r="G13" s="7">
        <f>+G14+G57</f>
        <v>-1431410.4999999998</v>
      </c>
      <c r="H13" s="7">
        <f>+H14+H57</f>
        <v>-1868106.830000001</v>
      </c>
    </row>
    <row r="14" spans="1:8" s="27" customFormat="1" ht="17.45" customHeight="1">
      <c r="A14" s="425" t="s">
        <v>131</v>
      </c>
      <c r="B14" s="427"/>
      <c r="C14" s="432"/>
      <c r="D14" s="434"/>
      <c r="E14" s="432"/>
      <c r="F14" s="270" t="s">
        <v>132</v>
      </c>
      <c r="G14" s="158">
        <f>+G16</f>
        <v>-117379.8</v>
      </c>
      <c r="H14" s="158">
        <f>+H16</f>
        <v>79472.599999999977</v>
      </c>
    </row>
    <row r="15" spans="1:8" s="27" customFormat="1" ht="16.899999999999999" customHeight="1">
      <c r="A15" s="426"/>
      <c r="B15" s="427"/>
      <c r="C15" s="433"/>
      <c r="D15" s="435"/>
      <c r="E15" s="433"/>
      <c r="F15" s="159" t="s">
        <v>17</v>
      </c>
      <c r="G15" s="160"/>
      <c r="H15" s="160"/>
    </row>
    <row r="16" spans="1:8" s="27" customFormat="1">
      <c r="A16" s="426"/>
      <c r="B16" s="425" t="s">
        <v>121</v>
      </c>
      <c r="C16" s="433"/>
      <c r="D16" s="435"/>
      <c r="E16" s="433"/>
      <c r="F16" s="270" t="s">
        <v>193</v>
      </c>
      <c r="G16" s="161">
        <f>+G18+G35</f>
        <v>-117379.8</v>
      </c>
      <c r="H16" s="161">
        <f>+H18+H35</f>
        <v>79472.599999999977</v>
      </c>
    </row>
    <row r="17" spans="1:15" s="27" customFormat="1" ht="16.899999999999999" customHeight="1">
      <c r="A17" s="426"/>
      <c r="B17" s="426"/>
      <c r="C17" s="424"/>
      <c r="D17" s="435"/>
      <c r="E17" s="433"/>
      <c r="F17" s="159" t="s">
        <v>17</v>
      </c>
      <c r="G17" s="161"/>
      <c r="H17" s="160"/>
    </row>
    <row r="18" spans="1:15" s="27" customFormat="1">
      <c r="A18" s="426"/>
      <c r="B18" s="426"/>
      <c r="C18" s="425" t="s">
        <v>121</v>
      </c>
      <c r="D18" s="435"/>
      <c r="E18" s="433"/>
      <c r="F18" s="328" t="s">
        <v>168</v>
      </c>
      <c r="G18" s="161">
        <f>+G20</f>
        <v>-117379.8</v>
      </c>
      <c r="H18" s="161">
        <f>+H20</f>
        <v>-199482</v>
      </c>
      <c r="I18" s="28"/>
      <c r="J18" s="28"/>
      <c r="K18" s="28"/>
      <c r="L18" s="28"/>
      <c r="M18" s="28"/>
      <c r="N18" s="28"/>
      <c r="O18" s="28"/>
    </row>
    <row r="19" spans="1:15" s="27" customFormat="1" ht="16.899999999999999" customHeight="1">
      <c r="A19" s="426"/>
      <c r="B19" s="426"/>
      <c r="C19" s="426"/>
      <c r="D19" s="435"/>
      <c r="E19" s="433"/>
      <c r="F19" s="159" t="s">
        <v>17</v>
      </c>
      <c r="G19" s="161"/>
      <c r="H19" s="162"/>
      <c r="I19" s="28"/>
      <c r="J19" s="28"/>
      <c r="K19" s="28"/>
      <c r="L19" s="28"/>
      <c r="M19" s="28"/>
      <c r="N19" s="28"/>
      <c r="O19" s="28"/>
    </row>
    <row r="20" spans="1:15" s="27" customFormat="1" ht="34.5">
      <c r="A20" s="426"/>
      <c r="B20" s="426"/>
      <c r="C20" s="426"/>
      <c r="D20" s="435"/>
      <c r="E20" s="433"/>
      <c r="F20" s="163" t="s">
        <v>39</v>
      </c>
      <c r="G20" s="278">
        <f>+G22</f>
        <v>-117379.8</v>
      </c>
      <c r="H20" s="278">
        <f>+H22</f>
        <v>-199482</v>
      </c>
      <c r="I20" s="28"/>
      <c r="J20" s="28"/>
      <c r="K20" s="28"/>
      <c r="L20" s="28"/>
      <c r="M20" s="28"/>
      <c r="N20" s="28"/>
      <c r="O20" s="28"/>
    </row>
    <row r="21" spans="1:15" s="27" customFormat="1" ht="16.899999999999999" customHeight="1">
      <c r="A21" s="426"/>
      <c r="B21" s="426"/>
      <c r="C21" s="426"/>
      <c r="D21" s="436"/>
      <c r="E21" s="424"/>
      <c r="F21" s="159" t="s">
        <v>17</v>
      </c>
      <c r="G21" s="161"/>
      <c r="H21" s="162"/>
      <c r="I21" s="28"/>
      <c r="J21" s="28"/>
      <c r="K21" s="28"/>
      <c r="L21" s="28"/>
      <c r="M21" s="28"/>
      <c r="N21" s="28"/>
      <c r="O21" s="28"/>
    </row>
    <row r="22" spans="1:15" s="27" customFormat="1">
      <c r="A22" s="426"/>
      <c r="B22" s="426"/>
      <c r="C22" s="426"/>
      <c r="D22" s="404">
        <v>1075</v>
      </c>
      <c r="E22" s="401" t="s">
        <v>194</v>
      </c>
      <c r="F22" s="401"/>
      <c r="G22" s="158">
        <f>+G24</f>
        <v>-117379.8</v>
      </c>
      <c r="H22" s="158">
        <f>+H24</f>
        <v>-199482</v>
      </c>
      <c r="I22" s="28"/>
      <c r="J22" s="28"/>
      <c r="K22" s="28"/>
      <c r="L22" s="28"/>
      <c r="M22" s="28"/>
      <c r="N22" s="28"/>
      <c r="O22" s="28"/>
    </row>
    <row r="23" spans="1:15" s="27" customFormat="1" ht="16.899999999999999" customHeight="1">
      <c r="A23" s="426"/>
      <c r="B23" s="426"/>
      <c r="C23" s="426"/>
      <c r="D23" s="405"/>
      <c r="E23" s="164"/>
      <c r="F23" s="159" t="s">
        <v>17</v>
      </c>
      <c r="G23" s="158"/>
      <c r="H23" s="158"/>
      <c r="I23" s="28"/>
      <c r="J23" s="28"/>
      <c r="K23" s="28"/>
      <c r="L23" s="28"/>
      <c r="M23" s="28"/>
      <c r="N23" s="28"/>
      <c r="O23" s="28"/>
    </row>
    <row r="24" spans="1:15" s="27" customFormat="1" ht="34.5">
      <c r="A24" s="426"/>
      <c r="B24" s="426"/>
      <c r="C24" s="426"/>
      <c r="D24" s="405"/>
      <c r="E24" s="271">
        <v>32001</v>
      </c>
      <c r="F24" s="270" t="s">
        <v>169</v>
      </c>
      <c r="G24" s="165">
        <f t="shared" ref="G24:H24" si="0">+G26</f>
        <v>-117379.8</v>
      </c>
      <c r="H24" s="165">
        <f t="shared" si="0"/>
        <v>-199482</v>
      </c>
      <c r="I24" s="28"/>
      <c r="J24" s="28"/>
      <c r="K24" s="28"/>
      <c r="L24" s="28"/>
      <c r="M24" s="28"/>
      <c r="N24" s="28"/>
      <c r="O24" s="28"/>
    </row>
    <row r="25" spans="1:15" s="27" customFormat="1">
      <c r="A25" s="426"/>
      <c r="B25" s="426"/>
      <c r="C25" s="426"/>
      <c r="D25" s="405"/>
      <c r="E25" s="428"/>
      <c r="F25" s="159" t="s">
        <v>54</v>
      </c>
      <c r="G25" s="161"/>
      <c r="H25" s="160"/>
    </row>
    <row r="26" spans="1:15" s="30" customFormat="1" ht="36.6" customHeight="1">
      <c r="A26" s="426"/>
      <c r="B26" s="426"/>
      <c r="C26" s="426"/>
      <c r="D26" s="405"/>
      <c r="E26" s="429"/>
      <c r="F26" s="166" t="s">
        <v>139</v>
      </c>
      <c r="G26" s="168">
        <f t="shared" ref="G26:H26" si="1">+G28</f>
        <v>-117379.8</v>
      </c>
      <c r="H26" s="167">
        <f t="shared" si="1"/>
        <v>-199482</v>
      </c>
    </row>
    <row r="27" spans="1:15" s="27" customFormat="1" ht="51.75">
      <c r="A27" s="426"/>
      <c r="B27" s="426"/>
      <c r="C27" s="426"/>
      <c r="D27" s="405"/>
      <c r="E27" s="429"/>
      <c r="F27" s="159" t="s">
        <v>44</v>
      </c>
      <c r="G27" s="169"/>
      <c r="H27" s="160"/>
    </row>
    <row r="28" spans="1:15" s="27" customFormat="1" ht="16.899999999999999" customHeight="1">
      <c r="A28" s="426"/>
      <c r="B28" s="426"/>
      <c r="C28" s="426"/>
      <c r="D28" s="405"/>
      <c r="E28" s="429"/>
      <c r="F28" s="274" t="s">
        <v>18</v>
      </c>
      <c r="G28" s="228">
        <f>+G29</f>
        <v>-117379.8</v>
      </c>
      <c r="H28" s="228">
        <f>+H29</f>
        <v>-199482</v>
      </c>
    </row>
    <row r="29" spans="1:15" s="27" customFormat="1" ht="16.899999999999999" customHeight="1">
      <c r="A29" s="426"/>
      <c r="B29" s="426"/>
      <c r="C29" s="426"/>
      <c r="D29" s="405"/>
      <c r="E29" s="429"/>
      <c r="F29" s="136" t="s">
        <v>90</v>
      </c>
      <c r="G29" s="169">
        <f>+G30</f>
        <v>-117379.8</v>
      </c>
      <c r="H29" s="169">
        <f>+H30</f>
        <v>-199482</v>
      </c>
    </row>
    <row r="30" spans="1:15" s="27" customFormat="1">
      <c r="A30" s="426"/>
      <c r="B30" s="426"/>
      <c r="C30" s="426"/>
      <c r="D30" s="405"/>
      <c r="E30" s="429"/>
      <c r="F30" s="136" t="s">
        <v>91</v>
      </c>
      <c r="G30" s="169">
        <f>+G31+G33</f>
        <v>-117379.8</v>
      </c>
      <c r="H30" s="169">
        <f>+H31+H33</f>
        <v>-199482</v>
      </c>
    </row>
    <row r="31" spans="1:15" s="27" customFormat="1">
      <c r="A31" s="426"/>
      <c r="B31" s="426"/>
      <c r="C31" s="426"/>
      <c r="D31" s="405"/>
      <c r="E31" s="429"/>
      <c r="F31" s="136" t="s">
        <v>92</v>
      </c>
      <c r="G31" s="169">
        <f t="shared" ref="G31:H33" si="2">+G32</f>
        <v>-82102</v>
      </c>
      <c r="H31" s="169">
        <f t="shared" si="2"/>
        <v>-164204.19999999998</v>
      </c>
    </row>
    <row r="32" spans="1:15" s="27" customFormat="1">
      <c r="A32" s="426"/>
      <c r="B32" s="426"/>
      <c r="C32" s="426"/>
      <c r="D32" s="405"/>
      <c r="E32" s="429"/>
      <c r="F32" s="116" t="s">
        <v>93</v>
      </c>
      <c r="G32" s="169">
        <f>+'Հավելված N 4'!E35</f>
        <v>-82102</v>
      </c>
      <c r="H32" s="169">
        <f>+'Հավելված N 4'!F35</f>
        <v>-164204.19999999998</v>
      </c>
    </row>
    <row r="33" spans="1:15" s="27" customFormat="1">
      <c r="A33" s="426"/>
      <c r="B33" s="426"/>
      <c r="C33" s="426"/>
      <c r="D33" s="405"/>
      <c r="E33" s="429"/>
      <c r="F33" s="136" t="s">
        <v>191</v>
      </c>
      <c r="G33" s="169">
        <f t="shared" si="2"/>
        <v>-35277.800000000003</v>
      </c>
      <c r="H33" s="169">
        <f t="shared" si="2"/>
        <v>-35277.800000000003</v>
      </c>
    </row>
    <row r="34" spans="1:15" s="27" customFormat="1">
      <c r="A34" s="426"/>
      <c r="B34" s="426"/>
      <c r="C34" s="431"/>
      <c r="D34" s="406"/>
      <c r="E34" s="430"/>
      <c r="F34" s="116" t="s">
        <v>192</v>
      </c>
      <c r="G34" s="169">
        <f>+'Հավելված N 4'!E37</f>
        <v>-35277.800000000003</v>
      </c>
      <c r="H34" s="169">
        <f>+'Հավելված N 4'!F37</f>
        <v>-35277.800000000003</v>
      </c>
    </row>
    <row r="35" spans="1:15" s="27" customFormat="1">
      <c r="A35" s="426"/>
      <c r="B35" s="426"/>
      <c r="C35" s="425" t="s">
        <v>133</v>
      </c>
      <c r="D35" s="404"/>
      <c r="E35" s="428"/>
      <c r="F35" s="270" t="s">
        <v>157</v>
      </c>
      <c r="G35" s="161">
        <f>+G37</f>
        <v>0</v>
      </c>
      <c r="H35" s="161">
        <f t="shared" ref="H35" si="3">+H37</f>
        <v>278954.59999999998</v>
      </c>
      <c r="I35" s="28"/>
      <c r="J35" s="28"/>
      <c r="K35" s="28"/>
      <c r="L35" s="28"/>
      <c r="M35" s="28"/>
      <c r="N35" s="28"/>
      <c r="O35" s="28"/>
    </row>
    <row r="36" spans="1:15" s="27" customFormat="1" ht="16.899999999999999" customHeight="1">
      <c r="A36" s="426"/>
      <c r="B36" s="426"/>
      <c r="C36" s="426"/>
      <c r="D36" s="405"/>
      <c r="E36" s="429"/>
      <c r="F36" s="159" t="s">
        <v>17</v>
      </c>
      <c r="G36" s="161"/>
      <c r="H36" s="162"/>
      <c r="I36" s="28"/>
      <c r="J36" s="28"/>
      <c r="K36" s="28"/>
      <c r="L36" s="28"/>
      <c r="M36" s="28"/>
      <c r="N36" s="28"/>
      <c r="O36" s="28"/>
    </row>
    <row r="37" spans="1:15" s="27" customFormat="1" ht="34.5">
      <c r="A37" s="426"/>
      <c r="B37" s="426"/>
      <c r="C37" s="426"/>
      <c r="D37" s="405"/>
      <c r="E37" s="429"/>
      <c r="F37" s="163" t="s">
        <v>39</v>
      </c>
      <c r="G37" s="278">
        <f>+G39</f>
        <v>0</v>
      </c>
      <c r="H37" s="278">
        <f>+H39</f>
        <v>278954.59999999998</v>
      </c>
      <c r="I37" s="28"/>
      <c r="J37" s="28"/>
      <c r="K37" s="28"/>
      <c r="L37" s="28"/>
      <c r="M37" s="28"/>
      <c r="N37" s="28"/>
      <c r="O37" s="28"/>
    </row>
    <row r="38" spans="1:15" s="27" customFormat="1" ht="16.899999999999999" customHeight="1">
      <c r="A38" s="426"/>
      <c r="B38" s="426"/>
      <c r="C38" s="426"/>
      <c r="D38" s="406"/>
      <c r="E38" s="430"/>
      <c r="F38" s="159" t="s">
        <v>17</v>
      </c>
      <c r="G38" s="161"/>
      <c r="H38" s="162"/>
      <c r="I38" s="28"/>
      <c r="J38" s="28"/>
      <c r="K38" s="28"/>
      <c r="L38" s="28"/>
      <c r="M38" s="28"/>
      <c r="N38" s="28"/>
      <c r="O38" s="28"/>
    </row>
    <row r="39" spans="1:15" s="27" customFormat="1">
      <c r="A39" s="426"/>
      <c r="B39" s="426"/>
      <c r="C39" s="426"/>
      <c r="D39" s="404">
        <v>1168</v>
      </c>
      <c r="E39" s="401" t="s">
        <v>195</v>
      </c>
      <c r="F39" s="401"/>
      <c r="G39" s="158">
        <f>+G41</f>
        <v>0</v>
      </c>
      <c r="H39" s="158">
        <f>+H41</f>
        <v>278954.59999999998</v>
      </c>
      <c r="I39" s="28"/>
      <c r="J39" s="28"/>
      <c r="K39" s="28"/>
      <c r="L39" s="28"/>
      <c r="M39" s="28"/>
      <c r="N39" s="28"/>
      <c r="O39" s="28"/>
    </row>
    <row r="40" spans="1:15" s="27" customFormat="1" ht="16.899999999999999" customHeight="1">
      <c r="A40" s="426"/>
      <c r="B40" s="426"/>
      <c r="C40" s="426"/>
      <c r="D40" s="405"/>
      <c r="E40" s="164"/>
      <c r="F40" s="159" t="s">
        <v>17</v>
      </c>
      <c r="G40" s="158"/>
      <c r="H40" s="158"/>
      <c r="I40" s="28"/>
      <c r="J40" s="28"/>
      <c r="K40" s="28"/>
      <c r="L40" s="28"/>
      <c r="M40" s="28"/>
      <c r="N40" s="28"/>
      <c r="O40" s="28"/>
    </row>
    <row r="41" spans="1:15" s="27" customFormat="1" ht="34.5">
      <c r="A41" s="426"/>
      <c r="B41" s="426"/>
      <c r="C41" s="426"/>
      <c r="D41" s="405"/>
      <c r="E41" s="271">
        <v>32001</v>
      </c>
      <c r="F41" s="270" t="s">
        <v>151</v>
      </c>
      <c r="G41" s="165">
        <f>+G43+G50</f>
        <v>0</v>
      </c>
      <c r="H41" s="165">
        <f>+H43+H50</f>
        <v>278954.59999999998</v>
      </c>
      <c r="I41" s="28"/>
      <c r="J41" s="28"/>
      <c r="K41" s="28"/>
      <c r="L41" s="28"/>
      <c r="M41" s="28"/>
      <c r="N41" s="28"/>
      <c r="O41" s="28"/>
    </row>
    <row r="42" spans="1:15" s="27" customFormat="1">
      <c r="A42" s="426"/>
      <c r="B42" s="426"/>
      <c r="C42" s="426"/>
      <c r="D42" s="405"/>
      <c r="E42" s="428"/>
      <c r="F42" s="159" t="s">
        <v>54</v>
      </c>
      <c r="G42" s="161"/>
      <c r="H42" s="161"/>
    </row>
    <row r="43" spans="1:15" s="30" customFormat="1" ht="36.6" customHeight="1">
      <c r="A43" s="426"/>
      <c r="B43" s="426"/>
      <c r="C43" s="426"/>
      <c r="D43" s="405"/>
      <c r="E43" s="429"/>
      <c r="F43" s="166" t="s">
        <v>139</v>
      </c>
      <c r="G43" s="168">
        <f>+G45</f>
        <v>0</v>
      </c>
      <c r="H43" s="168">
        <f>+H45</f>
        <v>79472.600000000006</v>
      </c>
    </row>
    <row r="44" spans="1:15" s="27" customFormat="1" ht="51.75">
      <c r="A44" s="426"/>
      <c r="B44" s="426"/>
      <c r="C44" s="426"/>
      <c r="D44" s="405"/>
      <c r="E44" s="429"/>
      <c r="F44" s="159" t="s">
        <v>44</v>
      </c>
      <c r="G44" s="169"/>
      <c r="H44" s="160"/>
    </row>
    <row r="45" spans="1:15" s="27" customFormat="1" ht="16.899999999999999" customHeight="1">
      <c r="A45" s="426"/>
      <c r="B45" s="426"/>
      <c r="C45" s="426"/>
      <c r="D45" s="405"/>
      <c r="E45" s="429"/>
      <c r="F45" s="274" t="s">
        <v>18</v>
      </c>
      <c r="G45" s="228">
        <f>+G46</f>
        <v>0</v>
      </c>
      <c r="H45" s="228">
        <f>+H46</f>
        <v>79472.600000000006</v>
      </c>
    </row>
    <row r="46" spans="1:15" s="27" customFormat="1" ht="16.899999999999999" customHeight="1">
      <c r="A46" s="426"/>
      <c r="B46" s="426"/>
      <c r="C46" s="426"/>
      <c r="D46" s="405"/>
      <c r="E46" s="429"/>
      <c r="F46" s="136" t="s">
        <v>90</v>
      </c>
      <c r="G46" s="169">
        <f t="shared" ref="G46:H48" si="4">+G47</f>
        <v>0</v>
      </c>
      <c r="H46" s="169">
        <f t="shared" si="4"/>
        <v>79472.600000000006</v>
      </c>
    </row>
    <row r="47" spans="1:15" s="27" customFormat="1">
      <c r="A47" s="426"/>
      <c r="B47" s="426"/>
      <c r="C47" s="426"/>
      <c r="D47" s="405"/>
      <c r="E47" s="429"/>
      <c r="F47" s="136" t="s">
        <v>91</v>
      </c>
      <c r="G47" s="169">
        <f>+G48</f>
        <v>0</v>
      </c>
      <c r="H47" s="169">
        <f>+H48</f>
        <v>79472.600000000006</v>
      </c>
    </row>
    <row r="48" spans="1:15" s="27" customFormat="1">
      <c r="A48" s="426"/>
      <c r="B48" s="426"/>
      <c r="C48" s="426"/>
      <c r="D48" s="405"/>
      <c r="E48" s="429"/>
      <c r="F48" s="136" t="s">
        <v>92</v>
      </c>
      <c r="G48" s="169">
        <f t="shared" si="4"/>
        <v>0</v>
      </c>
      <c r="H48" s="169">
        <f t="shared" si="4"/>
        <v>79472.600000000006</v>
      </c>
    </row>
    <row r="49" spans="1:14" s="27" customFormat="1">
      <c r="A49" s="426"/>
      <c r="B49" s="426"/>
      <c r="C49" s="426"/>
      <c r="D49" s="405"/>
      <c r="E49" s="429"/>
      <c r="F49" s="116" t="s">
        <v>93</v>
      </c>
      <c r="G49" s="169">
        <f>+'Հավելված N 4'!E75</f>
        <v>0</v>
      </c>
      <c r="H49" s="169">
        <f>+'Հավելված N 4'!F75</f>
        <v>79472.600000000006</v>
      </c>
    </row>
    <row r="50" spans="1:14" s="30" customFormat="1" ht="36.6" customHeight="1">
      <c r="A50" s="426"/>
      <c r="B50" s="426"/>
      <c r="C50" s="426"/>
      <c r="D50" s="405"/>
      <c r="E50" s="429"/>
      <c r="F50" s="166" t="s">
        <v>141</v>
      </c>
      <c r="G50" s="168">
        <f t="shared" ref="G50:H50" si="5">+G52</f>
        <v>0</v>
      </c>
      <c r="H50" s="167">
        <f t="shared" si="5"/>
        <v>199482</v>
      </c>
    </row>
    <row r="51" spans="1:14" s="27" customFormat="1" ht="51.75">
      <c r="A51" s="426"/>
      <c r="B51" s="426"/>
      <c r="C51" s="426"/>
      <c r="D51" s="405"/>
      <c r="E51" s="429"/>
      <c r="F51" s="159" t="s">
        <v>44</v>
      </c>
      <c r="G51" s="169"/>
      <c r="H51" s="160"/>
    </row>
    <row r="52" spans="1:14" s="27" customFormat="1" ht="16.899999999999999" customHeight="1">
      <c r="A52" s="426"/>
      <c r="B52" s="426"/>
      <c r="C52" s="426"/>
      <c r="D52" s="405"/>
      <c r="E52" s="429"/>
      <c r="F52" s="274" t="s">
        <v>18</v>
      </c>
      <c r="G52" s="228">
        <f>+G53</f>
        <v>0</v>
      </c>
      <c r="H52" s="228">
        <f>+H53</f>
        <v>199482</v>
      </c>
    </row>
    <row r="53" spans="1:14" s="27" customFormat="1" ht="16.899999999999999" customHeight="1">
      <c r="A53" s="426"/>
      <c r="B53" s="426"/>
      <c r="C53" s="426"/>
      <c r="D53" s="405"/>
      <c r="E53" s="429"/>
      <c r="F53" s="136" t="s">
        <v>90</v>
      </c>
      <c r="G53" s="169">
        <f t="shared" ref="G53:H55" si="6">+G54</f>
        <v>0</v>
      </c>
      <c r="H53" s="169">
        <f t="shared" si="6"/>
        <v>199482</v>
      </c>
    </row>
    <row r="54" spans="1:14" s="27" customFormat="1">
      <c r="A54" s="426"/>
      <c r="B54" s="426"/>
      <c r="C54" s="426"/>
      <c r="D54" s="405"/>
      <c r="E54" s="429"/>
      <c r="F54" s="136" t="s">
        <v>91</v>
      </c>
      <c r="G54" s="169">
        <f>+G55</f>
        <v>0</v>
      </c>
      <c r="H54" s="169">
        <f>+H55</f>
        <v>199482</v>
      </c>
    </row>
    <row r="55" spans="1:14" s="27" customFormat="1">
      <c r="A55" s="426"/>
      <c r="B55" s="426"/>
      <c r="C55" s="426"/>
      <c r="D55" s="405"/>
      <c r="E55" s="429"/>
      <c r="F55" s="136" t="s">
        <v>92</v>
      </c>
      <c r="G55" s="169">
        <f t="shared" si="6"/>
        <v>0</v>
      </c>
      <c r="H55" s="169">
        <f t="shared" si="6"/>
        <v>199482</v>
      </c>
    </row>
    <row r="56" spans="1:14" s="27" customFormat="1">
      <c r="A56" s="426"/>
      <c r="B56" s="426"/>
      <c r="C56" s="426"/>
      <c r="D56" s="405"/>
      <c r="E56" s="430"/>
      <c r="F56" s="116" t="s">
        <v>93</v>
      </c>
      <c r="G56" s="169">
        <f>+'Հավելված N 4'!E79</f>
        <v>0</v>
      </c>
      <c r="H56" s="169">
        <f>+'Հավելված N 4'!F79</f>
        <v>199482</v>
      </c>
    </row>
    <row r="57" spans="1:14" s="27" customFormat="1">
      <c r="A57" s="425" t="s">
        <v>42</v>
      </c>
      <c r="B57" s="449"/>
      <c r="C57" s="319"/>
      <c r="D57" s="322"/>
      <c r="E57" s="319"/>
      <c r="F57" s="118" t="s">
        <v>40</v>
      </c>
      <c r="G57" s="119">
        <f>+G59</f>
        <v>-1314030.6999999997</v>
      </c>
      <c r="H57" s="119">
        <f>+H59</f>
        <v>-1947579.4300000011</v>
      </c>
    </row>
    <row r="58" spans="1:14" s="27" customFormat="1" ht="16.899999999999999" customHeight="1">
      <c r="A58" s="426"/>
      <c r="B58" s="449"/>
      <c r="C58" s="320"/>
      <c r="D58" s="323"/>
      <c r="E58" s="320"/>
      <c r="F58" s="136" t="s">
        <v>17</v>
      </c>
      <c r="G58" s="115"/>
      <c r="H58" s="115"/>
    </row>
    <row r="59" spans="1:14" s="27" customFormat="1">
      <c r="A59" s="426"/>
      <c r="B59" s="425" t="s">
        <v>43</v>
      </c>
      <c r="C59" s="320"/>
      <c r="D59" s="323"/>
      <c r="E59" s="320"/>
      <c r="F59" s="118" t="s">
        <v>41</v>
      </c>
      <c r="G59" s="115">
        <f>+G61</f>
        <v>-1314030.6999999997</v>
      </c>
      <c r="H59" s="115">
        <f t="shared" ref="H59" si="7">+H61</f>
        <v>-1947579.4300000011</v>
      </c>
    </row>
    <row r="60" spans="1:14" s="27" customFormat="1" ht="16.899999999999999" customHeight="1">
      <c r="A60" s="426"/>
      <c r="B60" s="426"/>
      <c r="C60" s="321"/>
      <c r="D60" s="323"/>
      <c r="E60" s="320"/>
      <c r="F60" s="136" t="s">
        <v>17</v>
      </c>
      <c r="G60" s="115"/>
      <c r="H60" s="115"/>
    </row>
    <row r="61" spans="1:14" s="27" customFormat="1">
      <c r="A61" s="426"/>
      <c r="B61" s="426"/>
      <c r="C61" s="404" t="s">
        <v>24</v>
      </c>
      <c r="D61" s="323"/>
      <c r="E61" s="320"/>
      <c r="F61" s="118" t="s">
        <v>41</v>
      </c>
      <c r="G61" s="115">
        <f t="shared" ref="G61:H61" si="8">+G63</f>
        <v>-1314030.6999999997</v>
      </c>
      <c r="H61" s="115">
        <f t="shared" si="8"/>
        <v>-1947579.4300000011</v>
      </c>
      <c r="I61" s="28"/>
      <c r="J61" s="28"/>
      <c r="K61" s="28"/>
      <c r="L61" s="28"/>
      <c r="M61" s="28"/>
      <c r="N61" s="28"/>
    </row>
    <row r="62" spans="1:14" s="27" customFormat="1" ht="16.899999999999999" customHeight="1">
      <c r="A62" s="426"/>
      <c r="B62" s="426"/>
      <c r="C62" s="405"/>
      <c r="D62" s="323"/>
      <c r="E62" s="320"/>
      <c r="F62" s="136" t="s">
        <v>17</v>
      </c>
      <c r="G62" s="115"/>
      <c r="H62" s="115"/>
      <c r="I62" s="28"/>
      <c r="J62" s="28"/>
      <c r="K62" s="28"/>
      <c r="L62" s="28"/>
      <c r="M62" s="28"/>
      <c r="N62" s="28"/>
    </row>
    <row r="63" spans="1:14" s="27" customFormat="1" ht="34.5">
      <c r="A63" s="426"/>
      <c r="B63" s="426"/>
      <c r="C63" s="405"/>
      <c r="D63" s="323"/>
      <c r="E63" s="320"/>
      <c r="F63" s="137" t="s">
        <v>39</v>
      </c>
      <c r="G63" s="120">
        <f>+G65+G87+G98+G111</f>
        <v>-1314030.6999999997</v>
      </c>
      <c r="H63" s="120">
        <f>+H65+H87+H98+H111</f>
        <v>-1947579.4300000011</v>
      </c>
      <c r="I63" s="28"/>
      <c r="J63" s="28"/>
      <c r="K63" s="28"/>
      <c r="L63" s="28"/>
      <c r="M63" s="28"/>
      <c r="N63" s="28"/>
    </row>
    <row r="64" spans="1:14" s="27" customFormat="1" ht="16.899999999999999" customHeight="1">
      <c r="A64" s="426"/>
      <c r="B64" s="426"/>
      <c r="C64" s="405"/>
      <c r="D64" s="324"/>
      <c r="E64" s="321"/>
      <c r="F64" s="137" t="s">
        <v>58</v>
      </c>
      <c r="G64" s="120"/>
      <c r="H64" s="279"/>
      <c r="I64" s="28"/>
      <c r="J64" s="28"/>
      <c r="K64" s="28"/>
      <c r="L64" s="28"/>
      <c r="M64" s="28"/>
      <c r="N64" s="28"/>
    </row>
    <row r="65" spans="1:15" s="27" customFormat="1" ht="37.15" customHeight="1">
      <c r="A65" s="426"/>
      <c r="B65" s="426"/>
      <c r="C65" s="405"/>
      <c r="D65" s="422">
        <v>1045</v>
      </c>
      <c r="E65" s="401" t="s">
        <v>183</v>
      </c>
      <c r="F65" s="401"/>
      <c r="G65" s="158">
        <f>+G67+G78</f>
        <v>-653446.19999999995</v>
      </c>
      <c r="H65" s="158">
        <f>+H67+H78</f>
        <v>-850565.3</v>
      </c>
      <c r="I65" s="28"/>
      <c r="J65" s="28"/>
      <c r="K65" s="28"/>
      <c r="L65" s="28"/>
      <c r="M65" s="28"/>
      <c r="N65" s="28"/>
      <c r="O65" s="28"/>
    </row>
    <row r="66" spans="1:15" s="27" customFormat="1" ht="16.899999999999999" customHeight="1">
      <c r="A66" s="426"/>
      <c r="B66" s="426"/>
      <c r="C66" s="405"/>
      <c r="D66" s="422"/>
      <c r="E66" s="164"/>
      <c r="F66" s="159" t="s">
        <v>17</v>
      </c>
      <c r="G66" s="158"/>
      <c r="H66" s="158"/>
      <c r="I66" s="28"/>
      <c r="J66" s="28"/>
      <c r="K66" s="28"/>
      <c r="L66" s="28"/>
      <c r="M66" s="28"/>
      <c r="N66" s="28"/>
      <c r="O66" s="28"/>
    </row>
    <row r="67" spans="1:15" s="27" customFormat="1" ht="54.6" customHeight="1">
      <c r="A67" s="426"/>
      <c r="B67" s="426"/>
      <c r="C67" s="405"/>
      <c r="D67" s="422"/>
      <c r="E67" s="271">
        <v>32001</v>
      </c>
      <c r="F67" s="270" t="s">
        <v>179</v>
      </c>
      <c r="G67" s="165">
        <f t="shared" ref="G67:H67" si="9">+G69</f>
        <v>-264013.5</v>
      </c>
      <c r="H67" s="165">
        <f t="shared" si="9"/>
        <v>-330699.7</v>
      </c>
      <c r="I67" s="28"/>
      <c r="J67" s="28"/>
      <c r="K67" s="28"/>
      <c r="L67" s="28"/>
      <c r="M67" s="28"/>
      <c r="N67" s="28"/>
      <c r="O67" s="28"/>
    </row>
    <row r="68" spans="1:15" s="27" customFormat="1">
      <c r="A68" s="426"/>
      <c r="B68" s="426"/>
      <c r="C68" s="405"/>
      <c r="D68" s="422"/>
      <c r="E68" s="428"/>
      <c r="F68" s="159" t="s">
        <v>54</v>
      </c>
      <c r="G68" s="161"/>
      <c r="H68" s="161"/>
    </row>
    <row r="69" spans="1:15" s="30" customFormat="1" ht="36.6" customHeight="1">
      <c r="A69" s="426"/>
      <c r="B69" s="426"/>
      <c r="C69" s="405"/>
      <c r="D69" s="422"/>
      <c r="E69" s="429"/>
      <c r="F69" s="166" t="s">
        <v>139</v>
      </c>
      <c r="G69" s="168">
        <f t="shared" ref="G69:H69" si="10">+G71</f>
        <v>-264013.5</v>
      </c>
      <c r="H69" s="168">
        <f t="shared" si="10"/>
        <v>-330699.7</v>
      </c>
    </row>
    <row r="70" spans="1:15" s="27" customFormat="1" ht="51.75">
      <c r="A70" s="426"/>
      <c r="B70" s="426"/>
      <c r="C70" s="405"/>
      <c r="D70" s="422"/>
      <c r="E70" s="429"/>
      <c r="F70" s="159" t="s">
        <v>44</v>
      </c>
      <c r="G70" s="169"/>
      <c r="H70" s="161"/>
    </row>
    <row r="71" spans="1:15" s="27" customFormat="1" ht="16.899999999999999" customHeight="1">
      <c r="A71" s="426"/>
      <c r="B71" s="426"/>
      <c r="C71" s="405"/>
      <c r="D71" s="422"/>
      <c r="E71" s="429"/>
      <c r="F71" s="274" t="s">
        <v>18</v>
      </c>
      <c r="G71" s="228">
        <f>+G72</f>
        <v>-264013.5</v>
      </c>
      <c r="H71" s="228">
        <f>+H72</f>
        <v>-330699.7</v>
      </c>
    </row>
    <row r="72" spans="1:15" s="27" customFormat="1" ht="16.899999999999999" customHeight="1">
      <c r="A72" s="426"/>
      <c r="B72" s="426"/>
      <c r="C72" s="405"/>
      <c r="D72" s="422"/>
      <c r="E72" s="429"/>
      <c r="F72" s="136" t="s">
        <v>90</v>
      </c>
      <c r="G72" s="169">
        <f t="shared" ref="G72:H76" si="11">+G73</f>
        <v>-264013.5</v>
      </c>
      <c r="H72" s="280">
        <f t="shared" si="11"/>
        <v>-330699.7</v>
      </c>
    </row>
    <row r="73" spans="1:15" s="27" customFormat="1">
      <c r="A73" s="426"/>
      <c r="B73" s="426"/>
      <c r="C73" s="405"/>
      <c r="D73" s="422"/>
      <c r="E73" s="429"/>
      <c r="F73" s="136" t="s">
        <v>91</v>
      </c>
      <c r="G73" s="169">
        <f>+G74+G76</f>
        <v>-264013.5</v>
      </c>
      <c r="H73" s="169">
        <f>+H74+H76</f>
        <v>-330699.7</v>
      </c>
    </row>
    <row r="74" spans="1:15" s="27" customFormat="1">
      <c r="A74" s="426"/>
      <c r="B74" s="426"/>
      <c r="C74" s="405"/>
      <c r="D74" s="422"/>
      <c r="E74" s="429"/>
      <c r="F74" s="136" t="s">
        <v>92</v>
      </c>
      <c r="G74" s="169">
        <f t="shared" si="11"/>
        <v>-236825.1</v>
      </c>
      <c r="H74" s="280">
        <f t="shared" si="11"/>
        <v>-318250.3</v>
      </c>
    </row>
    <row r="75" spans="1:15" s="27" customFormat="1">
      <c r="A75" s="426"/>
      <c r="B75" s="426"/>
      <c r="C75" s="405"/>
      <c r="D75" s="422"/>
      <c r="E75" s="429"/>
      <c r="F75" s="116" t="s">
        <v>93</v>
      </c>
      <c r="G75" s="169">
        <f>+'Հավելված N 4'!E21</f>
        <v>-236825.1</v>
      </c>
      <c r="H75" s="169">
        <f>+'Հավելված N 4'!F21</f>
        <v>-318250.3</v>
      </c>
    </row>
    <row r="76" spans="1:15" s="27" customFormat="1">
      <c r="A76" s="426"/>
      <c r="B76" s="426"/>
      <c r="C76" s="405"/>
      <c r="D76" s="422"/>
      <c r="E76" s="429"/>
      <c r="F76" s="136" t="s">
        <v>191</v>
      </c>
      <c r="G76" s="169">
        <f t="shared" si="11"/>
        <v>-27188.400000000001</v>
      </c>
      <c r="H76" s="280">
        <f t="shared" si="11"/>
        <v>-12449.4</v>
      </c>
    </row>
    <row r="77" spans="1:15" s="27" customFormat="1">
      <c r="A77" s="426"/>
      <c r="B77" s="426"/>
      <c r="C77" s="405"/>
      <c r="D77" s="422"/>
      <c r="E77" s="430"/>
      <c r="F77" s="116" t="s">
        <v>192</v>
      </c>
      <c r="G77" s="169">
        <f>+'Հավելված N 4'!E19</f>
        <v>-27188.400000000001</v>
      </c>
      <c r="H77" s="169">
        <f>+'Հավելված N 4'!F19</f>
        <v>-12449.4</v>
      </c>
    </row>
    <row r="78" spans="1:15" s="27" customFormat="1" ht="54.6" customHeight="1">
      <c r="A78" s="426"/>
      <c r="B78" s="426"/>
      <c r="C78" s="405"/>
      <c r="D78" s="422"/>
      <c r="E78" s="271">
        <v>32005</v>
      </c>
      <c r="F78" s="270" t="s">
        <v>181</v>
      </c>
      <c r="G78" s="165">
        <f t="shared" ref="G78:H78" si="12">+G80</f>
        <v>-389432.7</v>
      </c>
      <c r="H78" s="165">
        <f t="shared" si="12"/>
        <v>-519865.60000000003</v>
      </c>
      <c r="I78" s="28"/>
      <c r="J78" s="28"/>
      <c r="K78" s="28"/>
      <c r="L78" s="28"/>
      <c r="M78" s="28"/>
      <c r="N78" s="28"/>
      <c r="O78" s="28"/>
    </row>
    <row r="79" spans="1:15" s="27" customFormat="1">
      <c r="A79" s="426"/>
      <c r="B79" s="426"/>
      <c r="C79" s="405"/>
      <c r="D79" s="422"/>
      <c r="E79" s="445"/>
      <c r="F79" s="159" t="s">
        <v>54</v>
      </c>
      <c r="G79" s="161"/>
      <c r="H79" s="161"/>
    </row>
    <row r="80" spans="1:15" s="30" customFormat="1" ht="36.6" customHeight="1">
      <c r="A80" s="426"/>
      <c r="B80" s="426"/>
      <c r="C80" s="405"/>
      <c r="D80" s="422"/>
      <c r="E80" s="445"/>
      <c r="F80" s="166" t="s">
        <v>139</v>
      </c>
      <c r="G80" s="168">
        <f t="shared" ref="G80:H80" si="13">+G82</f>
        <v>-389432.7</v>
      </c>
      <c r="H80" s="168">
        <f t="shared" si="13"/>
        <v>-519865.60000000003</v>
      </c>
    </row>
    <row r="81" spans="1:15" s="27" customFormat="1" ht="51.75">
      <c r="A81" s="426"/>
      <c r="B81" s="426"/>
      <c r="C81" s="405"/>
      <c r="D81" s="422"/>
      <c r="E81" s="445"/>
      <c r="F81" s="159" t="s">
        <v>44</v>
      </c>
      <c r="G81" s="169"/>
      <c r="H81" s="161"/>
    </row>
    <row r="82" spans="1:15" s="27" customFormat="1" ht="16.899999999999999" customHeight="1">
      <c r="A82" s="426"/>
      <c r="B82" s="426"/>
      <c r="C82" s="405"/>
      <c r="D82" s="422"/>
      <c r="E82" s="445"/>
      <c r="F82" s="274" t="s">
        <v>18</v>
      </c>
      <c r="G82" s="228">
        <f>+G83</f>
        <v>-389432.7</v>
      </c>
      <c r="H82" s="228">
        <f>+H83</f>
        <v>-519865.60000000003</v>
      </c>
    </row>
    <row r="83" spans="1:15" s="27" customFormat="1" ht="16.899999999999999" customHeight="1">
      <c r="A83" s="426"/>
      <c r="B83" s="426"/>
      <c r="C83" s="405"/>
      <c r="D83" s="422"/>
      <c r="E83" s="445"/>
      <c r="F83" s="136" t="s">
        <v>90</v>
      </c>
      <c r="G83" s="169">
        <f t="shared" ref="G83:H85" si="14">+G84</f>
        <v>-389432.7</v>
      </c>
      <c r="H83" s="280">
        <f t="shared" si="14"/>
        <v>-519865.60000000003</v>
      </c>
    </row>
    <row r="84" spans="1:15" s="27" customFormat="1">
      <c r="A84" s="426"/>
      <c r="B84" s="426"/>
      <c r="C84" s="405"/>
      <c r="D84" s="422"/>
      <c r="E84" s="445"/>
      <c r="F84" s="136" t="s">
        <v>91</v>
      </c>
      <c r="G84" s="169">
        <f>+G85</f>
        <v>-389432.7</v>
      </c>
      <c r="H84" s="280">
        <f>+H85</f>
        <v>-519865.60000000003</v>
      </c>
    </row>
    <row r="85" spans="1:15" s="27" customFormat="1">
      <c r="A85" s="426"/>
      <c r="B85" s="426"/>
      <c r="C85" s="405"/>
      <c r="D85" s="422"/>
      <c r="E85" s="445"/>
      <c r="F85" s="136" t="s">
        <v>92</v>
      </c>
      <c r="G85" s="169">
        <f t="shared" si="14"/>
        <v>-389432.7</v>
      </c>
      <c r="H85" s="280">
        <f t="shared" si="14"/>
        <v>-519865.60000000003</v>
      </c>
    </row>
    <row r="86" spans="1:15" s="27" customFormat="1">
      <c r="A86" s="426"/>
      <c r="B86" s="426"/>
      <c r="C86" s="405"/>
      <c r="D86" s="422"/>
      <c r="E86" s="445"/>
      <c r="F86" s="116" t="s">
        <v>142</v>
      </c>
      <c r="G86" s="169">
        <f>+'Հավելված N 4'!E24</f>
        <v>-389432.7</v>
      </c>
      <c r="H86" s="169">
        <f>+'Հավելված N 4'!F24</f>
        <v>-519865.60000000003</v>
      </c>
    </row>
    <row r="87" spans="1:15" s="27" customFormat="1">
      <c r="A87" s="426"/>
      <c r="B87" s="426"/>
      <c r="C87" s="405"/>
      <c r="D87" s="404">
        <v>1111</v>
      </c>
      <c r="E87" s="401" t="s">
        <v>428</v>
      </c>
      <c r="F87" s="401"/>
      <c r="G87" s="158">
        <f>+G89</f>
        <v>-106918.2</v>
      </c>
      <c r="H87" s="158">
        <f>+H89</f>
        <v>-267295.40000000002</v>
      </c>
      <c r="I87" s="28"/>
      <c r="J87" s="28"/>
      <c r="K87" s="28"/>
      <c r="L87" s="28"/>
      <c r="M87" s="28"/>
      <c r="N87" s="28"/>
      <c r="O87" s="28"/>
    </row>
    <row r="88" spans="1:15" s="27" customFormat="1" ht="16.899999999999999" customHeight="1">
      <c r="A88" s="426"/>
      <c r="B88" s="426"/>
      <c r="C88" s="405"/>
      <c r="D88" s="405"/>
      <c r="E88" s="164"/>
      <c r="F88" s="159" t="s">
        <v>17</v>
      </c>
      <c r="G88" s="158"/>
      <c r="H88" s="158"/>
      <c r="I88" s="28"/>
      <c r="J88" s="28"/>
      <c r="K88" s="28"/>
      <c r="L88" s="28"/>
      <c r="M88" s="28"/>
      <c r="N88" s="28"/>
      <c r="O88" s="28"/>
    </row>
    <row r="89" spans="1:15" s="27" customFormat="1" ht="51.75">
      <c r="A89" s="426"/>
      <c r="B89" s="426"/>
      <c r="C89" s="405"/>
      <c r="D89" s="405"/>
      <c r="E89" s="353">
        <v>32001</v>
      </c>
      <c r="F89" s="352" t="s">
        <v>429</v>
      </c>
      <c r="G89" s="165">
        <f t="shared" ref="G89:H89" si="15">+G91</f>
        <v>-106918.2</v>
      </c>
      <c r="H89" s="165">
        <f t="shared" si="15"/>
        <v>-267295.40000000002</v>
      </c>
      <c r="I89" s="28"/>
      <c r="J89" s="28"/>
      <c r="K89" s="28"/>
      <c r="L89" s="28"/>
      <c r="M89" s="28"/>
      <c r="N89" s="28"/>
      <c r="O89" s="28"/>
    </row>
    <row r="90" spans="1:15" s="27" customFormat="1">
      <c r="A90" s="426"/>
      <c r="B90" s="426"/>
      <c r="C90" s="405"/>
      <c r="D90" s="405"/>
      <c r="E90" s="445"/>
      <c r="F90" s="159" t="s">
        <v>54</v>
      </c>
      <c r="G90" s="161"/>
      <c r="H90" s="161"/>
    </row>
    <row r="91" spans="1:15" s="30" customFormat="1" ht="36.6" customHeight="1">
      <c r="A91" s="426"/>
      <c r="B91" s="426"/>
      <c r="C91" s="405"/>
      <c r="D91" s="405"/>
      <c r="E91" s="445"/>
      <c r="F91" s="166" t="s">
        <v>139</v>
      </c>
      <c r="G91" s="168">
        <f t="shared" ref="G91:H91" si="16">+G93</f>
        <v>-106918.2</v>
      </c>
      <c r="H91" s="168">
        <f t="shared" si="16"/>
        <v>-267295.40000000002</v>
      </c>
    </row>
    <row r="92" spans="1:15" s="27" customFormat="1" ht="51.75">
      <c r="A92" s="426"/>
      <c r="B92" s="426"/>
      <c r="C92" s="405"/>
      <c r="D92" s="405"/>
      <c r="E92" s="445"/>
      <c r="F92" s="159" t="s">
        <v>44</v>
      </c>
      <c r="G92" s="169"/>
      <c r="H92" s="161"/>
    </row>
    <row r="93" spans="1:15" s="27" customFormat="1" ht="16.899999999999999" customHeight="1">
      <c r="A93" s="426"/>
      <c r="B93" s="426"/>
      <c r="C93" s="405"/>
      <c r="D93" s="405"/>
      <c r="E93" s="445"/>
      <c r="F93" s="358" t="s">
        <v>18</v>
      </c>
      <c r="G93" s="228">
        <f>+G94</f>
        <v>-106918.2</v>
      </c>
      <c r="H93" s="228">
        <f>+H94</f>
        <v>-267295.40000000002</v>
      </c>
    </row>
    <row r="94" spans="1:15" s="27" customFormat="1" ht="16.899999999999999" customHeight="1">
      <c r="A94" s="426"/>
      <c r="B94" s="426"/>
      <c r="C94" s="405"/>
      <c r="D94" s="405"/>
      <c r="E94" s="445"/>
      <c r="F94" s="136" t="s">
        <v>90</v>
      </c>
      <c r="G94" s="169">
        <f t="shared" ref="G94:H96" si="17">+G95</f>
        <v>-106918.2</v>
      </c>
      <c r="H94" s="280">
        <f t="shared" si="17"/>
        <v>-267295.40000000002</v>
      </c>
    </row>
    <row r="95" spans="1:15" s="27" customFormat="1">
      <c r="A95" s="426"/>
      <c r="B95" s="426"/>
      <c r="C95" s="405"/>
      <c r="D95" s="405"/>
      <c r="E95" s="445"/>
      <c r="F95" s="136" t="s">
        <v>91</v>
      </c>
      <c r="G95" s="169">
        <f>+G96</f>
        <v>-106918.2</v>
      </c>
      <c r="H95" s="169">
        <f>+H96</f>
        <v>-267295.40000000002</v>
      </c>
    </row>
    <row r="96" spans="1:15" s="27" customFormat="1">
      <c r="A96" s="426"/>
      <c r="B96" s="426"/>
      <c r="C96" s="405"/>
      <c r="D96" s="405"/>
      <c r="E96" s="446"/>
      <c r="F96" s="136" t="s">
        <v>92</v>
      </c>
      <c r="G96" s="169">
        <f t="shared" si="17"/>
        <v>-106918.2</v>
      </c>
      <c r="H96" s="280">
        <f t="shared" si="17"/>
        <v>-267295.40000000002</v>
      </c>
    </row>
    <row r="97" spans="1:15" s="27" customFormat="1">
      <c r="A97" s="426"/>
      <c r="B97" s="426"/>
      <c r="C97" s="405"/>
      <c r="D97" s="405"/>
      <c r="E97" s="446"/>
      <c r="F97" s="116" t="s">
        <v>93</v>
      </c>
      <c r="G97" s="169">
        <f>+'Հավելված N 4'!E40</f>
        <v>-106918.2</v>
      </c>
      <c r="H97" s="169">
        <f>+'Հավելված N 4'!F40</f>
        <v>-267295.40000000002</v>
      </c>
    </row>
    <row r="98" spans="1:15" s="27" customFormat="1">
      <c r="A98" s="426"/>
      <c r="B98" s="426"/>
      <c r="C98" s="405"/>
      <c r="D98" s="404">
        <v>1146</v>
      </c>
      <c r="E98" s="401" t="s">
        <v>116</v>
      </c>
      <c r="F98" s="401"/>
      <c r="G98" s="158">
        <f>+G100</f>
        <v>-1249723.7</v>
      </c>
      <c r="H98" s="158">
        <f>+H100</f>
        <v>-1751820.2300000002</v>
      </c>
      <c r="I98" s="28"/>
      <c r="J98" s="28"/>
      <c r="K98" s="28"/>
      <c r="L98" s="28"/>
      <c r="M98" s="28"/>
      <c r="N98" s="28"/>
      <c r="O98" s="28"/>
    </row>
    <row r="99" spans="1:15" s="27" customFormat="1" ht="16.899999999999999" customHeight="1">
      <c r="A99" s="426"/>
      <c r="B99" s="426"/>
      <c r="C99" s="405"/>
      <c r="D99" s="405"/>
      <c r="E99" s="164"/>
      <c r="F99" s="159" t="s">
        <v>17</v>
      </c>
      <c r="G99" s="158"/>
      <c r="H99" s="158"/>
      <c r="I99" s="28"/>
      <c r="J99" s="28"/>
      <c r="K99" s="28"/>
      <c r="L99" s="28"/>
      <c r="M99" s="28"/>
      <c r="N99" s="28"/>
      <c r="O99" s="28"/>
    </row>
    <row r="100" spans="1:15" s="27" customFormat="1" ht="34.5">
      <c r="A100" s="426"/>
      <c r="B100" s="426"/>
      <c r="C100" s="405"/>
      <c r="D100" s="405"/>
      <c r="E100" s="271">
        <v>12010</v>
      </c>
      <c r="F100" s="270" t="s">
        <v>187</v>
      </c>
      <c r="G100" s="165">
        <f t="shared" ref="G100:H100" si="18">+G102</f>
        <v>-1249723.7</v>
      </c>
      <c r="H100" s="165">
        <f t="shared" si="18"/>
        <v>-1751820.2300000002</v>
      </c>
      <c r="I100" s="28"/>
      <c r="J100" s="28"/>
      <c r="K100" s="28"/>
      <c r="L100" s="28"/>
      <c r="M100" s="28"/>
      <c r="N100" s="28"/>
      <c r="O100" s="28"/>
    </row>
    <row r="101" spans="1:15" s="27" customFormat="1">
      <c r="A101" s="426"/>
      <c r="B101" s="426"/>
      <c r="C101" s="405"/>
      <c r="D101" s="405"/>
      <c r="E101" s="445"/>
      <c r="F101" s="159" t="s">
        <v>54</v>
      </c>
      <c r="G101" s="161"/>
      <c r="H101" s="161"/>
    </row>
    <row r="102" spans="1:15" s="30" customFormat="1" ht="36.6" customHeight="1">
      <c r="A102" s="426"/>
      <c r="B102" s="426"/>
      <c r="C102" s="405"/>
      <c r="D102" s="405"/>
      <c r="E102" s="445"/>
      <c r="F102" s="166" t="s">
        <v>139</v>
      </c>
      <c r="G102" s="168">
        <f t="shared" ref="G102:H102" si="19">+G104</f>
        <v>-1249723.7</v>
      </c>
      <c r="H102" s="168">
        <f t="shared" si="19"/>
        <v>-1751820.2300000002</v>
      </c>
    </row>
    <row r="103" spans="1:15" s="27" customFormat="1" ht="51.75">
      <c r="A103" s="426"/>
      <c r="B103" s="426"/>
      <c r="C103" s="405"/>
      <c r="D103" s="405"/>
      <c r="E103" s="445"/>
      <c r="F103" s="159" t="s">
        <v>44</v>
      </c>
      <c r="G103" s="169"/>
      <c r="H103" s="161"/>
    </row>
    <row r="104" spans="1:15" s="27" customFormat="1" ht="16.899999999999999" customHeight="1">
      <c r="A104" s="426"/>
      <c r="B104" s="426"/>
      <c r="C104" s="405"/>
      <c r="D104" s="405"/>
      <c r="E104" s="445"/>
      <c r="F104" s="274" t="s">
        <v>18</v>
      </c>
      <c r="G104" s="228">
        <f>+G105</f>
        <v>-1249723.7</v>
      </c>
      <c r="H104" s="228">
        <f>+H105</f>
        <v>-1751820.2300000002</v>
      </c>
    </row>
    <row r="105" spans="1:15" s="27" customFormat="1" ht="16.899999999999999" customHeight="1">
      <c r="A105" s="426"/>
      <c r="B105" s="426"/>
      <c r="C105" s="405"/>
      <c r="D105" s="405"/>
      <c r="E105" s="445"/>
      <c r="F105" s="136" t="s">
        <v>90</v>
      </c>
      <c r="G105" s="169">
        <f t="shared" ref="G105:H109" si="20">+G106</f>
        <v>-1249723.7</v>
      </c>
      <c r="H105" s="280">
        <f t="shared" si="20"/>
        <v>-1751820.2300000002</v>
      </c>
    </row>
    <row r="106" spans="1:15" s="27" customFormat="1">
      <c r="A106" s="426"/>
      <c r="B106" s="426"/>
      <c r="C106" s="405"/>
      <c r="D106" s="405"/>
      <c r="E106" s="445"/>
      <c r="F106" s="136" t="s">
        <v>91</v>
      </c>
      <c r="G106" s="169">
        <f>+G107+G109</f>
        <v>-1249723.7</v>
      </c>
      <c r="H106" s="169">
        <f>+H107+H109</f>
        <v>-1751820.2300000002</v>
      </c>
    </row>
    <row r="107" spans="1:15" s="27" customFormat="1">
      <c r="A107" s="426"/>
      <c r="B107" s="426"/>
      <c r="C107" s="405"/>
      <c r="D107" s="405"/>
      <c r="E107" s="446"/>
      <c r="F107" s="136" t="s">
        <v>92</v>
      </c>
      <c r="G107" s="169">
        <f t="shared" si="20"/>
        <v>-1165333.7</v>
      </c>
      <c r="H107" s="280">
        <f t="shared" si="20"/>
        <v>-1741940.2300000002</v>
      </c>
    </row>
    <row r="108" spans="1:15" s="27" customFormat="1">
      <c r="A108" s="426"/>
      <c r="B108" s="426"/>
      <c r="C108" s="405"/>
      <c r="D108" s="405"/>
      <c r="E108" s="446"/>
      <c r="F108" s="116" t="s">
        <v>142</v>
      </c>
      <c r="G108" s="169">
        <f>+'Հավելված N 4'!E46-'Հավելված N 4'!E48-'Հավելված N 4'!E49-'Հավելված N 4'!E50-'Հավելված N 4'!E66-'Հավելված N 4'!E68</f>
        <v>-1165333.7</v>
      </c>
      <c r="H108" s="169">
        <f>+'Հավելված N 4'!F46-'Հավելված N 4'!F48-'Հավելված N 4'!F49-'Հավելված N 4'!F50-'Հավելված N 4'!F66-'Հավելված N 4'!F68</f>
        <v>-1741940.2300000002</v>
      </c>
    </row>
    <row r="109" spans="1:15" s="27" customFormat="1">
      <c r="A109" s="426"/>
      <c r="B109" s="426"/>
      <c r="C109" s="405"/>
      <c r="D109" s="405"/>
      <c r="E109" s="445"/>
      <c r="F109" s="136" t="s">
        <v>191</v>
      </c>
      <c r="G109" s="169">
        <f t="shared" si="20"/>
        <v>-84390</v>
      </c>
      <c r="H109" s="280">
        <f t="shared" si="20"/>
        <v>-9880</v>
      </c>
    </row>
    <row r="110" spans="1:15" s="27" customFormat="1">
      <c r="A110" s="426"/>
      <c r="B110" s="426"/>
      <c r="C110" s="405"/>
      <c r="D110" s="406"/>
      <c r="E110" s="445"/>
      <c r="F110" s="116" t="s">
        <v>192</v>
      </c>
      <c r="G110" s="169">
        <f>+'Հավելված N 4'!E48+'Հավելված N 4'!E49+'Հավելված N 4'!E50+'Հավելված N 4'!E66+'Հավելված N 4'!E68</f>
        <v>-84390</v>
      </c>
      <c r="H110" s="169">
        <f>+'Հավելված N 4'!F48+'Հավելված N 4'!F49+'Հավելված N 4'!F50+'Հավելված N 4'!F66+'Հավելված N 4'!F68</f>
        <v>-9880</v>
      </c>
    </row>
    <row r="111" spans="1:15" s="27" customFormat="1">
      <c r="A111" s="426"/>
      <c r="B111" s="426"/>
      <c r="C111" s="405"/>
      <c r="D111" s="404">
        <v>1183</v>
      </c>
      <c r="E111" s="447" t="s">
        <v>94</v>
      </c>
      <c r="F111" s="448"/>
      <c r="G111" s="119">
        <f>+G113+G124+G135+G146+G155+G164</f>
        <v>696057.4</v>
      </c>
      <c r="H111" s="119">
        <f>+H113+H124+H135+H146+H155+H164</f>
        <v>922101.49999999953</v>
      </c>
      <c r="I111" s="28"/>
      <c r="J111" s="28"/>
      <c r="K111" s="28"/>
      <c r="L111" s="28"/>
      <c r="M111" s="28"/>
      <c r="N111" s="28"/>
    </row>
    <row r="112" spans="1:15" s="27" customFormat="1" ht="16.899999999999999" customHeight="1">
      <c r="A112" s="426"/>
      <c r="B112" s="426"/>
      <c r="C112" s="405"/>
      <c r="D112" s="405"/>
      <c r="E112" s="121"/>
      <c r="F112" s="136" t="s">
        <v>17</v>
      </c>
      <c r="G112" s="122"/>
      <c r="H112" s="115"/>
      <c r="I112" s="28"/>
      <c r="J112" s="28"/>
      <c r="K112" s="28"/>
      <c r="L112" s="28"/>
      <c r="M112" s="28"/>
      <c r="N112" s="28"/>
    </row>
    <row r="113" spans="1:15" s="27" customFormat="1" ht="35.450000000000003" customHeight="1">
      <c r="A113" s="426"/>
      <c r="B113" s="426"/>
      <c r="C113" s="405"/>
      <c r="D113" s="405"/>
      <c r="E113" s="134">
        <v>32001</v>
      </c>
      <c r="F113" s="118" t="s">
        <v>110</v>
      </c>
      <c r="G113" s="123">
        <f>+G115</f>
        <v>-116082.1</v>
      </c>
      <c r="H113" s="123">
        <f>+H115</f>
        <v>-353700.3</v>
      </c>
      <c r="I113" s="28"/>
      <c r="J113" s="28"/>
      <c r="K113" s="28"/>
      <c r="L113" s="28"/>
      <c r="M113" s="28"/>
      <c r="N113" s="28"/>
    </row>
    <row r="114" spans="1:15" s="27" customFormat="1" ht="17.45" customHeight="1">
      <c r="A114" s="426"/>
      <c r="B114" s="426"/>
      <c r="C114" s="405"/>
      <c r="D114" s="405"/>
      <c r="E114" s="439"/>
      <c r="F114" s="136" t="s">
        <v>54</v>
      </c>
      <c r="G114" s="124"/>
      <c r="H114" s="115"/>
    </row>
    <row r="115" spans="1:15" s="30" customFormat="1" ht="36.6" customHeight="1">
      <c r="A115" s="426"/>
      <c r="B115" s="426"/>
      <c r="C115" s="405"/>
      <c r="D115" s="405"/>
      <c r="E115" s="439"/>
      <c r="F115" s="166" t="s">
        <v>139</v>
      </c>
      <c r="G115" s="126">
        <f t="shared" ref="G115:H115" si="21">G117</f>
        <v>-116082.1</v>
      </c>
      <c r="H115" s="126">
        <f t="shared" si="21"/>
        <v>-353700.3</v>
      </c>
    </row>
    <row r="116" spans="1:15" s="27" customFormat="1" ht="51.75">
      <c r="A116" s="426"/>
      <c r="B116" s="426"/>
      <c r="C116" s="405"/>
      <c r="D116" s="405"/>
      <c r="E116" s="439"/>
      <c r="F116" s="136" t="s">
        <v>44</v>
      </c>
      <c r="G116" s="124"/>
      <c r="H116" s="115"/>
    </row>
    <row r="117" spans="1:15" s="27" customFormat="1" ht="17.45" customHeight="1">
      <c r="A117" s="426"/>
      <c r="B117" s="426"/>
      <c r="C117" s="405"/>
      <c r="D117" s="405"/>
      <c r="E117" s="439"/>
      <c r="F117" s="112" t="s">
        <v>45</v>
      </c>
      <c r="G117" s="228">
        <f t="shared" ref="G117:H118" si="22">G118</f>
        <v>-116082.1</v>
      </c>
      <c r="H117" s="228">
        <f t="shared" si="22"/>
        <v>-353700.3</v>
      </c>
    </row>
    <row r="118" spans="1:15" s="27" customFormat="1" ht="17.45" customHeight="1">
      <c r="A118" s="426"/>
      <c r="B118" s="426"/>
      <c r="C118" s="405"/>
      <c r="D118" s="405"/>
      <c r="E118" s="439"/>
      <c r="F118" s="136" t="s">
        <v>90</v>
      </c>
      <c r="G118" s="117">
        <f t="shared" si="22"/>
        <v>-116082.1</v>
      </c>
      <c r="H118" s="281">
        <f t="shared" si="22"/>
        <v>-353700.3</v>
      </c>
    </row>
    <row r="119" spans="1:15" s="27" customFormat="1" ht="17.45" customHeight="1">
      <c r="A119" s="426"/>
      <c r="B119" s="426"/>
      <c r="C119" s="405"/>
      <c r="D119" s="405"/>
      <c r="E119" s="439"/>
      <c r="F119" s="136" t="s">
        <v>91</v>
      </c>
      <c r="G119" s="117">
        <f>+G120+G122</f>
        <v>-116082.1</v>
      </c>
      <c r="H119" s="117">
        <f>+H120+H122</f>
        <v>-353700.3</v>
      </c>
    </row>
    <row r="120" spans="1:15" s="27" customFormat="1" ht="17.45" customHeight="1">
      <c r="A120" s="426"/>
      <c r="B120" s="426"/>
      <c r="C120" s="405"/>
      <c r="D120" s="405"/>
      <c r="E120" s="440"/>
      <c r="F120" s="136" t="s">
        <v>92</v>
      </c>
      <c r="G120" s="117">
        <f t="shared" ref="G120:H122" si="23">+G121</f>
        <v>-116082.1</v>
      </c>
      <c r="H120" s="281">
        <f t="shared" si="23"/>
        <v>-290205.2</v>
      </c>
    </row>
    <row r="121" spans="1:15" s="27" customFormat="1" ht="17.45" customHeight="1">
      <c r="A121" s="426"/>
      <c r="B121" s="426"/>
      <c r="C121" s="405"/>
      <c r="D121" s="405"/>
      <c r="E121" s="440"/>
      <c r="F121" s="116" t="s">
        <v>93</v>
      </c>
      <c r="G121" s="117">
        <f>+'Հավելված N 4'!E85</f>
        <v>-116082.1</v>
      </c>
      <c r="H121" s="117">
        <f>+'Հավելված N 4'!F85</f>
        <v>-290205.2</v>
      </c>
    </row>
    <row r="122" spans="1:15" s="27" customFormat="1" ht="17.45" customHeight="1">
      <c r="A122" s="426"/>
      <c r="B122" s="426"/>
      <c r="C122" s="405"/>
      <c r="D122" s="405"/>
      <c r="E122" s="441"/>
      <c r="F122" s="136" t="s">
        <v>191</v>
      </c>
      <c r="G122" s="117">
        <f t="shared" si="23"/>
        <v>0</v>
      </c>
      <c r="H122" s="281">
        <f t="shared" si="23"/>
        <v>-63495.1</v>
      </c>
    </row>
    <row r="123" spans="1:15" s="27" customFormat="1" ht="17.45" customHeight="1">
      <c r="A123" s="426"/>
      <c r="B123" s="426"/>
      <c r="C123" s="405"/>
      <c r="D123" s="405"/>
      <c r="E123" s="441"/>
      <c r="F123" s="116" t="s">
        <v>192</v>
      </c>
      <c r="G123" s="117">
        <f>+'Հավելված N 4'!E86</f>
        <v>0</v>
      </c>
      <c r="H123" s="117">
        <f>+'Հավելված N 4'!F86</f>
        <v>-63495.1</v>
      </c>
    </row>
    <row r="124" spans="1:15" s="27" customFormat="1" ht="34.5">
      <c r="A124" s="426"/>
      <c r="B124" s="426"/>
      <c r="C124" s="405"/>
      <c r="D124" s="405"/>
      <c r="E124" s="361">
        <v>32002</v>
      </c>
      <c r="F124" s="213" t="s">
        <v>334</v>
      </c>
      <c r="G124" s="207">
        <f t="shared" ref="G124:H124" si="24">+G126</f>
        <v>-942437.2</v>
      </c>
      <c r="H124" s="207">
        <f t="shared" si="24"/>
        <v>-1259302.9000000001</v>
      </c>
      <c r="I124" s="28"/>
      <c r="J124" s="28"/>
      <c r="K124" s="28"/>
      <c r="L124" s="28"/>
      <c r="M124" s="28"/>
      <c r="N124" s="28"/>
      <c r="O124" s="28"/>
    </row>
    <row r="125" spans="1:15" s="27" customFormat="1">
      <c r="A125" s="426"/>
      <c r="B125" s="426"/>
      <c r="C125" s="405"/>
      <c r="D125" s="405"/>
      <c r="E125" s="428"/>
      <c r="F125" s="206" t="s">
        <v>54</v>
      </c>
      <c r="G125" s="208"/>
      <c r="H125" s="208"/>
    </row>
    <row r="126" spans="1:15" s="30" customFormat="1" ht="36.6" customHeight="1">
      <c r="A126" s="426"/>
      <c r="B126" s="426"/>
      <c r="C126" s="405"/>
      <c r="D126" s="405"/>
      <c r="E126" s="429"/>
      <c r="F126" s="166" t="s">
        <v>139</v>
      </c>
      <c r="G126" s="209">
        <f t="shared" ref="G126:H126" si="25">+G128</f>
        <v>-942437.2</v>
      </c>
      <c r="H126" s="209">
        <f t="shared" si="25"/>
        <v>-1259302.9000000001</v>
      </c>
    </row>
    <row r="127" spans="1:15" s="27" customFormat="1" ht="51.75">
      <c r="A127" s="426"/>
      <c r="B127" s="426"/>
      <c r="C127" s="405"/>
      <c r="D127" s="405"/>
      <c r="E127" s="429"/>
      <c r="F127" s="206" t="s">
        <v>44</v>
      </c>
      <c r="G127" s="210"/>
      <c r="H127" s="208"/>
    </row>
    <row r="128" spans="1:15" s="27" customFormat="1" ht="16.899999999999999" customHeight="1">
      <c r="A128" s="426"/>
      <c r="B128" s="426"/>
      <c r="C128" s="405"/>
      <c r="D128" s="405"/>
      <c r="E128" s="429"/>
      <c r="F128" s="351" t="s">
        <v>18</v>
      </c>
      <c r="G128" s="228">
        <f t="shared" ref="G128:H133" si="26">+G129</f>
        <v>-942437.2</v>
      </c>
      <c r="H128" s="228">
        <f t="shared" si="26"/>
        <v>-1259302.9000000001</v>
      </c>
    </row>
    <row r="129" spans="1:15" s="27" customFormat="1" ht="16.899999999999999" customHeight="1">
      <c r="A129" s="426"/>
      <c r="B129" s="426"/>
      <c r="C129" s="405"/>
      <c r="D129" s="405"/>
      <c r="E129" s="429"/>
      <c r="F129" s="206" t="s">
        <v>90</v>
      </c>
      <c r="G129" s="210">
        <f t="shared" si="26"/>
        <v>-942437.2</v>
      </c>
      <c r="H129" s="282">
        <f t="shared" si="26"/>
        <v>-1259302.9000000001</v>
      </c>
    </row>
    <row r="130" spans="1:15" s="27" customFormat="1">
      <c r="A130" s="426"/>
      <c r="B130" s="426"/>
      <c r="C130" s="405"/>
      <c r="D130" s="405"/>
      <c r="E130" s="429"/>
      <c r="F130" s="206" t="s">
        <v>91</v>
      </c>
      <c r="G130" s="210">
        <f>+G131+G133</f>
        <v>-942437.2</v>
      </c>
      <c r="H130" s="210">
        <f>+H131+H133</f>
        <v>-1259302.9000000001</v>
      </c>
    </row>
    <row r="131" spans="1:15" s="27" customFormat="1">
      <c r="A131" s="426"/>
      <c r="B131" s="426"/>
      <c r="C131" s="405"/>
      <c r="D131" s="405"/>
      <c r="E131" s="429"/>
      <c r="F131" s="206" t="s">
        <v>92</v>
      </c>
      <c r="G131" s="210">
        <f t="shared" si="26"/>
        <v>-942437.2</v>
      </c>
      <c r="H131" s="282">
        <f t="shared" si="26"/>
        <v>-1214084.0000000002</v>
      </c>
    </row>
    <row r="132" spans="1:15" s="27" customFormat="1">
      <c r="A132" s="426"/>
      <c r="B132" s="426"/>
      <c r="C132" s="405"/>
      <c r="D132" s="405"/>
      <c r="E132" s="429"/>
      <c r="F132" s="212" t="s">
        <v>142</v>
      </c>
      <c r="G132" s="210">
        <f>+'Հավելված N 4'!E89-'Հավելված N 4'!E92</f>
        <v>-942437.2</v>
      </c>
      <c r="H132" s="210">
        <f>+'Հավելված N 4'!F89-'Հավելված N 4'!F92</f>
        <v>-1214084.0000000002</v>
      </c>
    </row>
    <row r="133" spans="1:15" s="27" customFormat="1">
      <c r="A133" s="426"/>
      <c r="B133" s="426"/>
      <c r="C133" s="405"/>
      <c r="D133" s="405"/>
      <c r="E133" s="429"/>
      <c r="F133" s="136" t="s">
        <v>191</v>
      </c>
      <c r="G133" s="210">
        <f t="shared" si="26"/>
        <v>0</v>
      </c>
      <c r="H133" s="282">
        <f t="shared" si="26"/>
        <v>-45218.9</v>
      </c>
    </row>
    <row r="134" spans="1:15" s="27" customFormat="1">
      <c r="A134" s="426"/>
      <c r="B134" s="426"/>
      <c r="C134" s="405"/>
      <c r="D134" s="405"/>
      <c r="E134" s="430"/>
      <c r="F134" s="116" t="s">
        <v>192</v>
      </c>
      <c r="G134" s="210">
        <f>+'Հավելված N 4'!E92</f>
        <v>0</v>
      </c>
      <c r="H134" s="210">
        <f>+'Հավելված N 4'!F92</f>
        <v>-45218.9</v>
      </c>
    </row>
    <row r="135" spans="1:15" s="27" customFormat="1" ht="51.75">
      <c r="A135" s="426"/>
      <c r="B135" s="426"/>
      <c r="C135" s="405"/>
      <c r="D135" s="405"/>
      <c r="E135" s="277">
        <v>32003</v>
      </c>
      <c r="F135" s="213" t="s">
        <v>140</v>
      </c>
      <c r="G135" s="207">
        <f t="shared" ref="G135:H135" si="27">+G137</f>
        <v>1002513.7999999999</v>
      </c>
      <c r="H135" s="207">
        <f t="shared" si="27"/>
        <v>1442123.2999999998</v>
      </c>
      <c r="I135" s="28"/>
      <c r="J135" s="28"/>
      <c r="K135" s="28"/>
      <c r="L135" s="28"/>
      <c r="M135" s="28"/>
      <c r="N135" s="28"/>
      <c r="O135" s="28"/>
    </row>
    <row r="136" spans="1:15" s="27" customFormat="1">
      <c r="A136" s="426"/>
      <c r="B136" s="426"/>
      <c r="C136" s="405"/>
      <c r="D136" s="405"/>
      <c r="E136" s="428"/>
      <c r="F136" s="206" t="s">
        <v>54</v>
      </c>
      <c r="G136" s="208"/>
      <c r="H136" s="208"/>
    </row>
    <row r="137" spans="1:15" s="30" customFormat="1" ht="36.6" customHeight="1">
      <c r="A137" s="426"/>
      <c r="B137" s="426"/>
      <c r="C137" s="405"/>
      <c r="D137" s="405"/>
      <c r="E137" s="429"/>
      <c r="F137" s="166" t="s">
        <v>139</v>
      </c>
      <c r="G137" s="209">
        <f t="shared" ref="G137:H137" si="28">+G139</f>
        <v>1002513.7999999999</v>
      </c>
      <c r="H137" s="209">
        <f t="shared" si="28"/>
        <v>1442123.2999999998</v>
      </c>
    </row>
    <row r="138" spans="1:15" s="27" customFormat="1" ht="51.75">
      <c r="A138" s="426"/>
      <c r="B138" s="426"/>
      <c r="C138" s="405"/>
      <c r="D138" s="405"/>
      <c r="E138" s="429"/>
      <c r="F138" s="206" t="s">
        <v>44</v>
      </c>
      <c r="G138" s="210"/>
      <c r="H138" s="208"/>
    </row>
    <row r="139" spans="1:15" s="27" customFormat="1" ht="16.899999999999999" customHeight="1">
      <c r="A139" s="426"/>
      <c r="B139" s="426"/>
      <c r="C139" s="405"/>
      <c r="D139" s="405"/>
      <c r="E139" s="429"/>
      <c r="F139" s="211" t="s">
        <v>18</v>
      </c>
      <c r="G139" s="228">
        <f t="shared" ref="G139:H142" si="29">+G140</f>
        <v>1002513.7999999999</v>
      </c>
      <c r="H139" s="228">
        <f t="shared" si="29"/>
        <v>1442123.2999999998</v>
      </c>
    </row>
    <row r="140" spans="1:15" s="27" customFormat="1" ht="16.899999999999999" customHeight="1">
      <c r="A140" s="426"/>
      <c r="B140" s="426"/>
      <c r="C140" s="405"/>
      <c r="D140" s="405"/>
      <c r="E140" s="429"/>
      <c r="F140" s="206" t="s">
        <v>90</v>
      </c>
      <c r="G140" s="210">
        <f t="shared" si="29"/>
        <v>1002513.7999999999</v>
      </c>
      <c r="H140" s="282">
        <f t="shared" si="29"/>
        <v>1442123.2999999998</v>
      </c>
    </row>
    <row r="141" spans="1:15" s="27" customFormat="1">
      <c r="A141" s="426"/>
      <c r="B141" s="426"/>
      <c r="C141" s="405"/>
      <c r="D141" s="405"/>
      <c r="E141" s="429"/>
      <c r="F141" s="206" t="s">
        <v>91</v>
      </c>
      <c r="G141" s="210">
        <f>+G142+G144</f>
        <v>1002513.7999999999</v>
      </c>
      <c r="H141" s="210">
        <f>+H142+H144</f>
        <v>1442123.2999999998</v>
      </c>
    </row>
    <row r="142" spans="1:15" s="27" customFormat="1">
      <c r="A142" s="426"/>
      <c r="B142" s="426"/>
      <c r="C142" s="405"/>
      <c r="D142" s="405"/>
      <c r="E142" s="429"/>
      <c r="F142" s="206" t="s">
        <v>92</v>
      </c>
      <c r="G142" s="210">
        <f>+G143</f>
        <v>1042513.7999999999</v>
      </c>
      <c r="H142" s="282">
        <f t="shared" si="29"/>
        <v>1442123.2999999998</v>
      </c>
    </row>
    <row r="143" spans="1:15" s="27" customFormat="1">
      <c r="A143" s="426"/>
      <c r="B143" s="426"/>
      <c r="C143" s="405"/>
      <c r="D143" s="405"/>
      <c r="E143" s="429"/>
      <c r="F143" s="212" t="s">
        <v>142</v>
      </c>
      <c r="G143" s="210">
        <f>+'Հավելված N 4'!E104-'Հավելված N 4'!E107-'Հավելված N 4'!E109-'Հավելված N 4'!E111-'Հավելված N 4'!E113-'Հավելված N 4'!E120-'Հավելված N 4'!E129-'Հավելված N 4'!E132-'Հավելված N 4'!E133</f>
        <v>1042513.7999999999</v>
      </c>
      <c r="H143" s="210">
        <f>+'Հավելված N 4'!F104-'Հավելված N 4'!F107-'Հավելված N 4'!F109-'Հավելված N 4'!F111-'Հավելված N 4'!F113-'Հավելված N 4'!F120-'Հավելված N 4'!F129-'Հավելված N 4'!F132-'Հավելված N 4'!F133</f>
        <v>1442123.2999999998</v>
      </c>
    </row>
    <row r="144" spans="1:15" s="27" customFormat="1">
      <c r="A144" s="426"/>
      <c r="B144" s="426"/>
      <c r="C144" s="405"/>
      <c r="D144" s="405"/>
      <c r="E144" s="429"/>
      <c r="F144" s="136" t="s">
        <v>191</v>
      </c>
      <c r="G144" s="210">
        <f t="shared" ref="G144:H144" si="30">+G145</f>
        <v>-40000</v>
      </c>
      <c r="H144" s="282">
        <f t="shared" si="30"/>
        <v>0</v>
      </c>
    </row>
    <row r="145" spans="1:14" s="27" customFormat="1">
      <c r="A145" s="426"/>
      <c r="B145" s="426"/>
      <c r="C145" s="405"/>
      <c r="D145" s="405"/>
      <c r="E145" s="430"/>
      <c r="F145" s="116" t="s">
        <v>192</v>
      </c>
      <c r="G145" s="210">
        <f>+'Հավելված N 4'!E107+'Հավելված N 4'!E109+'Հավելված N 4'!E111+'Հավելված N 4'!E113+'Հավելված N 4'!E120+'Հավելված N 4'!E129+'Հավելված N 4'!E132+'Հավելված N 4'!E133</f>
        <v>-40000</v>
      </c>
      <c r="H145" s="210">
        <f>+'Հավելված N 4'!F107+'Հավելված N 4'!F109+'Հավելված N 4'!F111+'Հավելված N 4'!F113+'Հավելված N 4'!F120+'Հավելված N 4'!F129+'Հավելված N 4'!F132+'Հավելված N 4'!F133</f>
        <v>0</v>
      </c>
    </row>
    <row r="146" spans="1:14" s="27" customFormat="1" ht="34.5">
      <c r="A146" s="426"/>
      <c r="B146" s="426"/>
      <c r="C146" s="405"/>
      <c r="D146" s="405"/>
      <c r="E146" s="134">
        <v>32004</v>
      </c>
      <c r="F146" s="118" t="s">
        <v>173</v>
      </c>
      <c r="G146" s="123">
        <f>+G148</f>
        <v>-20003</v>
      </c>
      <c r="H146" s="123">
        <f>+H148</f>
        <v>-20003</v>
      </c>
      <c r="I146" s="28"/>
      <c r="J146" s="28"/>
      <c r="K146" s="28"/>
      <c r="L146" s="28"/>
      <c r="M146" s="28"/>
      <c r="N146" s="28"/>
    </row>
    <row r="147" spans="1:14" s="27" customFormat="1" ht="17.45" customHeight="1">
      <c r="A147" s="426"/>
      <c r="B147" s="426"/>
      <c r="C147" s="405"/>
      <c r="D147" s="405"/>
      <c r="E147" s="439"/>
      <c r="F147" s="136" t="s">
        <v>54</v>
      </c>
      <c r="G147" s="124"/>
      <c r="H147" s="115"/>
    </row>
    <row r="148" spans="1:14" s="30" customFormat="1" ht="36.6" customHeight="1">
      <c r="A148" s="426"/>
      <c r="B148" s="426"/>
      <c r="C148" s="405"/>
      <c r="D148" s="405"/>
      <c r="E148" s="439"/>
      <c r="F148" s="166" t="s">
        <v>139</v>
      </c>
      <c r="G148" s="126">
        <f t="shared" ref="G148" si="31">G150</f>
        <v>-20003</v>
      </c>
      <c r="H148" s="126">
        <f t="shared" ref="H148" si="32">H150</f>
        <v>-20003</v>
      </c>
    </row>
    <row r="149" spans="1:14" s="27" customFormat="1" ht="51.75">
      <c r="A149" s="426"/>
      <c r="B149" s="426"/>
      <c r="C149" s="405"/>
      <c r="D149" s="405"/>
      <c r="E149" s="439"/>
      <c r="F149" s="136" t="s">
        <v>44</v>
      </c>
      <c r="G149" s="124"/>
      <c r="H149" s="124"/>
    </row>
    <row r="150" spans="1:14" s="27" customFormat="1" ht="17.45" customHeight="1">
      <c r="A150" s="426"/>
      <c r="B150" s="426"/>
      <c r="C150" s="405"/>
      <c r="D150" s="405"/>
      <c r="E150" s="439"/>
      <c r="F150" s="112" t="s">
        <v>45</v>
      </c>
      <c r="G150" s="228">
        <f t="shared" ref="G150:H151" si="33">G151</f>
        <v>-20003</v>
      </c>
      <c r="H150" s="228">
        <f t="shared" si="33"/>
        <v>-20003</v>
      </c>
    </row>
    <row r="151" spans="1:14" s="27" customFormat="1" ht="17.45" customHeight="1">
      <c r="A151" s="426"/>
      <c r="B151" s="426"/>
      <c r="C151" s="405"/>
      <c r="D151" s="405"/>
      <c r="E151" s="439"/>
      <c r="F151" s="136" t="s">
        <v>90</v>
      </c>
      <c r="G151" s="117">
        <f t="shared" si="33"/>
        <v>-20003</v>
      </c>
      <c r="H151" s="281">
        <f t="shared" si="33"/>
        <v>-20003</v>
      </c>
    </row>
    <row r="152" spans="1:14" s="27" customFormat="1" ht="17.45" customHeight="1">
      <c r="A152" s="426"/>
      <c r="B152" s="426"/>
      <c r="C152" s="405"/>
      <c r="D152" s="405"/>
      <c r="E152" s="439"/>
      <c r="F152" s="136" t="s">
        <v>91</v>
      </c>
      <c r="G152" s="117">
        <f>+G153</f>
        <v>-20003</v>
      </c>
      <c r="H152" s="117">
        <f>+H153</f>
        <v>-20003</v>
      </c>
    </row>
    <row r="153" spans="1:14" s="27" customFormat="1" ht="17.45" customHeight="1">
      <c r="A153" s="426"/>
      <c r="B153" s="426"/>
      <c r="C153" s="405"/>
      <c r="D153" s="405"/>
      <c r="E153" s="441"/>
      <c r="F153" s="136" t="s">
        <v>191</v>
      </c>
      <c r="G153" s="117">
        <f t="shared" ref="G153:H153" si="34">+G154</f>
        <v>-20003</v>
      </c>
      <c r="H153" s="281">
        <f t="shared" si="34"/>
        <v>-20003</v>
      </c>
    </row>
    <row r="154" spans="1:14" s="27" customFormat="1" ht="17.45" customHeight="1">
      <c r="A154" s="426"/>
      <c r="B154" s="426"/>
      <c r="C154" s="405"/>
      <c r="D154" s="405"/>
      <c r="E154" s="441"/>
      <c r="F154" s="116" t="s">
        <v>192</v>
      </c>
      <c r="G154" s="117">
        <f>+'Հավելված N 4'!E136</f>
        <v>-20003</v>
      </c>
      <c r="H154" s="117">
        <f>+'Հավելված N 4'!F136</f>
        <v>-20003</v>
      </c>
    </row>
    <row r="155" spans="1:14" s="27" customFormat="1" ht="34.5">
      <c r="A155" s="426"/>
      <c r="B155" s="426"/>
      <c r="C155" s="405"/>
      <c r="D155" s="405"/>
      <c r="E155" s="134">
        <v>32007</v>
      </c>
      <c r="F155" s="118" t="s">
        <v>184</v>
      </c>
      <c r="G155" s="123">
        <f>+G157</f>
        <v>708989.00000000012</v>
      </c>
      <c r="H155" s="123">
        <f>+H157</f>
        <v>798147.79999999993</v>
      </c>
      <c r="I155" s="28"/>
      <c r="J155" s="28"/>
      <c r="K155" s="28"/>
      <c r="L155" s="28"/>
      <c r="M155" s="28"/>
      <c r="N155" s="28"/>
    </row>
    <row r="156" spans="1:14" s="27" customFormat="1" ht="17.45" customHeight="1">
      <c r="A156" s="426"/>
      <c r="B156" s="426"/>
      <c r="C156" s="405"/>
      <c r="D156" s="405"/>
      <c r="E156" s="439"/>
      <c r="F156" s="136" t="s">
        <v>54</v>
      </c>
      <c r="G156" s="124"/>
      <c r="H156" s="115"/>
    </row>
    <row r="157" spans="1:14" s="30" customFormat="1" ht="36.6" customHeight="1">
      <c r="A157" s="426"/>
      <c r="B157" s="426"/>
      <c r="C157" s="405"/>
      <c r="D157" s="405"/>
      <c r="E157" s="439"/>
      <c r="F157" s="125" t="s">
        <v>139</v>
      </c>
      <c r="G157" s="126">
        <f t="shared" ref="G157" si="35">G159</f>
        <v>708989.00000000012</v>
      </c>
      <c r="H157" s="126">
        <f t="shared" ref="H157" si="36">H159</f>
        <v>798147.79999999993</v>
      </c>
    </row>
    <row r="158" spans="1:14" s="27" customFormat="1" ht="51.75">
      <c r="A158" s="426"/>
      <c r="B158" s="426"/>
      <c r="C158" s="405"/>
      <c r="D158" s="405"/>
      <c r="E158" s="439"/>
      <c r="F158" s="136" t="s">
        <v>44</v>
      </c>
      <c r="G158" s="124"/>
      <c r="H158" s="124"/>
    </row>
    <row r="159" spans="1:14" s="27" customFormat="1" ht="17.45" customHeight="1">
      <c r="A159" s="426"/>
      <c r="B159" s="426"/>
      <c r="C159" s="405"/>
      <c r="D159" s="405"/>
      <c r="E159" s="439"/>
      <c r="F159" s="112" t="s">
        <v>45</v>
      </c>
      <c r="G159" s="228">
        <f t="shared" ref="G159:H160" si="37">G160</f>
        <v>708989.00000000012</v>
      </c>
      <c r="H159" s="228">
        <f t="shared" si="37"/>
        <v>798147.79999999993</v>
      </c>
    </row>
    <row r="160" spans="1:14" s="27" customFormat="1" ht="17.45" customHeight="1">
      <c r="A160" s="426"/>
      <c r="B160" s="426"/>
      <c r="C160" s="405"/>
      <c r="D160" s="405"/>
      <c r="E160" s="439"/>
      <c r="F160" s="136" t="s">
        <v>90</v>
      </c>
      <c r="G160" s="117">
        <f t="shared" si="37"/>
        <v>708989.00000000012</v>
      </c>
      <c r="H160" s="281">
        <f t="shared" si="37"/>
        <v>798147.79999999993</v>
      </c>
    </row>
    <row r="161" spans="1:14" s="27" customFormat="1" ht="17.45" customHeight="1">
      <c r="A161" s="426"/>
      <c r="B161" s="426"/>
      <c r="C161" s="405"/>
      <c r="D161" s="405"/>
      <c r="E161" s="439"/>
      <c r="F161" s="136" t="s">
        <v>91</v>
      </c>
      <c r="G161" s="117">
        <f>+G162</f>
        <v>708989.00000000012</v>
      </c>
      <c r="H161" s="281">
        <f>+H162</f>
        <v>798147.79999999993</v>
      </c>
    </row>
    <row r="162" spans="1:14" s="27" customFormat="1" ht="17.45" customHeight="1">
      <c r="A162" s="426"/>
      <c r="B162" s="426"/>
      <c r="C162" s="405"/>
      <c r="D162" s="405"/>
      <c r="E162" s="441"/>
      <c r="F162" s="206" t="s">
        <v>92</v>
      </c>
      <c r="G162" s="117">
        <f t="shared" ref="G162:H162" si="38">+G163</f>
        <v>708989.00000000012</v>
      </c>
      <c r="H162" s="281">
        <f t="shared" si="38"/>
        <v>798147.79999999993</v>
      </c>
    </row>
    <row r="163" spans="1:14" s="27" customFormat="1" ht="17.45" customHeight="1">
      <c r="A163" s="426"/>
      <c r="B163" s="426"/>
      <c r="C163" s="405"/>
      <c r="D163" s="405"/>
      <c r="E163" s="441"/>
      <c r="F163" s="212" t="s">
        <v>142</v>
      </c>
      <c r="G163" s="117">
        <f>+'Հավելված N 4'!E142</f>
        <v>708989.00000000012</v>
      </c>
      <c r="H163" s="117">
        <f>+'Հավելված N 4'!F142</f>
        <v>798147.79999999993</v>
      </c>
    </row>
    <row r="164" spans="1:14" s="27" customFormat="1" ht="34.5">
      <c r="A164" s="426"/>
      <c r="B164" s="426"/>
      <c r="C164" s="405"/>
      <c r="D164" s="405"/>
      <c r="E164" s="134">
        <v>32009</v>
      </c>
      <c r="F164" s="118" t="s">
        <v>408</v>
      </c>
      <c r="G164" s="123">
        <f>+G166</f>
        <v>63076.900000000009</v>
      </c>
      <c r="H164" s="123">
        <f>+H166</f>
        <v>314836.60000000003</v>
      </c>
      <c r="I164" s="28"/>
      <c r="J164" s="28"/>
      <c r="K164" s="28"/>
      <c r="L164" s="28"/>
      <c r="M164" s="28"/>
      <c r="N164" s="28"/>
    </row>
    <row r="165" spans="1:14" s="27" customFormat="1" ht="17.45" customHeight="1">
      <c r="A165" s="426"/>
      <c r="B165" s="426"/>
      <c r="C165" s="405"/>
      <c r="D165" s="405"/>
      <c r="E165" s="439"/>
      <c r="F165" s="136" t="s">
        <v>54</v>
      </c>
      <c r="G165" s="124"/>
      <c r="H165" s="115"/>
    </row>
    <row r="166" spans="1:14" s="30" customFormat="1" ht="36.6" customHeight="1">
      <c r="A166" s="426"/>
      <c r="B166" s="426"/>
      <c r="C166" s="405"/>
      <c r="D166" s="405"/>
      <c r="E166" s="439"/>
      <c r="F166" s="125" t="s">
        <v>139</v>
      </c>
      <c r="G166" s="126">
        <f t="shared" ref="G166:H166" si="39">G168</f>
        <v>63076.900000000009</v>
      </c>
      <c r="H166" s="126">
        <f t="shared" si="39"/>
        <v>314836.60000000003</v>
      </c>
    </row>
    <row r="167" spans="1:14" s="27" customFormat="1" ht="51.75">
      <c r="A167" s="426"/>
      <c r="B167" s="426"/>
      <c r="C167" s="405"/>
      <c r="D167" s="405"/>
      <c r="E167" s="439"/>
      <c r="F167" s="136" t="s">
        <v>44</v>
      </c>
      <c r="G167" s="124"/>
      <c r="H167" s="124"/>
    </row>
    <row r="168" spans="1:14" s="27" customFormat="1" ht="17.45" customHeight="1">
      <c r="A168" s="426"/>
      <c r="B168" s="426"/>
      <c r="C168" s="405"/>
      <c r="D168" s="405"/>
      <c r="E168" s="439"/>
      <c r="F168" s="112" t="s">
        <v>45</v>
      </c>
      <c r="G168" s="228">
        <f t="shared" ref="G168:H169" si="40">G169</f>
        <v>63076.900000000009</v>
      </c>
      <c r="H168" s="228">
        <f t="shared" si="40"/>
        <v>314836.60000000003</v>
      </c>
    </row>
    <row r="169" spans="1:14" s="27" customFormat="1" ht="17.45" customHeight="1">
      <c r="A169" s="426"/>
      <c r="B169" s="426"/>
      <c r="C169" s="405"/>
      <c r="D169" s="405"/>
      <c r="E169" s="439"/>
      <c r="F169" s="136" t="s">
        <v>90</v>
      </c>
      <c r="G169" s="117">
        <f t="shared" si="40"/>
        <v>63076.900000000009</v>
      </c>
      <c r="H169" s="281">
        <f t="shared" si="40"/>
        <v>314836.60000000003</v>
      </c>
    </row>
    <row r="170" spans="1:14" s="27" customFormat="1" ht="17.45" customHeight="1">
      <c r="A170" s="426"/>
      <c r="B170" s="426"/>
      <c r="C170" s="405"/>
      <c r="D170" s="405"/>
      <c r="E170" s="439"/>
      <c r="F170" s="136" t="s">
        <v>91</v>
      </c>
      <c r="G170" s="117">
        <f>+G171</f>
        <v>63076.900000000009</v>
      </c>
      <c r="H170" s="281">
        <f>+H171</f>
        <v>314836.60000000003</v>
      </c>
    </row>
    <row r="171" spans="1:14" s="27" customFormat="1" ht="17.45" customHeight="1">
      <c r="A171" s="426"/>
      <c r="B171" s="426"/>
      <c r="C171" s="405"/>
      <c r="D171" s="405"/>
      <c r="E171" s="441"/>
      <c r="F171" s="206" t="s">
        <v>92</v>
      </c>
      <c r="G171" s="117">
        <f t="shared" ref="G171:H171" si="41">+G172</f>
        <v>63076.900000000009</v>
      </c>
      <c r="H171" s="281">
        <f t="shared" si="41"/>
        <v>314836.60000000003</v>
      </c>
    </row>
    <row r="172" spans="1:14" s="27" customFormat="1" ht="17.45" customHeight="1">
      <c r="A172" s="431"/>
      <c r="B172" s="431"/>
      <c r="C172" s="406"/>
      <c r="D172" s="406"/>
      <c r="E172" s="441"/>
      <c r="F172" s="212" t="s">
        <v>142</v>
      </c>
      <c r="G172" s="117">
        <f>+'Հավելված N 4'!E167</f>
        <v>63076.900000000009</v>
      </c>
      <c r="H172" s="117">
        <f>+'Հավելված N 4'!F167</f>
        <v>314836.60000000003</v>
      </c>
    </row>
    <row r="173" spans="1:14">
      <c r="A173" s="298"/>
      <c r="B173" s="364"/>
      <c r="C173" s="365"/>
    </row>
    <row r="174" spans="1:14" s="27" customFormat="1" ht="34.9" customHeight="1">
      <c r="A174" s="206"/>
      <c r="B174" s="206"/>
      <c r="C174" s="206"/>
      <c r="D174" s="211"/>
      <c r="E174" s="211"/>
      <c r="F174" s="276" t="s">
        <v>196</v>
      </c>
      <c r="G174" s="285">
        <f>+G175</f>
        <v>1431410.4999999998</v>
      </c>
      <c r="H174" s="285">
        <f>+H175</f>
        <v>1868106.830000001</v>
      </c>
    </row>
    <row r="175" spans="1:14" ht="34.5">
      <c r="A175" s="442" t="s">
        <v>197</v>
      </c>
      <c r="B175" s="450"/>
      <c r="C175" s="442"/>
      <c r="D175" s="442"/>
      <c r="E175" s="442"/>
      <c r="F175" s="283" t="s">
        <v>198</v>
      </c>
      <c r="G175" s="205">
        <f t="shared" ref="G175:H175" si="42">+G177</f>
        <v>1431410.4999999998</v>
      </c>
      <c r="H175" s="205">
        <f t="shared" si="42"/>
        <v>1868106.830000001</v>
      </c>
    </row>
    <row r="176" spans="1:14">
      <c r="A176" s="442"/>
      <c r="B176" s="450"/>
      <c r="C176" s="442"/>
      <c r="D176" s="442"/>
      <c r="E176" s="442"/>
      <c r="F176" s="206" t="s">
        <v>17</v>
      </c>
      <c r="G176" s="205"/>
      <c r="H176" s="205"/>
    </row>
    <row r="177" spans="1:8">
      <c r="A177" s="442"/>
      <c r="B177" s="442" t="s">
        <v>24</v>
      </c>
      <c r="C177" s="450"/>
      <c r="D177" s="442"/>
      <c r="E177" s="442"/>
      <c r="F177" s="283" t="s">
        <v>199</v>
      </c>
      <c r="G177" s="208">
        <f t="shared" ref="G177:H177" si="43">+G179</f>
        <v>1431410.4999999998</v>
      </c>
      <c r="H177" s="208">
        <f t="shared" si="43"/>
        <v>1868106.830000001</v>
      </c>
    </row>
    <row r="178" spans="1:8">
      <c r="A178" s="442"/>
      <c r="B178" s="442"/>
      <c r="C178" s="450"/>
      <c r="D178" s="442"/>
      <c r="E178" s="442"/>
      <c r="F178" s="206" t="s">
        <v>17</v>
      </c>
      <c r="G178" s="208"/>
      <c r="H178" s="291"/>
    </row>
    <row r="179" spans="1:8">
      <c r="A179" s="442"/>
      <c r="B179" s="442"/>
      <c r="C179" s="442" t="s">
        <v>24</v>
      </c>
      <c r="D179" s="450"/>
      <c r="E179" s="442"/>
      <c r="F179" s="276" t="s">
        <v>200</v>
      </c>
      <c r="G179" s="208">
        <f>+G181</f>
        <v>1431410.4999999998</v>
      </c>
      <c r="H179" s="208">
        <f>+H181</f>
        <v>1868106.830000001</v>
      </c>
    </row>
    <row r="180" spans="1:8">
      <c r="A180" s="442"/>
      <c r="B180" s="442"/>
      <c r="C180" s="442"/>
      <c r="D180" s="450"/>
      <c r="E180" s="442"/>
      <c r="F180" s="206" t="s">
        <v>17</v>
      </c>
      <c r="G180" s="291"/>
      <c r="H180" s="291"/>
    </row>
    <row r="181" spans="1:8">
      <c r="A181" s="442"/>
      <c r="B181" s="442"/>
      <c r="C181" s="442"/>
      <c r="D181" s="450"/>
      <c r="E181" s="442"/>
      <c r="F181" s="206" t="s">
        <v>201</v>
      </c>
      <c r="G181" s="282">
        <f t="shared" ref="G181:H181" si="44">+G183</f>
        <v>1431410.4999999998</v>
      </c>
      <c r="H181" s="282">
        <f t="shared" si="44"/>
        <v>1868106.830000001</v>
      </c>
    </row>
    <row r="182" spans="1:8">
      <c r="A182" s="442"/>
      <c r="B182" s="442"/>
      <c r="C182" s="442"/>
      <c r="D182" s="450"/>
      <c r="E182" s="442"/>
      <c r="F182" s="206" t="s">
        <v>17</v>
      </c>
      <c r="G182" s="292"/>
      <c r="H182" s="292"/>
    </row>
    <row r="183" spans="1:8" ht="18" customHeight="1">
      <c r="A183" s="442"/>
      <c r="B183" s="442"/>
      <c r="C183" s="442"/>
      <c r="D183" s="442" t="s">
        <v>202</v>
      </c>
      <c r="E183" s="443" t="s">
        <v>203</v>
      </c>
      <c r="F183" s="444" t="s">
        <v>200</v>
      </c>
      <c r="G183" s="205">
        <f>+G185</f>
        <v>1431410.4999999998</v>
      </c>
      <c r="H183" s="205">
        <f>+H185</f>
        <v>1868106.830000001</v>
      </c>
    </row>
    <row r="184" spans="1:8">
      <c r="A184" s="442"/>
      <c r="B184" s="442"/>
      <c r="C184" s="442"/>
      <c r="D184" s="442"/>
      <c r="E184" s="286"/>
      <c r="F184" s="206" t="s">
        <v>17</v>
      </c>
      <c r="G184" s="228"/>
      <c r="H184" s="228"/>
    </row>
    <row r="185" spans="1:8">
      <c r="A185" s="442"/>
      <c r="B185" s="442"/>
      <c r="C185" s="442"/>
      <c r="D185" s="442"/>
      <c r="E185" s="287">
        <v>11001</v>
      </c>
      <c r="F185" s="276" t="s">
        <v>200</v>
      </c>
      <c r="G185" s="293">
        <f t="shared" ref="G185:H185" si="45">+G187</f>
        <v>1431410.4999999998</v>
      </c>
      <c r="H185" s="293">
        <f t="shared" si="45"/>
        <v>1868106.830000001</v>
      </c>
    </row>
    <row r="186" spans="1:8">
      <c r="A186" s="442"/>
      <c r="B186" s="442"/>
      <c r="C186" s="442"/>
      <c r="D186" s="442"/>
      <c r="E186" s="438"/>
      <c r="F186" s="288" t="s">
        <v>54</v>
      </c>
      <c r="G186" s="294"/>
      <c r="H186" s="294"/>
    </row>
    <row r="187" spans="1:8" ht="36.6" customHeight="1">
      <c r="A187" s="442"/>
      <c r="B187" s="442"/>
      <c r="C187" s="442"/>
      <c r="D187" s="442"/>
      <c r="E187" s="438"/>
      <c r="F187" s="289" t="s">
        <v>201</v>
      </c>
      <c r="G187" s="295">
        <f t="shared" ref="G187:H187" si="46">+G189</f>
        <v>1431410.4999999998</v>
      </c>
      <c r="H187" s="295">
        <f t="shared" si="46"/>
        <v>1868106.830000001</v>
      </c>
    </row>
    <row r="188" spans="1:8" ht="34.5">
      <c r="A188" s="442"/>
      <c r="B188" s="442"/>
      <c r="C188" s="442"/>
      <c r="D188" s="442"/>
      <c r="E188" s="438"/>
      <c r="F188" s="288" t="s">
        <v>204</v>
      </c>
      <c r="G188" s="294"/>
      <c r="H188" s="294"/>
    </row>
    <row r="189" spans="1:8">
      <c r="A189" s="442"/>
      <c r="B189" s="442"/>
      <c r="C189" s="442"/>
      <c r="D189" s="442"/>
      <c r="E189" s="438"/>
      <c r="F189" s="290" t="s">
        <v>18</v>
      </c>
      <c r="G189" s="228">
        <f t="shared" ref="G189:H191" si="47">+G190</f>
        <v>1431410.4999999998</v>
      </c>
      <c r="H189" s="228">
        <f t="shared" si="47"/>
        <v>1868106.830000001</v>
      </c>
    </row>
    <row r="190" spans="1:8">
      <c r="A190" s="442"/>
      <c r="B190" s="442"/>
      <c r="C190" s="442"/>
      <c r="D190" s="442"/>
      <c r="E190" s="438"/>
      <c r="F190" s="136" t="s">
        <v>19</v>
      </c>
      <c r="G190" s="296">
        <f t="shared" si="47"/>
        <v>1431410.4999999998</v>
      </c>
      <c r="H190" s="296">
        <f t="shared" si="47"/>
        <v>1868106.830000001</v>
      </c>
    </row>
    <row r="191" spans="1:8">
      <c r="A191" s="442"/>
      <c r="B191" s="442"/>
      <c r="C191" s="442"/>
      <c r="D191" s="442"/>
      <c r="E191" s="438"/>
      <c r="F191" s="206" t="s">
        <v>438</v>
      </c>
      <c r="G191" s="296">
        <f t="shared" si="47"/>
        <v>1431410.4999999998</v>
      </c>
      <c r="H191" s="296">
        <f t="shared" si="47"/>
        <v>1868106.830000001</v>
      </c>
    </row>
    <row r="192" spans="1:8">
      <c r="A192" s="442"/>
      <c r="B192" s="442"/>
      <c r="C192" s="442"/>
      <c r="D192" s="442"/>
      <c r="E192" s="438"/>
      <c r="F192" s="212" t="s">
        <v>439</v>
      </c>
      <c r="G192" s="296">
        <f>-G13</f>
        <v>1431410.4999999998</v>
      </c>
      <c r="H192" s="296">
        <f>-H13</f>
        <v>1868106.830000001</v>
      </c>
    </row>
  </sheetData>
  <mergeCells count="56">
    <mergeCell ref="A57:A172"/>
    <mergeCell ref="A175:A192"/>
    <mergeCell ref="B177:B192"/>
    <mergeCell ref="C179:C192"/>
    <mergeCell ref="D183:D192"/>
    <mergeCell ref="B57:B58"/>
    <mergeCell ref="B59:B172"/>
    <mergeCell ref="B175:B176"/>
    <mergeCell ref="C175:C178"/>
    <mergeCell ref="D175:D182"/>
    <mergeCell ref="C61:C172"/>
    <mergeCell ref="D98:D110"/>
    <mergeCell ref="D111:D172"/>
    <mergeCell ref="D65:D86"/>
    <mergeCell ref="E101:E110"/>
    <mergeCell ref="E111:F111"/>
    <mergeCell ref="E68:E77"/>
    <mergeCell ref="D87:D97"/>
    <mergeCell ref="E125:E134"/>
    <mergeCell ref="E98:F98"/>
    <mergeCell ref="E65:F65"/>
    <mergeCell ref="E87:F87"/>
    <mergeCell ref="E90:E97"/>
    <mergeCell ref="E79:E86"/>
    <mergeCell ref="E186:E192"/>
    <mergeCell ref="E114:E123"/>
    <mergeCell ref="E147:E154"/>
    <mergeCell ref="E156:E163"/>
    <mergeCell ref="E175:E182"/>
    <mergeCell ref="E183:F183"/>
    <mergeCell ref="E165:E172"/>
    <mergeCell ref="E136:E145"/>
    <mergeCell ref="F1:H1"/>
    <mergeCell ref="D9:E9"/>
    <mergeCell ref="F9:F10"/>
    <mergeCell ref="A5:H5"/>
    <mergeCell ref="A9:C9"/>
    <mergeCell ref="F3:H3"/>
    <mergeCell ref="F2:H2"/>
    <mergeCell ref="G9:H9"/>
    <mergeCell ref="A14:A56"/>
    <mergeCell ref="B16:B56"/>
    <mergeCell ref="E22:F22"/>
    <mergeCell ref="B14:B15"/>
    <mergeCell ref="E42:E56"/>
    <mergeCell ref="D39:D56"/>
    <mergeCell ref="C35:C56"/>
    <mergeCell ref="E39:F39"/>
    <mergeCell ref="E35:E38"/>
    <mergeCell ref="D35:D38"/>
    <mergeCell ref="E25:E34"/>
    <mergeCell ref="D22:D34"/>
    <mergeCell ref="C18:C34"/>
    <mergeCell ref="C14:C17"/>
    <mergeCell ref="D14:D21"/>
    <mergeCell ref="E14:E2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44"/>
  <sheetViews>
    <sheetView topLeftCell="A10" zoomScale="85" zoomScaleNormal="85" workbookViewId="0">
      <selection activeCell="G19" sqref="G19"/>
    </sheetView>
  </sheetViews>
  <sheetFormatPr defaultColWidth="9.25" defaultRowHeight="17.25"/>
  <cols>
    <col min="1" max="1" width="12.875" style="8" bestFit="1" customWidth="1"/>
    <col min="2" max="2" width="9.25" style="8"/>
    <col min="3" max="3" width="54.25" style="8" customWidth="1"/>
    <col min="4" max="4" width="16.625" style="8" customWidth="1"/>
    <col min="5" max="8" width="18.875" style="8" customWidth="1"/>
    <col min="9" max="9" width="29.375" style="8" customWidth="1"/>
    <col min="10" max="10" width="17.25" style="8" customWidth="1"/>
    <col min="11" max="16384" width="9.25" style="8"/>
  </cols>
  <sheetData>
    <row r="1" spans="1:10" ht="37.5" customHeight="1">
      <c r="B1" s="55"/>
      <c r="C1" s="55"/>
      <c r="D1" s="55"/>
      <c r="E1" s="55"/>
      <c r="F1" s="454" t="s">
        <v>82</v>
      </c>
      <c r="G1" s="454"/>
      <c r="H1" s="454"/>
    </row>
    <row r="2" spans="1:10" ht="17.45" customHeight="1">
      <c r="A2" s="55"/>
      <c r="B2" s="55"/>
      <c r="C2" s="55"/>
      <c r="D2" s="55"/>
      <c r="E2" s="55"/>
      <c r="F2" s="455" t="s">
        <v>124</v>
      </c>
      <c r="G2" s="455"/>
      <c r="H2" s="455"/>
    </row>
    <row r="3" spans="1:10" ht="17.45" customHeight="1">
      <c r="A3" s="55"/>
      <c r="B3" s="55"/>
      <c r="C3" s="55"/>
      <c r="D3" s="55"/>
      <c r="E3" s="55"/>
      <c r="F3" s="455" t="s">
        <v>81</v>
      </c>
      <c r="G3" s="455"/>
      <c r="H3" s="455"/>
    </row>
    <row r="4" spans="1:10" ht="14.45" customHeight="1">
      <c r="A4" s="56"/>
      <c r="B4" s="56"/>
      <c r="C4" s="78"/>
      <c r="E4" s="57"/>
      <c r="F4" s="57"/>
      <c r="G4" s="57"/>
      <c r="H4" s="57"/>
    </row>
    <row r="5" spans="1:10" ht="14.45" customHeight="1">
      <c r="A5" s="56"/>
      <c r="B5" s="56"/>
      <c r="C5" s="78"/>
      <c r="E5" s="57"/>
      <c r="F5" s="57"/>
      <c r="G5" s="57"/>
      <c r="H5" s="57"/>
    </row>
    <row r="6" spans="1:10">
      <c r="A6" s="456" t="s">
        <v>123</v>
      </c>
      <c r="B6" s="457"/>
      <c r="C6" s="457"/>
      <c r="D6" s="457"/>
      <c r="E6" s="457"/>
      <c r="F6" s="457"/>
      <c r="G6" s="457"/>
      <c r="H6" s="457"/>
    </row>
    <row r="7" spans="1:10" ht="33.950000000000003" customHeight="1">
      <c r="A7" s="457"/>
      <c r="B7" s="457"/>
      <c r="C7" s="457"/>
      <c r="D7" s="457"/>
      <c r="E7" s="457"/>
      <c r="F7" s="457"/>
      <c r="G7" s="457"/>
      <c r="H7" s="457"/>
    </row>
    <row r="8" spans="1:10">
      <c r="D8" s="58"/>
      <c r="E8" s="26"/>
      <c r="F8" s="58"/>
    </row>
    <row r="9" spans="1:10">
      <c r="D9" s="26"/>
      <c r="E9" s="26"/>
      <c r="F9" s="26"/>
      <c r="G9" s="26"/>
      <c r="H9" s="59" t="s">
        <v>21</v>
      </c>
    </row>
    <row r="10" spans="1:10" ht="40.35" customHeight="1">
      <c r="A10" s="458" t="s">
        <v>48</v>
      </c>
      <c r="B10" s="459"/>
      <c r="C10" s="460" t="s">
        <v>57</v>
      </c>
      <c r="D10" s="462" t="s">
        <v>89</v>
      </c>
      <c r="E10" s="464" t="s">
        <v>113</v>
      </c>
      <c r="F10" s="465"/>
      <c r="G10" s="465"/>
      <c r="H10" s="466"/>
    </row>
    <row r="11" spans="1:10" ht="107.45" customHeight="1">
      <c r="A11" s="60" t="s">
        <v>51</v>
      </c>
      <c r="B11" s="60" t="s">
        <v>52</v>
      </c>
      <c r="C11" s="461"/>
      <c r="D11" s="463"/>
      <c r="E11" s="61" t="s">
        <v>59</v>
      </c>
      <c r="F11" s="61" t="s">
        <v>60</v>
      </c>
      <c r="G11" s="61" t="s">
        <v>61</v>
      </c>
      <c r="H11" s="61" t="s">
        <v>62</v>
      </c>
      <c r="I11" s="62"/>
    </row>
    <row r="12" spans="1:10">
      <c r="A12" s="60"/>
      <c r="B12" s="60"/>
      <c r="C12" s="63" t="s">
        <v>63</v>
      </c>
      <c r="D12" s="5">
        <f>SUM(E12:H12)</f>
        <v>-1868106.8300000003</v>
      </c>
      <c r="E12" s="5">
        <f t="shared" ref="E12:H12" si="0">+E14</f>
        <v>-1235618.7300000004</v>
      </c>
      <c r="F12" s="64">
        <f t="shared" si="0"/>
        <v>-446163.89999999997</v>
      </c>
      <c r="G12" s="64">
        <f t="shared" si="0"/>
        <v>-186324.2</v>
      </c>
      <c r="H12" s="64">
        <f t="shared" si="0"/>
        <v>0</v>
      </c>
      <c r="I12" s="65"/>
      <c r="J12" s="38"/>
    </row>
    <row r="13" spans="1:10">
      <c r="A13" s="60"/>
      <c r="B13" s="60"/>
      <c r="C13" s="63" t="s">
        <v>64</v>
      </c>
      <c r="D13" s="76"/>
      <c r="E13" s="76"/>
      <c r="F13" s="64"/>
      <c r="G13" s="64"/>
      <c r="H13" s="64"/>
    </row>
    <row r="14" spans="1:10" ht="34.5">
      <c r="A14" s="2"/>
      <c r="B14" s="3"/>
      <c r="C14" s="3" t="s">
        <v>55</v>
      </c>
      <c r="D14" s="5">
        <f>SUM(E14:H14)</f>
        <v>-1868106.8300000003</v>
      </c>
      <c r="E14" s="5">
        <f>+E16+E22+E28+E34+E38+E61+E66+E71+E84+E102+E106+E129</f>
        <v>-1235618.7300000004</v>
      </c>
      <c r="F14" s="5">
        <f>+F16+F22+F28+F34+F38+F61+F66+F71+F84+F102+F106+F129</f>
        <v>-446163.89999999997</v>
      </c>
      <c r="G14" s="5">
        <f>+G16+G22+G28+G34+G38+G61+G66+G71+G84+G102+G106+G129</f>
        <v>-186324.2</v>
      </c>
      <c r="H14" s="5">
        <f>+H16+H22+H28+H34+H38+H61+H66+H71+H84+H102+H106+H129</f>
        <v>0</v>
      </c>
      <c r="I14" s="49"/>
    </row>
    <row r="15" spans="1:10">
      <c r="A15" s="2"/>
      <c r="B15" s="2"/>
      <c r="C15" s="2" t="s">
        <v>65</v>
      </c>
      <c r="D15" s="4"/>
      <c r="E15" s="4"/>
      <c r="F15" s="4"/>
      <c r="G15" s="4"/>
      <c r="H15" s="4"/>
    </row>
    <row r="16" spans="1:10" ht="67.150000000000006" customHeight="1">
      <c r="A16" s="233">
        <v>1045</v>
      </c>
      <c r="B16" s="233">
        <v>32001</v>
      </c>
      <c r="C16" s="231" t="s">
        <v>179</v>
      </c>
      <c r="D16" s="66">
        <f>+E16+F16+G16+H16</f>
        <v>-330699.7</v>
      </c>
      <c r="E16" s="71">
        <f>+E18+E20</f>
        <v>0</v>
      </c>
      <c r="F16" s="71">
        <f t="shared" ref="F16:H16" si="1">+F18+F20</f>
        <v>-318250.3</v>
      </c>
      <c r="G16" s="71">
        <f t="shared" si="1"/>
        <v>-12449.4</v>
      </c>
      <c r="H16" s="71">
        <f t="shared" si="1"/>
        <v>0</v>
      </c>
      <c r="I16" s="26"/>
    </row>
    <row r="17" spans="1:9">
      <c r="A17" s="195"/>
      <c r="B17" s="195"/>
      <c r="C17" s="72" t="s">
        <v>17</v>
      </c>
      <c r="D17" s="69"/>
      <c r="E17" s="69"/>
      <c r="F17" s="69"/>
      <c r="G17" s="69"/>
      <c r="H17" s="69"/>
      <c r="I17" s="58"/>
    </row>
    <row r="18" spans="1:9">
      <c r="A18" s="230"/>
      <c r="B18" s="230"/>
      <c r="C18" s="153" t="s">
        <v>152</v>
      </c>
      <c r="D18" s="73">
        <f>SUM(E18:H18)</f>
        <v>-12449.4</v>
      </c>
      <c r="E18" s="73">
        <f>+E19</f>
        <v>0</v>
      </c>
      <c r="F18" s="73">
        <f t="shared" ref="F18:H20" si="2">+F19</f>
        <v>0</v>
      </c>
      <c r="G18" s="73">
        <f t="shared" si="2"/>
        <v>-12449.4</v>
      </c>
      <c r="H18" s="73">
        <f t="shared" si="2"/>
        <v>0</v>
      </c>
      <c r="I18" s="26"/>
    </row>
    <row r="19" spans="1:9" ht="34.5">
      <c r="A19" s="330"/>
      <c r="B19" s="330"/>
      <c r="C19" s="155" t="s">
        <v>422</v>
      </c>
      <c r="D19" s="70">
        <f t="shared" ref="D19" si="3">+E19+F19+G19+H19</f>
        <v>-12449.4</v>
      </c>
      <c r="E19" s="89"/>
      <c r="F19" s="70"/>
      <c r="G19" s="89">
        <f>+'Հավելված N 7'!I31</f>
        <v>-12449.4</v>
      </c>
      <c r="H19" s="90"/>
    </row>
    <row r="20" spans="1:9">
      <c r="A20" s="230"/>
      <c r="B20" s="230"/>
      <c r="C20" s="24" t="s">
        <v>172</v>
      </c>
      <c r="D20" s="73">
        <f>SUM(E20:H20)</f>
        <v>-318250.3</v>
      </c>
      <c r="E20" s="73">
        <f>+E21</f>
        <v>0</v>
      </c>
      <c r="F20" s="73">
        <f t="shared" si="2"/>
        <v>-318250.3</v>
      </c>
      <c r="G20" s="73">
        <f t="shared" si="2"/>
        <v>0</v>
      </c>
      <c r="H20" s="73">
        <f t="shared" si="2"/>
        <v>0</v>
      </c>
      <c r="I20" s="26"/>
    </row>
    <row r="21" spans="1:9" ht="34.5">
      <c r="A21" s="330"/>
      <c r="B21" s="330"/>
      <c r="C21" s="229" t="s">
        <v>263</v>
      </c>
      <c r="D21" s="70">
        <f t="shared" ref="D21" si="4">+E21+F21+G21+H21</f>
        <v>-318250.3</v>
      </c>
      <c r="E21" s="89"/>
      <c r="F21" s="70">
        <f>+'Հավելված N 7'!I29+'Հավելված N 7'!I32+'Հավելված N 7'!I33</f>
        <v>-318250.3</v>
      </c>
      <c r="G21" s="89"/>
      <c r="H21" s="90"/>
    </row>
    <row r="22" spans="1:9" ht="69">
      <c r="A22" s="234">
        <v>1045</v>
      </c>
      <c r="B22" s="234">
        <v>32005</v>
      </c>
      <c r="C22" s="231" t="s">
        <v>181</v>
      </c>
      <c r="D22" s="66">
        <f>+E22+F22+G22+H22</f>
        <v>-519865.60000000003</v>
      </c>
      <c r="E22" s="71">
        <f>+E24+E26</f>
        <v>-519865.60000000003</v>
      </c>
      <c r="F22" s="71">
        <f t="shared" ref="F22:H22" si="5">+F24+F26</f>
        <v>0</v>
      </c>
      <c r="G22" s="71">
        <f t="shared" si="5"/>
        <v>0</v>
      </c>
      <c r="H22" s="71">
        <f t="shared" si="5"/>
        <v>0</v>
      </c>
      <c r="I22" s="26"/>
    </row>
    <row r="23" spans="1:9">
      <c r="A23" s="195"/>
      <c r="B23" s="195"/>
      <c r="C23" s="72" t="s">
        <v>17</v>
      </c>
      <c r="D23" s="69"/>
      <c r="E23" s="69"/>
      <c r="F23" s="69"/>
      <c r="G23" s="69"/>
      <c r="H23" s="69"/>
      <c r="I23" s="58"/>
    </row>
    <row r="24" spans="1:9">
      <c r="A24" s="230"/>
      <c r="B24" s="230"/>
      <c r="C24" s="24" t="s">
        <v>270</v>
      </c>
      <c r="D24" s="73">
        <f>SUM(E24:H24)</f>
        <v>-168849.2</v>
      </c>
      <c r="E24" s="73">
        <f>+E25</f>
        <v>-168849.2</v>
      </c>
      <c r="F24" s="73">
        <f t="shared" ref="F24:H26" si="6">+F25</f>
        <v>0</v>
      </c>
      <c r="G24" s="73">
        <f t="shared" si="6"/>
        <v>0</v>
      </c>
      <c r="H24" s="73">
        <f t="shared" si="6"/>
        <v>0</v>
      </c>
      <c r="I24" s="26"/>
    </row>
    <row r="25" spans="1:9" ht="34.5">
      <c r="A25" s="230"/>
      <c r="B25" s="230"/>
      <c r="C25" s="229" t="s">
        <v>271</v>
      </c>
      <c r="D25" s="70">
        <f t="shared" ref="D25" si="7">+E25+F25+G25+H25</f>
        <v>-168849.2</v>
      </c>
      <c r="E25" s="89">
        <f>+'Հավելված N 7'!I36+'Հավելված N 7'!I39+'Հավելված N 7'!I41</f>
        <v>-168849.2</v>
      </c>
      <c r="F25" s="70"/>
      <c r="G25" s="89"/>
      <c r="H25" s="90"/>
    </row>
    <row r="26" spans="1:9">
      <c r="A26" s="230"/>
      <c r="B26" s="230"/>
      <c r="C26" s="24" t="s">
        <v>178</v>
      </c>
      <c r="D26" s="73">
        <f>SUM(E26:H26)</f>
        <v>-351016.4</v>
      </c>
      <c r="E26" s="73">
        <f>+E27</f>
        <v>-351016.4</v>
      </c>
      <c r="F26" s="73">
        <f t="shared" si="6"/>
        <v>0</v>
      </c>
      <c r="G26" s="73">
        <f t="shared" si="6"/>
        <v>0</v>
      </c>
      <c r="H26" s="73">
        <f t="shared" si="6"/>
        <v>0</v>
      </c>
      <c r="I26" s="26"/>
    </row>
    <row r="27" spans="1:9" ht="34.5">
      <c r="A27" s="230"/>
      <c r="B27" s="230"/>
      <c r="C27" s="229" t="s">
        <v>275</v>
      </c>
      <c r="D27" s="70">
        <f t="shared" ref="D27" si="8">+E27+F27+G27+H27</f>
        <v>-351016.4</v>
      </c>
      <c r="E27" s="89">
        <f>+'Հավելված N 7'!I37+'Հավելված N 7'!I40+'Հավելված N 7'!I42</f>
        <v>-351016.4</v>
      </c>
      <c r="F27" s="70"/>
      <c r="G27" s="89"/>
      <c r="H27" s="90"/>
    </row>
    <row r="28" spans="1:9" ht="34.5">
      <c r="A28" s="227">
        <v>1075</v>
      </c>
      <c r="B28" s="227">
        <v>32001</v>
      </c>
      <c r="C28" s="231" t="s">
        <v>169</v>
      </c>
      <c r="D28" s="66">
        <f>+E28+F28+G28+H28</f>
        <v>-199482</v>
      </c>
      <c r="E28" s="71">
        <f>+E30+E32</f>
        <v>0</v>
      </c>
      <c r="F28" s="71">
        <f t="shared" ref="F28:H28" si="9">+F30+F32</f>
        <v>-164204.19999999998</v>
      </c>
      <c r="G28" s="71">
        <f t="shared" si="9"/>
        <v>-35277.800000000003</v>
      </c>
      <c r="H28" s="71">
        <f t="shared" si="9"/>
        <v>0</v>
      </c>
      <c r="I28" s="26"/>
    </row>
    <row r="29" spans="1:9">
      <c r="A29" s="195"/>
      <c r="B29" s="195"/>
      <c r="C29" s="72" t="s">
        <v>17</v>
      </c>
      <c r="D29" s="69"/>
      <c r="E29" s="69"/>
      <c r="F29" s="69"/>
      <c r="G29" s="69"/>
      <c r="H29" s="69"/>
      <c r="I29" s="58"/>
    </row>
    <row r="30" spans="1:9">
      <c r="A30" s="230"/>
      <c r="B30" s="230"/>
      <c r="C30" s="24" t="s">
        <v>152</v>
      </c>
      <c r="D30" s="73">
        <f>SUM(E30:H30)</f>
        <v>-164204.19999999998</v>
      </c>
      <c r="E30" s="73">
        <f>+E31</f>
        <v>0</v>
      </c>
      <c r="F30" s="73">
        <f t="shared" ref="F30:H32" si="10">+F31</f>
        <v>-164204.19999999998</v>
      </c>
      <c r="G30" s="73">
        <f t="shared" si="10"/>
        <v>0</v>
      </c>
      <c r="H30" s="73">
        <f t="shared" si="10"/>
        <v>0</v>
      </c>
      <c r="I30" s="26"/>
    </row>
    <row r="31" spans="1:9" ht="51.75">
      <c r="A31" s="230"/>
      <c r="B31" s="230"/>
      <c r="C31" s="85" t="s">
        <v>279</v>
      </c>
      <c r="D31" s="70">
        <f t="shared" ref="D31" si="11">+E31+F31+G31+H31</f>
        <v>-164204.19999999998</v>
      </c>
      <c r="E31" s="89"/>
      <c r="F31" s="70">
        <f>+'Հավելված N 7'!I14+'Հավելված N 7'!I16+'Հավելված N 7'!I17</f>
        <v>-164204.19999999998</v>
      </c>
      <c r="G31" s="89"/>
      <c r="H31" s="90"/>
    </row>
    <row r="32" spans="1:9">
      <c r="A32" s="230"/>
      <c r="B32" s="230"/>
      <c r="C32" s="24" t="s">
        <v>138</v>
      </c>
      <c r="D32" s="73">
        <f>SUM(E32:H32)</f>
        <v>-35277.800000000003</v>
      </c>
      <c r="E32" s="73">
        <f>+E33</f>
        <v>0</v>
      </c>
      <c r="F32" s="73">
        <f t="shared" si="10"/>
        <v>0</v>
      </c>
      <c r="G32" s="73">
        <f t="shared" si="10"/>
        <v>-35277.800000000003</v>
      </c>
      <c r="H32" s="73">
        <f t="shared" si="10"/>
        <v>0</v>
      </c>
      <c r="I32" s="26"/>
    </row>
    <row r="33" spans="1:9">
      <c r="A33" s="230"/>
      <c r="B33" s="230"/>
      <c r="C33" s="85" t="s">
        <v>280</v>
      </c>
      <c r="D33" s="70">
        <f t="shared" ref="D33" si="12">+E33+F33+G33+H33</f>
        <v>-35277.800000000003</v>
      </c>
      <c r="E33" s="89"/>
      <c r="F33" s="70"/>
      <c r="G33" s="89">
        <f>+'Հավելված N 7'!I18+'Հավելված N 7'!I19</f>
        <v>-35277.800000000003</v>
      </c>
      <c r="H33" s="90"/>
    </row>
    <row r="34" spans="1:9" ht="51.75">
      <c r="A34" s="238">
        <v>1111</v>
      </c>
      <c r="B34" s="238">
        <v>32001</v>
      </c>
      <c r="C34" s="231" t="s">
        <v>284</v>
      </c>
      <c r="D34" s="66">
        <f>+E34+F34+G34+H34</f>
        <v>-267295.40000000002</v>
      </c>
      <c r="E34" s="71">
        <f>+E36</f>
        <v>0</v>
      </c>
      <c r="F34" s="71">
        <f t="shared" ref="F34:H34" si="13">+F36</f>
        <v>-267295.40000000002</v>
      </c>
      <c r="G34" s="71">
        <f t="shared" si="13"/>
        <v>0</v>
      </c>
      <c r="H34" s="71">
        <f t="shared" si="13"/>
        <v>0</v>
      </c>
      <c r="I34" s="26"/>
    </row>
    <row r="35" spans="1:9">
      <c r="A35" s="195"/>
      <c r="B35" s="195"/>
      <c r="C35" s="72" t="s">
        <v>17</v>
      </c>
      <c r="D35" s="69"/>
      <c r="E35" s="69"/>
      <c r="F35" s="69"/>
      <c r="G35" s="69"/>
      <c r="H35" s="69"/>
      <c r="I35" s="58"/>
    </row>
    <row r="36" spans="1:9">
      <c r="A36" s="230"/>
      <c r="B36" s="230"/>
      <c r="C36" s="24" t="s">
        <v>152</v>
      </c>
      <c r="D36" s="73">
        <f>SUM(E36:H36)</f>
        <v>-267295.40000000002</v>
      </c>
      <c r="E36" s="73">
        <f>+E37</f>
        <v>0</v>
      </c>
      <c r="F36" s="73">
        <f t="shared" ref="F36:H36" si="14">+F37</f>
        <v>-267295.40000000002</v>
      </c>
      <c r="G36" s="73">
        <f t="shared" si="14"/>
        <v>0</v>
      </c>
      <c r="H36" s="73">
        <f t="shared" si="14"/>
        <v>0</v>
      </c>
      <c r="I36" s="26"/>
    </row>
    <row r="37" spans="1:9" ht="34.5">
      <c r="A37" s="230"/>
      <c r="B37" s="230"/>
      <c r="C37" s="85" t="s">
        <v>285</v>
      </c>
      <c r="D37" s="70">
        <f t="shared" ref="D37" si="15">+E37+F37+G37+H37</f>
        <v>-267295.40000000002</v>
      </c>
      <c r="E37" s="89"/>
      <c r="F37" s="70">
        <f>+'Հավելված N 7'!I45+'Հավելված N 7'!I47+'Հավելված N 7'!I48</f>
        <v>-267295.40000000002</v>
      </c>
      <c r="G37" s="89"/>
      <c r="H37" s="90"/>
    </row>
    <row r="38" spans="1:9" s="243" customFormat="1" ht="34.5">
      <c r="A38" s="250">
        <v>1146</v>
      </c>
      <c r="B38" s="250">
        <v>12010</v>
      </c>
      <c r="C38" s="213" t="s">
        <v>187</v>
      </c>
      <c r="D38" s="198">
        <f>+E38+F38+G38+H38</f>
        <v>-1751820.2300000002</v>
      </c>
      <c r="E38" s="251">
        <f>+E40+E42+E44+E48+E50+E52+E55+E57+E59</f>
        <v>-1741940.2300000002</v>
      </c>
      <c r="F38" s="251">
        <f>+F40+F42+F44+F48+F50+F52+F55+F57+F59</f>
        <v>0</v>
      </c>
      <c r="G38" s="251">
        <f>+G40+G42+G44+G48+G50+G52+G55+G57+G59</f>
        <v>-9880</v>
      </c>
      <c r="H38" s="251">
        <f>+H40+H42+H44+H48+H50+H52+H55+H57+H59</f>
        <v>0</v>
      </c>
      <c r="I38" s="252"/>
    </row>
    <row r="39" spans="1:9" s="257" customFormat="1">
      <c r="A39" s="253"/>
      <c r="B39" s="253"/>
      <c r="C39" s="242" t="s">
        <v>17</v>
      </c>
      <c r="D39" s="254"/>
      <c r="E39" s="255"/>
      <c r="F39" s="255"/>
      <c r="G39" s="255"/>
      <c r="H39" s="254"/>
      <c r="I39" s="256"/>
    </row>
    <row r="40" spans="1:9" s="243" customFormat="1">
      <c r="A40" s="253"/>
      <c r="B40" s="253"/>
      <c r="C40" s="258" t="s">
        <v>111</v>
      </c>
      <c r="D40" s="259">
        <f>SUM(E40:H40)</f>
        <v>-297217.50000000006</v>
      </c>
      <c r="E40" s="259">
        <f>+E41</f>
        <v>-297217.50000000006</v>
      </c>
      <c r="F40" s="259">
        <f t="shared" ref="F40:H40" si="16">+F41</f>
        <v>0</v>
      </c>
      <c r="G40" s="259">
        <f t="shared" si="16"/>
        <v>0</v>
      </c>
      <c r="H40" s="259">
        <f t="shared" si="16"/>
        <v>0</v>
      </c>
    </row>
    <row r="41" spans="1:9" s="243" customFormat="1" ht="51.75">
      <c r="A41" s="253"/>
      <c r="B41" s="253"/>
      <c r="C41" s="235" t="s">
        <v>288</v>
      </c>
      <c r="D41" s="260">
        <f t="shared" ref="D41" si="17">+E41+F41+G41+H41</f>
        <v>-297217.50000000006</v>
      </c>
      <c r="E41" s="260">
        <f>+'Հավելված N 7'!I52+'Հավելված N 7'!I63+'Հավելված N 7'!I73</f>
        <v>-297217.50000000006</v>
      </c>
      <c r="F41" s="260"/>
      <c r="G41" s="260"/>
      <c r="H41" s="241"/>
    </row>
    <row r="42" spans="1:9" s="243" customFormat="1">
      <c r="A42" s="253"/>
      <c r="B42" s="253"/>
      <c r="C42" s="258" t="s">
        <v>172</v>
      </c>
      <c r="D42" s="259">
        <f>SUM(E42:H42)</f>
        <v>-49913.4</v>
      </c>
      <c r="E42" s="259">
        <f>+E43</f>
        <v>-49913.4</v>
      </c>
      <c r="F42" s="259">
        <f t="shared" ref="F42:H42" si="18">+F43</f>
        <v>0</v>
      </c>
      <c r="G42" s="259">
        <f t="shared" si="18"/>
        <v>0</v>
      </c>
      <c r="H42" s="259">
        <f t="shared" si="18"/>
        <v>0</v>
      </c>
    </row>
    <row r="43" spans="1:9" s="243" customFormat="1" ht="51.75">
      <c r="A43" s="253"/>
      <c r="B43" s="253"/>
      <c r="C43" s="235" t="s">
        <v>289</v>
      </c>
      <c r="D43" s="260">
        <f t="shared" ref="D43" si="19">+E43+F43+G43+H43</f>
        <v>-49913.4</v>
      </c>
      <c r="E43" s="260">
        <f>+'Հավելված N 7'!I60+'Հավելված N 7'!I64+'Հավելված N 7'!I74</f>
        <v>-49913.4</v>
      </c>
      <c r="F43" s="260"/>
      <c r="G43" s="260"/>
      <c r="H43" s="241"/>
    </row>
    <row r="44" spans="1:9" s="243" customFormat="1">
      <c r="A44" s="253"/>
      <c r="B44" s="253"/>
      <c r="C44" s="258" t="s">
        <v>130</v>
      </c>
      <c r="D44" s="259">
        <f>SUM(E44:H44)</f>
        <v>82521.199999999983</v>
      </c>
      <c r="E44" s="259">
        <f>SUM(E45:E47)</f>
        <v>82521.199999999983</v>
      </c>
      <c r="F44" s="259">
        <f t="shared" ref="F44:H44" si="20">SUM(F45:F47)</f>
        <v>0</v>
      </c>
      <c r="G44" s="259">
        <f t="shared" si="20"/>
        <v>0</v>
      </c>
      <c r="H44" s="259">
        <f t="shared" si="20"/>
        <v>0</v>
      </c>
    </row>
    <row r="45" spans="1:9" s="243" customFormat="1" ht="51.75">
      <c r="A45" s="468"/>
      <c r="B45" s="468"/>
      <c r="C45" s="235" t="s">
        <v>291</v>
      </c>
      <c r="D45" s="260">
        <f t="shared" ref="D45" si="21">+E45+F45+G45+H45</f>
        <v>205409.1</v>
      </c>
      <c r="E45" s="260">
        <f>+'Հավելված N 7'!I51+'Հավելված N 7'!I62+'Հավելված N 7'!I72</f>
        <v>205409.1</v>
      </c>
      <c r="F45" s="260"/>
      <c r="G45" s="260"/>
      <c r="H45" s="241"/>
    </row>
    <row r="46" spans="1:9" s="243" customFormat="1" ht="51.75">
      <c r="A46" s="469"/>
      <c r="B46" s="469"/>
      <c r="C46" s="235" t="s">
        <v>292</v>
      </c>
      <c r="D46" s="260">
        <f t="shared" ref="D46" si="22">+E46+F46+G46+H46</f>
        <v>80254.7</v>
      </c>
      <c r="E46" s="260">
        <f>+'Հավելված N 7'!I53+'Հավելված N 7'!I65+'Հավելված N 7'!I75</f>
        <v>80254.7</v>
      </c>
      <c r="F46" s="260"/>
      <c r="G46" s="260"/>
      <c r="H46" s="241"/>
    </row>
    <row r="47" spans="1:9" s="243" customFormat="1" ht="51.75">
      <c r="A47" s="470"/>
      <c r="B47" s="470"/>
      <c r="C47" s="235" t="s">
        <v>296</v>
      </c>
      <c r="D47" s="260">
        <f t="shared" ref="D47" si="23">+E47+F47+G47+H47</f>
        <v>-203142.6</v>
      </c>
      <c r="E47" s="260">
        <f>+'Հավելված N 7'!I56+'Հավելված N 7'!I71+'Հավելված N 7'!I76</f>
        <v>-203142.6</v>
      </c>
      <c r="F47" s="260"/>
      <c r="G47" s="260"/>
      <c r="H47" s="241"/>
    </row>
    <row r="48" spans="1:9" s="243" customFormat="1">
      <c r="A48" s="253"/>
      <c r="B48" s="253"/>
      <c r="C48" s="258" t="s">
        <v>270</v>
      </c>
      <c r="D48" s="259">
        <f>SUM(E48:H48)</f>
        <v>-356335.5</v>
      </c>
      <c r="E48" s="259">
        <f>+E49</f>
        <v>-356335.5</v>
      </c>
      <c r="F48" s="259">
        <f t="shared" ref="F48" si="24">+F49</f>
        <v>0</v>
      </c>
      <c r="G48" s="259">
        <f t="shared" ref="G48" si="25">+G49</f>
        <v>0</v>
      </c>
      <c r="H48" s="259">
        <f t="shared" ref="H48" si="26">+H49</f>
        <v>0</v>
      </c>
    </row>
    <row r="49" spans="1:9" s="243" customFormat="1" ht="51.75">
      <c r="A49" s="253"/>
      <c r="B49" s="253"/>
      <c r="C49" s="235" t="s">
        <v>297</v>
      </c>
      <c r="D49" s="260">
        <f t="shared" ref="D49" si="27">+E49+F49+G49+H49</f>
        <v>-356335.5</v>
      </c>
      <c r="E49" s="260">
        <f>+'Հավելված N 7'!I54+'Հավելված N 7'!I66+'Հավելված N 7'!I77</f>
        <v>-356335.5</v>
      </c>
      <c r="F49" s="260"/>
      <c r="G49" s="260"/>
      <c r="H49" s="241"/>
    </row>
    <row r="50" spans="1:9" s="243" customFormat="1">
      <c r="A50" s="253"/>
      <c r="B50" s="253"/>
      <c r="C50" s="258" t="s">
        <v>178</v>
      </c>
      <c r="D50" s="259">
        <f>SUM(E50:H50)</f>
        <v>-90099</v>
      </c>
      <c r="E50" s="259">
        <f>+E51</f>
        <v>-90099</v>
      </c>
      <c r="F50" s="259">
        <f t="shared" ref="F50" si="28">+F51</f>
        <v>0</v>
      </c>
      <c r="G50" s="259">
        <f t="shared" ref="G50" si="29">+G51</f>
        <v>0</v>
      </c>
      <c r="H50" s="259">
        <f t="shared" ref="H50" si="30">+H51</f>
        <v>0</v>
      </c>
    </row>
    <row r="51" spans="1:9" s="243" customFormat="1" ht="34.5">
      <c r="A51" s="253"/>
      <c r="B51" s="253"/>
      <c r="C51" s="235" t="s">
        <v>301</v>
      </c>
      <c r="D51" s="260">
        <f t="shared" ref="D51" si="31">+E51+F51+G51+H51</f>
        <v>-90099</v>
      </c>
      <c r="E51" s="260">
        <f>+'Հավելված N 7'!I55+'Հավելված N 7'!I67+'Հավելված N 7'!I78</f>
        <v>-90099</v>
      </c>
      <c r="F51" s="260"/>
      <c r="G51" s="260"/>
      <c r="H51" s="241"/>
    </row>
    <row r="52" spans="1:9" s="243" customFormat="1">
      <c r="A52" s="253"/>
      <c r="B52" s="253"/>
      <c r="C52" s="258" t="s">
        <v>170</v>
      </c>
      <c r="D52" s="259">
        <f>SUM(E52:H52)</f>
        <v>-322612.73</v>
      </c>
      <c r="E52" s="259">
        <f>SUM(E53:E54)</f>
        <v>-317672.73</v>
      </c>
      <c r="F52" s="259">
        <f t="shared" ref="F52:H52" si="32">SUM(F53:F54)</f>
        <v>0</v>
      </c>
      <c r="G52" s="259">
        <f t="shared" si="32"/>
        <v>-4940</v>
      </c>
      <c r="H52" s="259">
        <f t="shared" si="32"/>
        <v>0</v>
      </c>
    </row>
    <row r="53" spans="1:9" s="243" customFormat="1" ht="51.75">
      <c r="A53" s="471"/>
      <c r="B53" s="471"/>
      <c r="C53" s="235" t="s">
        <v>305</v>
      </c>
      <c r="D53" s="260">
        <f t="shared" ref="D53:D54" si="33">+E53+F53+G53+H53</f>
        <v>-317672.73</v>
      </c>
      <c r="E53" s="260">
        <f>+'Հավելված N 7'!I59+'Հավելված N 7'!I68+'Հավելված N 7'!I79</f>
        <v>-317672.73</v>
      </c>
      <c r="F53" s="260"/>
      <c r="G53" s="260"/>
      <c r="H53" s="241"/>
    </row>
    <row r="54" spans="1:9" s="243" customFormat="1" ht="51.75">
      <c r="A54" s="472"/>
      <c r="B54" s="472"/>
      <c r="C54" s="235" t="s">
        <v>306</v>
      </c>
      <c r="D54" s="260">
        <f t="shared" si="33"/>
        <v>-4940</v>
      </c>
      <c r="E54" s="260"/>
      <c r="F54" s="260"/>
      <c r="G54" s="260">
        <f>+'Հավելված N 7'!I83+'Հավելված N 7'!I85</f>
        <v>-4940</v>
      </c>
      <c r="H54" s="241"/>
    </row>
    <row r="55" spans="1:9" s="243" customFormat="1">
      <c r="A55" s="253"/>
      <c r="B55" s="253"/>
      <c r="C55" s="258" t="s">
        <v>312</v>
      </c>
      <c r="D55" s="259">
        <f>SUM(E55:H55)</f>
        <v>-4940</v>
      </c>
      <c r="E55" s="259">
        <f>SUM(E56:E56)</f>
        <v>0</v>
      </c>
      <c r="F55" s="259">
        <f>SUM(F56:F56)</f>
        <v>0</v>
      </c>
      <c r="G55" s="259">
        <f>SUM(G56:G56)</f>
        <v>-4940</v>
      </c>
      <c r="H55" s="259">
        <f>SUM(H56:H56)</f>
        <v>0</v>
      </c>
    </row>
    <row r="56" spans="1:9" s="243" customFormat="1" ht="51.75">
      <c r="A56" s="250"/>
      <c r="B56" s="250"/>
      <c r="C56" s="235" t="s">
        <v>313</v>
      </c>
      <c r="D56" s="260">
        <f t="shared" ref="D56" si="34">+E56+F56+G56+H56</f>
        <v>-4940</v>
      </c>
      <c r="E56" s="260"/>
      <c r="F56" s="260"/>
      <c r="G56" s="260">
        <f>+'Հավելված N 7'!I82+'Հավելված N 7'!I84</f>
        <v>-4940</v>
      </c>
      <c r="H56" s="241"/>
    </row>
    <row r="57" spans="1:9" s="243" customFormat="1">
      <c r="A57" s="253"/>
      <c r="B57" s="253"/>
      <c r="C57" s="258" t="s">
        <v>314</v>
      </c>
      <c r="D57" s="259">
        <f>SUM(E57:H57)</f>
        <v>-226100</v>
      </c>
      <c r="E57" s="259">
        <f>SUM(E58:E58)</f>
        <v>-226100</v>
      </c>
      <c r="F57" s="259">
        <f>SUM(F58:F58)</f>
        <v>0</v>
      </c>
      <c r="G57" s="259">
        <f>SUM(G58:G58)</f>
        <v>0</v>
      </c>
      <c r="H57" s="259">
        <f>SUM(H58:H58)</f>
        <v>0</v>
      </c>
    </row>
    <row r="58" spans="1:9" s="243" customFormat="1" ht="51.75">
      <c r="A58" s="250"/>
      <c r="B58" s="250"/>
      <c r="C58" s="235" t="s">
        <v>262</v>
      </c>
      <c r="D58" s="260">
        <f t="shared" ref="D58" si="35">+E58+F58+G58+H58</f>
        <v>-226100</v>
      </c>
      <c r="E58" s="260">
        <f>+'Հավելված N 7'!I57+'Հավելված N 7'!I69+'Հավելված N 7'!I80</f>
        <v>-226100</v>
      </c>
      <c r="F58" s="260"/>
      <c r="G58" s="260"/>
      <c r="H58" s="241"/>
    </row>
    <row r="59" spans="1:9" s="243" customFormat="1">
      <c r="A59" s="253"/>
      <c r="B59" s="253"/>
      <c r="C59" s="258" t="s">
        <v>318</v>
      </c>
      <c r="D59" s="259">
        <f>SUM(E59:H59)</f>
        <v>-487123.3</v>
      </c>
      <c r="E59" s="259">
        <f>SUM(E60:E60)</f>
        <v>-487123.3</v>
      </c>
      <c r="F59" s="259">
        <f>SUM(F60:F60)</f>
        <v>0</v>
      </c>
      <c r="G59" s="259">
        <f>SUM(G60:G60)</f>
        <v>0</v>
      </c>
      <c r="H59" s="259">
        <f>SUM(H60:H60)</f>
        <v>0</v>
      </c>
    </row>
    <row r="60" spans="1:9" s="243" customFormat="1" ht="51.75">
      <c r="A60" s="250"/>
      <c r="B60" s="250"/>
      <c r="C60" s="235" t="s">
        <v>319</v>
      </c>
      <c r="D60" s="260">
        <f t="shared" ref="D60" si="36">+E60+F60+G60+H60</f>
        <v>-487123.3</v>
      </c>
      <c r="E60" s="260">
        <f>+'Հավելված N 7'!I58+'Հավելված N 7'!I70+'Հավելված N 7'!I81</f>
        <v>-487123.3</v>
      </c>
      <c r="F60" s="260"/>
      <c r="G60" s="260"/>
      <c r="H60" s="241"/>
    </row>
    <row r="61" spans="1:9" ht="34.5">
      <c r="A61" s="186">
        <v>1168</v>
      </c>
      <c r="B61" s="186">
        <v>32001</v>
      </c>
      <c r="C61" s="231" t="s">
        <v>151</v>
      </c>
      <c r="D61" s="66">
        <f>+E61+F61+G61+H61</f>
        <v>278954.59999999998</v>
      </c>
      <c r="E61" s="71">
        <f>+E63+E65</f>
        <v>0</v>
      </c>
      <c r="F61" s="71">
        <f t="shared" ref="F61:H61" si="37">+F63+F65</f>
        <v>278954.59999999998</v>
      </c>
      <c r="G61" s="71">
        <f t="shared" si="37"/>
        <v>0</v>
      </c>
      <c r="H61" s="71">
        <f t="shared" si="37"/>
        <v>0</v>
      </c>
      <c r="I61" s="26"/>
    </row>
    <row r="62" spans="1:9">
      <c r="A62" s="195"/>
      <c r="B62" s="195"/>
      <c r="C62" s="72" t="s">
        <v>17</v>
      </c>
      <c r="D62" s="69"/>
      <c r="E62" s="69"/>
      <c r="F62" s="69"/>
      <c r="G62" s="69"/>
      <c r="H62" s="69"/>
      <c r="I62" s="58"/>
    </row>
    <row r="63" spans="1:9">
      <c r="A63" s="230"/>
      <c r="B63" s="230"/>
      <c r="C63" s="24" t="s">
        <v>152</v>
      </c>
      <c r="D63" s="73">
        <f>SUM(E63:H63)</f>
        <v>79472.600000000006</v>
      </c>
      <c r="E63" s="73">
        <f>+E64</f>
        <v>0</v>
      </c>
      <c r="F63" s="73">
        <f t="shared" ref="F63:H63" si="38">+F64</f>
        <v>79472.600000000006</v>
      </c>
      <c r="G63" s="73">
        <f t="shared" si="38"/>
        <v>0</v>
      </c>
      <c r="H63" s="73">
        <f t="shared" si="38"/>
        <v>0</v>
      </c>
      <c r="I63" s="26"/>
    </row>
    <row r="64" spans="1:9" ht="34.5">
      <c r="A64" s="230"/>
      <c r="B64" s="230"/>
      <c r="C64" s="85" t="s">
        <v>323</v>
      </c>
      <c r="D64" s="70">
        <f t="shared" ref="D64" si="39">+E64+F64+G64+H64</f>
        <v>79472.600000000006</v>
      </c>
      <c r="E64" s="89"/>
      <c r="F64" s="70">
        <f>+'Հավելված N 7'!I23+'Հավելված N 7'!I25</f>
        <v>79472.600000000006</v>
      </c>
      <c r="G64" s="89"/>
      <c r="H64" s="90"/>
    </row>
    <row r="65" spans="1:9" s="369" customFormat="1" ht="51.75">
      <c r="A65" s="359"/>
      <c r="B65" s="359"/>
      <c r="C65" s="366" t="s">
        <v>427</v>
      </c>
      <c r="D65" s="367">
        <f>SUM(E65:H65)</f>
        <v>199482</v>
      </c>
      <c r="E65" s="367">
        <v>0</v>
      </c>
      <c r="F65" s="367">
        <v>199482</v>
      </c>
      <c r="G65" s="367">
        <v>0</v>
      </c>
      <c r="H65" s="367">
        <v>0</v>
      </c>
      <c r="I65" s="368"/>
    </row>
    <row r="66" spans="1:9" ht="34.5">
      <c r="A66" s="233">
        <v>1183</v>
      </c>
      <c r="B66" s="233">
        <v>32001</v>
      </c>
      <c r="C66" s="68" t="s">
        <v>110</v>
      </c>
      <c r="D66" s="66">
        <f>+E66+F66+G66+H66</f>
        <v>-353700.3</v>
      </c>
      <c r="E66" s="71">
        <f>+E68</f>
        <v>0</v>
      </c>
      <c r="F66" s="71">
        <f t="shared" ref="F66:H66" si="40">+F68</f>
        <v>-290205.2</v>
      </c>
      <c r="G66" s="71">
        <f t="shared" si="40"/>
        <v>-63495.1</v>
      </c>
      <c r="H66" s="71">
        <f t="shared" si="40"/>
        <v>0</v>
      </c>
      <c r="I66" s="26"/>
    </row>
    <row r="67" spans="1:9">
      <c r="A67" s="232"/>
      <c r="B67" s="232"/>
      <c r="C67" s="72" t="s">
        <v>17</v>
      </c>
      <c r="D67" s="69"/>
      <c r="E67" s="69"/>
      <c r="F67" s="69"/>
      <c r="G67" s="69"/>
      <c r="H67" s="69"/>
      <c r="I67" s="58"/>
    </row>
    <row r="68" spans="1:9">
      <c r="A68" s="236"/>
      <c r="B68" s="236"/>
      <c r="C68" s="24" t="s">
        <v>152</v>
      </c>
      <c r="D68" s="73">
        <f>SUM(E68:H68)</f>
        <v>-353700.3</v>
      </c>
      <c r="E68" s="73">
        <f>SUM(E69:E70)</f>
        <v>0</v>
      </c>
      <c r="F68" s="73">
        <f t="shared" ref="F68:H68" si="41">SUM(F69:F70)</f>
        <v>-290205.2</v>
      </c>
      <c r="G68" s="73">
        <f t="shared" si="41"/>
        <v>-63495.1</v>
      </c>
      <c r="H68" s="73">
        <f t="shared" si="41"/>
        <v>0</v>
      </c>
      <c r="I68" s="26"/>
    </row>
    <row r="69" spans="1:9">
      <c r="A69" s="451"/>
      <c r="B69" s="451"/>
      <c r="C69" s="85" t="s">
        <v>325</v>
      </c>
      <c r="D69" s="70">
        <f t="shared" ref="D69" si="42">+E69+F69+G69+H69</f>
        <v>-290205.2</v>
      </c>
      <c r="E69" s="89"/>
      <c r="F69" s="70">
        <f>+'Հավելված N 7'!I88+'Հավելված N 7'!I90+'Հավելված N 7'!I91</f>
        <v>-290205.2</v>
      </c>
      <c r="G69" s="89"/>
      <c r="H69" s="90"/>
    </row>
    <row r="70" spans="1:9" ht="34.5">
      <c r="A70" s="453"/>
      <c r="B70" s="453"/>
      <c r="C70" s="85" t="s">
        <v>326</v>
      </c>
      <c r="D70" s="70">
        <f t="shared" ref="D70" si="43">+E70+F70+G70+H70</f>
        <v>-63495.1</v>
      </c>
      <c r="E70" s="89"/>
      <c r="F70" s="70"/>
      <c r="G70" s="89">
        <f>+'Հավելված N 7'!I92+'Հավելված N 7'!I93</f>
        <v>-63495.1</v>
      </c>
      <c r="H70" s="90"/>
    </row>
    <row r="71" spans="1:9" ht="34.5">
      <c r="A71" s="238">
        <v>1183</v>
      </c>
      <c r="B71" s="238">
        <v>32002</v>
      </c>
      <c r="C71" s="68" t="s">
        <v>331</v>
      </c>
      <c r="D71" s="66">
        <f>+E71+F71+G71+H71</f>
        <v>-1259302.8999999999</v>
      </c>
      <c r="E71" s="71">
        <f>+E73+E75+E78+E80+E82</f>
        <v>-1214084</v>
      </c>
      <c r="F71" s="71">
        <f t="shared" ref="F71:H71" si="44">+F73+F75+F78+F80+F82</f>
        <v>0</v>
      </c>
      <c r="G71" s="71">
        <f t="shared" si="44"/>
        <v>-45218.9</v>
      </c>
      <c r="H71" s="71">
        <f t="shared" si="44"/>
        <v>0</v>
      </c>
      <c r="I71" s="26"/>
    </row>
    <row r="72" spans="1:9">
      <c r="A72" s="232"/>
      <c r="B72" s="232"/>
      <c r="C72" s="72" t="s">
        <v>17</v>
      </c>
      <c r="D72" s="69"/>
      <c r="E72" s="69"/>
      <c r="F72" s="69"/>
      <c r="G72" s="69"/>
      <c r="H72" s="69"/>
      <c r="I72" s="58"/>
    </row>
    <row r="73" spans="1:9">
      <c r="A73" s="236"/>
      <c r="B73" s="236"/>
      <c r="C73" s="24" t="s">
        <v>152</v>
      </c>
      <c r="D73" s="73">
        <f>SUM(E73:H73)</f>
        <v>-45218.9</v>
      </c>
      <c r="E73" s="73">
        <f>+E74</f>
        <v>0</v>
      </c>
      <c r="F73" s="73">
        <f t="shared" ref="F73:H73" si="45">+F74</f>
        <v>0</v>
      </c>
      <c r="G73" s="73">
        <f t="shared" si="45"/>
        <v>-45218.9</v>
      </c>
      <c r="H73" s="73">
        <f t="shared" si="45"/>
        <v>0</v>
      </c>
      <c r="I73" s="26"/>
    </row>
    <row r="74" spans="1:9">
      <c r="A74" s="329"/>
      <c r="B74" s="329"/>
      <c r="C74" s="85" t="s">
        <v>332</v>
      </c>
      <c r="D74" s="70">
        <f t="shared" ref="D74" si="46">+E74+F74+G74+H74</f>
        <v>-45218.9</v>
      </c>
      <c r="E74" s="89"/>
      <c r="F74" s="70"/>
      <c r="G74" s="89">
        <f>+'Հավելված N 7'!I112+'Հավելված N 7'!I113</f>
        <v>-45218.9</v>
      </c>
      <c r="H74" s="90"/>
    </row>
    <row r="75" spans="1:9">
      <c r="A75" s="236"/>
      <c r="B75" s="236"/>
      <c r="C75" s="24" t="s">
        <v>172</v>
      </c>
      <c r="D75" s="73">
        <f>SUM(E75:H75)</f>
        <v>-316251.2</v>
      </c>
      <c r="E75" s="73">
        <f>SUM(E76:E77)</f>
        <v>-316251.2</v>
      </c>
      <c r="F75" s="73">
        <f t="shared" ref="F75:H75" si="47">SUM(F76:F77)</f>
        <v>0</v>
      </c>
      <c r="G75" s="73">
        <f t="shared" si="47"/>
        <v>0</v>
      </c>
      <c r="H75" s="73">
        <f t="shared" si="47"/>
        <v>0</v>
      </c>
      <c r="I75" s="26"/>
    </row>
    <row r="76" spans="1:9">
      <c r="A76" s="451"/>
      <c r="B76" s="451"/>
      <c r="C76" s="85" t="s">
        <v>335</v>
      </c>
      <c r="D76" s="70">
        <f t="shared" ref="D76" si="48">+E76+F76+G76+H76</f>
        <v>-2609.7000000000003</v>
      </c>
      <c r="E76" s="89">
        <f>+'Հավելված N 7'!I96+'Հավելված N 7'!I102+'Հավելված N 7'!I107</f>
        <v>-2609.7000000000003</v>
      </c>
      <c r="F76" s="70"/>
      <c r="G76" s="89"/>
      <c r="H76" s="90"/>
    </row>
    <row r="77" spans="1:9">
      <c r="A77" s="453"/>
      <c r="B77" s="453"/>
      <c r="C77" s="85" t="s">
        <v>336</v>
      </c>
      <c r="D77" s="70">
        <f t="shared" ref="D77" si="49">+E77+F77+G77+H77</f>
        <v>-313641.5</v>
      </c>
      <c r="E77" s="89">
        <f>+'Հավելված N 7'!I97+'Հավելված N 7'!I103+'Հավելված N 7'!I108</f>
        <v>-313641.5</v>
      </c>
      <c r="F77" s="70"/>
      <c r="G77" s="89"/>
      <c r="H77" s="90"/>
    </row>
    <row r="78" spans="1:9">
      <c r="A78" s="236"/>
      <c r="B78" s="236"/>
      <c r="C78" s="24" t="s">
        <v>130</v>
      </c>
      <c r="D78" s="73">
        <f>SUM(E78:H78)</f>
        <v>-301052.2</v>
      </c>
      <c r="E78" s="73">
        <f>+E79</f>
        <v>-301052.2</v>
      </c>
      <c r="F78" s="73">
        <f t="shared" ref="F78:H82" si="50">+F79</f>
        <v>0</v>
      </c>
      <c r="G78" s="73">
        <f t="shared" si="50"/>
        <v>0</v>
      </c>
      <c r="H78" s="73">
        <f t="shared" si="50"/>
        <v>0</v>
      </c>
      <c r="I78" s="26"/>
    </row>
    <row r="79" spans="1:9" ht="34.5">
      <c r="A79" s="331"/>
      <c r="B79" s="331"/>
      <c r="C79" s="85" t="s">
        <v>340</v>
      </c>
      <c r="D79" s="70">
        <f t="shared" ref="D79" si="51">+E79+F79+G79+H79</f>
        <v>-301052.2</v>
      </c>
      <c r="E79" s="89">
        <f>+'Հավելված N 7'!I98+'Հավելված N 7'!I104+'Հավելված N 7'!I109</f>
        <v>-301052.2</v>
      </c>
      <c r="F79" s="70"/>
      <c r="G79" s="89"/>
      <c r="H79" s="90"/>
    </row>
    <row r="80" spans="1:9">
      <c r="A80" s="236"/>
      <c r="B80" s="236"/>
      <c r="C80" s="24" t="s">
        <v>270</v>
      </c>
      <c r="D80" s="73">
        <f>SUM(E80:H80)</f>
        <v>-285259.5</v>
      </c>
      <c r="E80" s="73">
        <f>+E81</f>
        <v>-285259.5</v>
      </c>
      <c r="F80" s="73">
        <f t="shared" si="50"/>
        <v>0</v>
      </c>
      <c r="G80" s="73">
        <f t="shared" si="50"/>
        <v>0</v>
      </c>
      <c r="H80" s="73">
        <f t="shared" si="50"/>
        <v>0</v>
      </c>
      <c r="I80" s="26"/>
    </row>
    <row r="81" spans="1:9" ht="34.5">
      <c r="A81" s="331"/>
      <c r="B81" s="331"/>
      <c r="C81" s="85" t="s">
        <v>344</v>
      </c>
      <c r="D81" s="70">
        <f t="shared" ref="D81" si="52">+E81+F81+G81+H81</f>
        <v>-285259.5</v>
      </c>
      <c r="E81" s="89">
        <f>+'Հավելված N 7'!I99+'Հավելված N 7'!I105+'Հավելված N 7'!I110</f>
        <v>-285259.5</v>
      </c>
      <c r="F81" s="70"/>
      <c r="G81" s="89"/>
      <c r="H81" s="90"/>
    </row>
    <row r="82" spans="1:9">
      <c r="A82" s="236"/>
      <c r="B82" s="236"/>
      <c r="C82" s="24" t="s">
        <v>170</v>
      </c>
      <c r="D82" s="73">
        <f>SUM(E82:H82)</f>
        <v>-311521.10000000003</v>
      </c>
      <c r="E82" s="73">
        <f>+E83</f>
        <v>-311521.10000000003</v>
      </c>
      <c r="F82" s="73">
        <f t="shared" si="50"/>
        <v>0</v>
      </c>
      <c r="G82" s="73">
        <f t="shared" si="50"/>
        <v>0</v>
      </c>
      <c r="H82" s="73">
        <f t="shared" si="50"/>
        <v>0</v>
      </c>
      <c r="I82" s="26"/>
    </row>
    <row r="83" spans="1:9" ht="34.5">
      <c r="A83" s="331"/>
      <c r="B83" s="331"/>
      <c r="C83" s="85" t="s">
        <v>347</v>
      </c>
      <c r="D83" s="70">
        <f t="shared" ref="D83" si="53">+E83+F83+G83+H83</f>
        <v>-311521.10000000003</v>
      </c>
      <c r="E83" s="89">
        <f>+'Հավելված N 7'!I100+'Հավելված N 7'!I106+'Հավելված N 7'!I111</f>
        <v>-311521.10000000003</v>
      </c>
      <c r="F83" s="70"/>
      <c r="G83" s="89"/>
      <c r="H83" s="90"/>
    </row>
    <row r="84" spans="1:9" s="261" customFormat="1" ht="51.75">
      <c r="A84" s="195">
        <v>1183</v>
      </c>
      <c r="B84" s="196">
        <v>32003</v>
      </c>
      <c r="C84" s="213" t="s">
        <v>140</v>
      </c>
      <c r="D84" s="198">
        <f>SUM(E84:H84)</f>
        <v>1442123.2999999998</v>
      </c>
      <c r="E84" s="198">
        <f>+E86+E89+E92+E95+E98+E100</f>
        <v>1442123.2999999998</v>
      </c>
      <c r="F84" s="198">
        <f t="shared" ref="F84:H84" si="54">+F86+F89+F92+F95+F98+F100</f>
        <v>0</v>
      </c>
      <c r="G84" s="198">
        <f t="shared" si="54"/>
        <v>0</v>
      </c>
      <c r="H84" s="198">
        <f t="shared" si="54"/>
        <v>0</v>
      </c>
    </row>
    <row r="85" spans="1:9">
      <c r="A85" s="262"/>
      <c r="B85" s="262"/>
      <c r="C85" s="263" t="s">
        <v>17</v>
      </c>
      <c r="D85" s="249"/>
      <c r="E85" s="264"/>
      <c r="F85" s="265"/>
      <c r="G85" s="249"/>
      <c r="H85" s="249"/>
    </row>
    <row r="86" spans="1:9">
      <c r="A86" s="236"/>
      <c r="B86" s="236"/>
      <c r="C86" s="24" t="s">
        <v>178</v>
      </c>
      <c r="D86" s="73">
        <f>SUM(E86:H86)</f>
        <v>180438.60000000003</v>
      </c>
      <c r="E86" s="73">
        <f>SUM(E87:E88)</f>
        <v>180438.60000000003</v>
      </c>
      <c r="F86" s="73">
        <f t="shared" ref="F86" si="55">SUM(F87:F88)</f>
        <v>0</v>
      </c>
      <c r="G86" s="73">
        <f t="shared" ref="G86" si="56">SUM(G87:G88)</f>
        <v>0</v>
      </c>
      <c r="H86" s="73">
        <f t="shared" ref="H86" si="57">SUM(H87:H88)</f>
        <v>0</v>
      </c>
      <c r="I86" s="26"/>
    </row>
    <row r="87" spans="1:9">
      <c r="A87" s="451"/>
      <c r="B87" s="451"/>
      <c r="C87" s="85" t="s">
        <v>348</v>
      </c>
      <c r="D87" s="70">
        <f t="shared" ref="D87:D88" si="58">+E87+F87+G87+H87</f>
        <v>33021.800000000003</v>
      </c>
      <c r="E87" s="89">
        <f>+'Հավելված N 7'!I116+1739+104.3</f>
        <v>33021.800000000003</v>
      </c>
      <c r="F87" s="70"/>
      <c r="G87" s="89"/>
      <c r="H87" s="90"/>
    </row>
    <row r="88" spans="1:9">
      <c r="A88" s="453"/>
      <c r="B88" s="453"/>
      <c r="C88" s="85" t="s">
        <v>349</v>
      </c>
      <c r="D88" s="70">
        <f t="shared" si="58"/>
        <v>147416.80000000002</v>
      </c>
      <c r="E88" s="89">
        <f>+'Հավելված N 7'!I117+5291.7+731.1</f>
        <v>147416.80000000002</v>
      </c>
      <c r="F88" s="70"/>
      <c r="G88" s="89"/>
      <c r="H88" s="90"/>
    </row>
    <row r="89" spans="1:9">
      <c r="A89" s="236"/>
      <c r="B89" s="236"/>
      <c r="C89" s="24" t="s">
        <v>170</v>
      </c>
      <c r="D89" s="73">
        <f>SUM(E89:H89)</f>
        <v>33539.300000000003</v>
      </c>
      <c r="E89" s="73">
        <f>SUM(E90:E91)</f>
        <v>33539.300000000003</v>
      </c>
      <c r="F89" s="73">
        <f t="shared" ref="F89" si="59">SUM(F90:F91)</f>
        <v>0</v>
      </c>
      <c r="G89" s="73">
        <f t="shared" ref="G89" si="60">SUM(G90:G91)</f>
        <v>0</v>
      </c>
      <c r="H89" s="73">
        <f t="shared" ref="H89" si="61">SUM(H90:H91)</f>
        <v>0</v>
      </c>
      <c r="I89" s="26"/>
    </row>
    <row r="90" spans="1:9">
      <c r="A90" s="451"/>
      <c r="B90" s="451"/>
      <c r="C90" s="85" t="s">
        <v>355</v>
      </c>
      <c r="D90" s="70">
        <f t="shared" ref="D90:D91" si="62">+E90+F90+G90+H90</f>
        <v>16119.4</v>
      </c>
      <c r="E90" s="89">
        <f>+'Հավելված N 7'!I118+576.4</f>
        <v>16119.4</v>
      </c>
      <c r="F90" s="70"/>
      <c r="G90" s="89"/>
      <c r="H90" s="90"/>
    </row>
    <row r="91" spans="1:9">
      <c r="A91" s="453"/>
      <c r="B91" s="453"/>
      <c r="C91" s="85" t="s">
        <v>356</v>
      </c>
      <c r="D91" s="70">
        <f t="shared" si="62"/>
        <v>17419.900000000001</v>
      </c>
      <c r="E91" s="89">
        <f>+'Հավելված N 7'!I119+682.5</f>
        <v>17419.900000000001</v>
      </c>
      <c r="F91" s="70"/>
      <c r="G91" s="89"/>
      <c r="H91" s="90"/>
    </row>
    <row r="92" spans="1:9">
      <c r="A92" s="236"/>
      <c r="B92" s="236"/>
      <c r="C92" s="24" t="s">
        <v>138</v>
      </c>
      <c r="D92" s="73">
        <f>SUM(E92:H92)</f>
        <v>314483.90000000002</v>
      </c>
      <c r="E92" s="73">
        <f>SUM(E93:E94)</f>
        <v>314483.90000000002</v>
      </c>
      <c r="F92" s="73">
        <f t="shared" ref="F92" si="63">SUM(F93:F94)</f>
        <v>0</v>
      </c>
      <c r="G92" s="73">
        <f t="shared" ref="G92" si="64">SUM(G93:G94)</f>
        <v>0</v>
      </c>
      <c r="H92" s="73">
        <f t="shared" ref="H92" si="65">SUM(H93:H94)</f>
        <v>0</v>
      </c>
      <c r="I92" s="26"/>
    </row>
    <row r="93" spans="1:9">
      <c r="A93" s="451"/>
      <c r="B93" s="451"/>
      <c r="C93" s="85" t="s">
        <v>360</v>
      </c>
      <c r="D93" s="70">
        <f t="shared" ref="D93:D94" si="66">+E93+F93+G93+H93</f>
        <v>157403.29999999999</v>
      </c>
      <c r="E93" s="89">
        <f>+'Հավելված N 7'!I120+6532.3+871</f>
        <v>157403.29999999999</v>
      </c>
      <c r="F93" s="70"/>
      <c r="G93" s="89"/>
      <c r="H93" s="90"/>
    </row>
    <row r="94" spans="1:9">
      <c r="A94" s="453"/>
      <c r="B94" s="453"/>
      <c r="C94" s="85" t="s">
        <v>361</v>
      </c>
      <c r="D94" s="70">
        <f t="shared" si="66"/>
        <v>157080.6</v>
      </c>
      <c r="E94" s="89">
        <f>+'Հավելված N 7'!I121+6061.8+835.7</f>
        <v>157080.6</v>
      </c>
      <c r="F94" s="70"/>
      <c r="G94" s="89"/>
      <c r="H94" s="90"/>
    </row>
    <row r="95" spans="1:9">
      <c r="A95" s="236"/>
      <c r="B95" s="236"/>
      <c r="C95" s="24" t="s">
        <v>312</v>
      </c>
      <c r="D95" s="73">
        <f>SUM(E95:H95)</f>
        <v>540863.6</v>
      </c>
      <c r="E95" s="73">
        <f>SUM(E96:E97)</f>
        <v>540863.6</v>
      </c>
      <c r="F95" s="73">
        <f t="shared" ref="F95" si="67">SUM(F96:F97)</f>
        <v>0</v>
      </c>
      <c r="G95" s="73">
        <f t="shared" ref="G95" si="68">SUM(G96:G97)</f>
        <v>0</v>
      </c>
      <c r="H95" s="73">
        <f t="shared" ref="H95" si="69">SUM(H96:H97)</f>
        <v>0</v>
      </c>
      <c r="I95" s="26"/>
    </row>
    <row r="96" spans="1:9">
      <c r="A96" s="451"/>
      <c r="B96" s="451"/>
      <c r="C96" s="85" t="s">
        <v>364</v>
      </c>
      <c r="D96" s="70">
        <f t="shared" ref="D96:D97" si="70">+E96+F96+G96+H96</f>
        <v>269924.3</v>
      </c>
      <c r="E96" s="89">
        <f>+'Հավելված N 7'!I122+8929.5+1688.6</f>
        <v>269924.3</v>
      </c>
      <c r="F96" s="70"/>
      <c r="G96" s="89"/>
      <c r="H96" s="90"/>
    </row>
    <row r="97" spans="1:9">
      <c r="A97" s="453"/>
      <c r="B97" s="453"/>
      <c r="C97" s="85" t="s">
        <v>365</v>
      </c>
      <c r="D97" s="70">
        <f t="shared" si="70"/>
        <v>270939.3</v>
      </c>
      <c r="E97" s="89">
        <f>+'Հավելված N 7'!I123+10001+1353.8</f>
        <v>270939.3</v>
      </c>
      <c r="F97" s="70"/>
      <c r="G97" s="89"/>
      <c r="H97" s="90"/>
    </row>
    <row r="98" spans="1:9">
      <c r="A98" s="236"/>
      <c r="B98" s="236"/>
      <c r="C98" s="24" t="s">
        <v>188</v>
      </c>
      <c r="D98" s="73">
        <f>SUM(E98:H98)</f>
        <v>85654.3</v>
      </c>
      <c r="E98" s="73">
        <f>+E99</f>
        <v>85654.3</v>
      </c>
      <c r="F98" s="73">
        <f t="shared" ref="F98:H98" si="71">+F99</f>
        <v>0</v>
      </c>
      <c r="G98" s="73">
        <f t="shared" si="71"/>
        <v>0</v>
      </c>
      <c r="H98" s="73">
        <f t="shared" si="71"/>
        <v>0</v>
      </c>
      <c r="I98" s="26"/>
    </row>
    <row r="99" spans="1:9">
      <c r="A99" s="340"/>
      <c r="B99" s="340"/>
      <c r="C99" s="85" t="s">
        <v>368</v>
      </c>
      <c r="D99" s="70">
        <f t="shared" ref="D99" si="72">+E99+F99+G99+H99</f>
        <v>85654.3</v>
      </c>
      <c r="E99" s="89">
        <f>+'Հավելված N 7'!I124+'Հավելված N 7'!I131+509</f>
        <v>85654.3</v>
      </c>
      <c r="F99" s="70"/>
      <c r="G99" s="89"/>
      <c r="H99" s="90"/>
    </row>
    <row r="100" spans="1:9">
      <c r="A100" s="236"/>
      <c r="B100" s="236"/>
      <c r="C100" s="24" t="s">
        <v>318</v>
      </c>
      <c r="D100" s="73">
        <f>SUM(E100:H100)</f>
        <v>287143.59999999998</v>
      </c>
      <c r="E100" s="73">
        <f>+E101</f>
        <v>287143.59999999998</v>
      </c>
      <c r="F100" s="73">
        <f t="shared" ref="F100" si="73">+F101</f>
        <v>0</v>
      </c>
      <c r="G100" s="73">
        <f t="shared" ref="G100" si="74">+G101</f>
        <v>0</v>
      </c>
      <c r="H100" s="73">
        <f t="shared" ref="H100" si="75">+H101</f>
        <v>0</v>
      </c>
      <c r="I100" s="26"/>
    </row>
    <row r="101" spans="1:9" ht="34.5">
      <c r="A101" s="340"/>
      <c r="B101" s="340"/>
      <c r="C101" s="85" t="s">
        <v>370</v>
      </c>
      <c r="D101" s="70">
        <f t="shared" ref="D101" si="76">+E101+F101+G101+H101</f>
        <v>287143.59999999998</v>
      </c>
      <c r="E101" s="89">
        <f>+'Հավելված N 7'!I125+'Հավելված N 7'!I132+1519</f>
        <v>287143.59999999998</v>
      </c>
      <c r="F101" s="70"/>
      <c r="G101" s="89"/>
      <c r="H101" s="90"/>
    </row>
    <row r="102" spans="1:9" ht="51.75">
      <c r="A102" s="100">
        <v>1183</v>
      </c>
      <c r="B102" s="100">
        <v>32004</v>
      </c>
      <c r="C102" s="68" t="s">
        <v>173</v>
      </c>
      <c r="D102" s="66">
        <f>+E102+F102+G102+H102</f>
        <v>-20003</v>
      </c>
      <c r="E102" s="71">
        <f>+E104</f>
        <v>0</v>
      </c>
      <c r="F102" s="71">
        <f t="shared" ref="F102:H102" si="77">+F104</f>
        <v>0</v>
      </c>
      <c r="G102" s="71">
        <f t="shared" si="77"/>
        <v>-20003</v>
      </c>
      <c r="H102" s="71">
        <f t="shared" si="77"/>
        <v>0</v>
      </c>
      <c r="I102" s="26"/>
    </row>
    <row r="103" spans="1:9">
      <c r="A103" s="77"/>
      <c r="B103" s="77"/>
      <c r="C103" s="72" t="s">
        <v>17</v>
      </c>
      <c r="D103" s="69"/>
      <c r="E103" s="69"/>
      <c r="F103" s="69"/>
      <c r="G103" s="69"/>
      <c r="H103" s="69"/>
      <c r="I103" s="58"/>
    </row>
    <row r="104" spans="1:9">
      <c r="A104" s="473"/>
      <c r="B104" s="473"/>
      <c r="C104" s="24" t="s">
        <v>312</v>
      </c>
      <c r="D104" s="73">
        <f>SUM(E104:H104)</f>
        <v>-20003</v>
      </c>
      <c r="E104" s="73">
        <f>+E105</f>
        <v>0</v>
      </c>
      <c r="F104" s="73">
        <f t="shared" ref="F104:H104" si="78">+F105</f>
        <v>0</v>
      </c>
      <c r="G104" s="73">
        <f t="shared" si="78"/>
        <v>-20003</v>
      </c>
      <c r="H104" s="73">
        <f t="shared" si="78"/>
        <v>0</v>
      </c>
      <c r="I104" s="26"/>
    </row>
    <row r="105" spans="1:9">
      <c r="A105" s="473"/>
      <c r="B105" s="473"/>
      <c r="C105" s="85" t="s">
        <v>373</v>
      </c>
      <c r="D105" s="70">
        <f t="shared" ref="D105" si="79">+E105+F105+G105+H105</f>
        <v>-20003</v>
      </c>
      <c r="E105" s="89"/>
      <c r="F105" s="70"/>
      <c r="G105" s="89">
        <f>+'Հավելված N 7'!I136+'Հավելված N 7'!I137</f>
        <v>-20003</v>
      </c>
      <c r="H105" s="90"/>
    </row>
    <row r="106" spans="1:9" s="6" customFormat="1" ht="51.75">
      <c r="A106" s="195">
        <v>1183</v>
      </c>
      <c r="B106" s="195">
        <v>32007</v>
      </c>
      <c r="C106" s="197" t="s">
        <v>184</v>
      </c>
      <c r="D106" s="240">
        <f>SUM(E106:H106)</f>
        <v>798147.79999999993</v>
      </c>
      <c r="E106" s="240">
        <f>+E108+E113+E115+E121+E127</f>
        <v>798147.79999999993</v>
      </c>
      <c r="F106" s="240">
        <f t="shared" ref="F106:H106" si="80">+F127</f>
        <v>0</v>
      </c>
      <c r="G106" s="240">
        <f t="shared" si="80"/>
        <v>0</v>
      </c>
      <c r="H106" s="240">
        <f t="shared" si="80"/>
        <v>0</v>
      </c>
    </row>
    <row r="107" spans="1:9" s="243" customFormat="1">
      <c r="A107" s="241"/>
      <c r="B107" s="241"/>
      <c r="C107" s="242" t="s">
        <v>17</v>
      </c>
      <c r="D107" s="241"/>
      <c r="E107" s="241"/>
      <c r="F107" s="241"/>
      <c r="G107" s="241"/>
      <c r="H107" s="241"/>
    </row>
    <row r="108" spans="1:9">
      <c r="A108" s="236"/>
      <c r="B108" s="236"/>
      <c r="C108" s="24" t="s">
        <v>152</v>
      </c>
      <c r="D108" s="73">
        <f>SUM(E108:H108)</f>
        <v>391664.5</v>
      </c>
      <c r="E108" s="73">
        <f>SUM(E109:E112)</f>
        <v>391664.5</v>
      </c>
      <c r="F108" s="73">
        <f t="shared" ref="F108:H108" si="81">SUM(F109:F112)</f>
        <v>0</v>
      </c>
      <c r="G108" s="73">
        <f t="shared" si="81"/>
        <v>0</v>
      </c>
      <c r="H108" s="73">
        <f t="shared" si="81"/>
        <v>0</v>
      </c>
      <c r="I108" s="26"/>
    </row>
    <row r="109" spans="1:9" ht="34.5">
      <c r="A109" s="451"/>
      <c r="B109" s="451"/>
      <c r="C109" s="85" t="s">
        <v>375</v>
      </c>
      <c r="D109" s="70">
        <f t="shared" ref="D109:D110" si="82">+E109+F109+G109+H109</f>
        <v>81089.700000000012</v>
      </c>
      <c r="E109" s="89">
        <f>+'Հավելված N 7'!I140+'Հավելված N 7'!I157+'Հավելված N 7'!I173</f>
        <v>81089.700000000012</v>
      </c>
      <c r="F109" s="70"/>
      <c r="G109" s="89"/>
      <c r="H109" s="90"/>
    </row>
    <row r="110" spans="1:9" ht="34.5">
      <c r="A110" s="452"/>
      <c r="B110" s="452"/>
      <c r="C110" s="85" t="s">
        <v>376</v>
      </c>
      <c r="D110" s="70">
        <f t="shared" si="82"/>
        <v>135407.69999999998</v>
      </c>
      <c r="E110" s="89">
        <f>+'Հավելված N 7'!I141+'Հավելված N 7'!I158+'Հավելված N 7'!I174</f>
        <v>135407.69999999998</v>
      </c>
      <c r="F110" s="70"/>
      <c r="G110" s="89"/>
      <c r="H110" s="90"/>
    </row>
    <row r="111" spans="1:9" ht="34.5">
      <c r="A111" s="452"/>
      <c r="B111" s="452"/>
      <c r="C111" s="85" t="s">
        <v>377</v>
      </c>
      <c r="D111" s="70">
        <f t="shared" ref="D111:D112" si="83">+E111+F111+G111+H111</f>
        <v>101472.4</v>
      </c>
      <c r="E111" s="89">
        <f>+'Հավելված N 7'!I142+'Հավելված N 7'!I159+'Հավելված N 7'!I175</f>
        <v>101472.4</v>
      </c>
      <c r="F111" s="70"/>
      <c r="G111" s="89"/>
      <c r="H111" s="90"/>
    </row>
    <row r="112" spans="1:9" ht="34.5">
      <c r="A112" s="453"/>
      <c r="B112" s="453"/>
      <c r="C112" s="85" t="s">
        <v>378</v>
      </c>
      <c r="D112" s="70">
        <f t="shared" si="83"/>
        <v>73694.7</v>
      </c>
      <c r="E112" s="89">
        <f>+'Հավելված N 7'!I143+'Հավելված N 7'!I160+'Հավելված N 7'!I176</f>
        <v>73694.7</v>
      </c>
      <c r="F112" s="70"/>
      <c r="G112" s="89"/>
      <c r="H112" s="90"/>
    </row>
    <row r="113" spans="1:9" s="246" customFormat="1">
      <c r="A113" s="341"/>
      <c r="B113" s="341"/>
      <c r="C113" s="244" t="s">
        <v>111</v>
      </c>
      <c r="D113" s="245">
        <f t="shared" ref="D113:D114" si="84">SUM(E113:H113)</f>
        <v>22982.3</v>
      </c>
      <c r="E113" s="245">
        <f>+E114</f>
        <v>22982.3</v>
      </c>
      <c r="F113" s="245">
        <f t="shared" ref="F113:H127" si="85">+F114</f>
        <v>0</v>
      </c>
      <c r="G113" s="245">
        <f t="shared" si="85"/>
        <v>0</v>
      </c>
      <c r="H113" s="245">
        <f t="shared" si="85"/>
        <v>0</v>
      </c>
    </row>
    <row r="114" spans="1:9" s="6" customFormat="1">
      <c r="A114" s="341"/>
      <c r="B114" s="341"/>
      <c r="C114" s="247" t="s">
        <v>379</v>
      </c>
      <c r="D114" s="248">
        <f t="shared" si="84"/>
        <v>22982.3</v>
      </c>
      <c r="E114" s="248">
        <f>+'Հավելված N 7'!I144+'Հավելված N 7'!I161+'Հավելված N 7'!I177</f>
        <v>22982.3</v>
      </c>
      <c r="F114" s="248"/>
      <c r="G114" s="248"/>
      <c r="H114" s="248"/>
    </row>
    <row r="115" spans="1:9">
      <c r="A115" s="236"/>
      <c r="B115" s="236"/>
      <c r="C115" s="24" t="s">
        <v>130</v>
      </c>
      <c r="D115" s="73">
        <f>SUM(E115:H115)</f>
        <v>129763.9</v>
      </c>
      <c r="E115" s="73">
        <f>SUM(E116:E120)</f>
        <v>129763.9</v>
      </c>
      <c r="F115" s="73">
        <f t="shared" ref="F115:H115" si="86">SUM(F116:F120)</f>
        <v>0</v>
      </c>
      <c r="G115" s="73">
        <f t="shared" si="86"/>
        <v>0</v>
      </c>
      <c r="H115" s="73">
        <f t="shared" si="86"/>
        <v>0</v>
      </c>
      <c r="I115" s="26"/>
    </row>
    <row r="116" spans="1:9">
      <c r="A116" s="451"/>
      <c r="B116" s="451"/>
      <c r="C116" s="85" t="s">
        <v>382</v>
      </c>
      <c r="D116" s="70">
        <f t="shared" ref="D116:D120" si="87">+E116+F116+G116+H116</f>
        <v>-12477.4</v>
      </c>
      <c r="E116" s="89">
        <f>+'Հավելված N 7'!I145+'Հավելված N 7'!I162</f>
        <v>-12477.4</v>
      </c>
      <c r="F116" s="70"/>
      <c r="G116" s="89"/>
      <c r="H116" s="90"/>
    </row>
    <row r="117" spans="1:9" ht="34.5">
      <c r="A117" s="452"/>
      <c r="B117" s="452"/>
      <c r="C117" s="85" t="s">
        <v>383</v>
      </c>
      <c r="D117" s="70">
        <f t="shared" si="87"/>
        <v>140207.9</v>
      </c>
      <c r="E117" s="89">
        <f>+'Հավելված N 7'!I146+'Հավելված N 7'!I163+'Հավելված N 7'!I178</f>
        <v>140207.9</v>
      </c>
      <c r="F117" s="70"/>
      <c r="G117" s="89"/>
      <c r="H117" s="90"/>
    </row>
    <row r="118" spans="1:9" ht="34.5">
      <c r="A118" s="452"/>
      <c r="B118" s="452"/>
      <c r="C118" s="337" t="s">
        <v>384</v>
      </c>
      <c r="D118" s="70">
        <f t="shared" si="87"/>
        <v>15381.5</v>
      </c>
      <c r="E118" s="89">
        <f>+'Հավելված N 7'!I147+'Հավելված N 7'!I164</f>
        <v>15381.5</v>
      </c>
      <c r="F118" s="338"/>
      <c r="G118" s="338"/>
      <c r="H118" s="339"/>
    </row>
    <row r="119" spans="1:9" ht="34.5">
      <c r="A119" s="452"/>
      <c r="B119" s="452"/>
      <c r="C119" s="85" t="s">
        <v>385</v>
      </c>
      <c r="D119" s="70">
        <f t="shared" si="87"/>
        <v>-40261.300000000003</v>
      </c>
      <c r="E119" s="89">
        <f>+'Հավելված N 7'!I148+'Հավելված N 7'!I165+'Հավելված N 7'!I179</f>
        <v>-40261.300000000003</v>
      </c>
      <c r="F119" s="70"/>
      <c r="G119" s="89"/>
      <c r="H119" s="90"/>
    </row>
    <row r="120" spans="1:9">
      <c r="A120" s="453"/>
      <c r="B120" s="453"/>
      <c r="C120" s="85" t="s">
        <v>386</v>
      </c>
      <c r="D120" s="70">
        <f t="shared" si="87"/>
        <v>26913.199999999997</v>
      </c>
      <c r="E120" s="89">
        <f>+'Հավելված N 7'!I149+'Հավելված N 7'!I166+'Հավելված N 7'!I180</f>
        <v>26913.199999999997</v>
      </c>
      <c r="F120" s="70"/>
      <c r="G120" s="89"/>
      <c r="H120" s="90"/>
    </row>
    <row r="121" spans="1:9">
      <c r="A121" s="236"/>
      <c r="B121" s="236"/>
      <c r="C121" s="24" t="s">
        <v>178</v>
      </c>
      <c r="D121" s="73">
        <f>SUM(E121:H121)</f>
        <v>415369.6</v>
      </c>
      <c r="E121" s="73">
        <f>SUM(E122:E126)</f>
        <v>415369.6</v>
      </c>
      <c r="F121" s="73">
        <f t="shared" ref="F121:H121" si="88">SUM(F122:F126)</f>
        <v>0</v>
      </c>
      <c r="G121" s="73">
        <f t="shared" si="88"/>
        <v>0</v>
      </c>
      <c r="H121" s="73">
        <f t="shared" si="88"/>
        <v>0</v>
      </c>
      <c r="I121" s="26"/>
    </row>
    <row r="122" spans="1:9" ht="34.5">
      <c r="A122" s="451"/>
      <c r="B122" s="451"/>
      <c r="C122" s="85" t="s">
        <v>392</v>
      </c>
      <c r="D122" s="70">
        <f t="shared" ref="D122:D126" si="89">+E122+F122+G122+H122</f>
        <v>75029.499999999985</v>
      </c>
      <c r="E122" s="89">
        <f>+'Հավելված N 7'!I150+'Հավելված N 7'!I167+'Հավելված N 7'!I181</f>
        <v>75029.499999999985</v>
      </c>
      <c r="F122" s="70"/>
      <c r="G122" s="89"/>
      <c r="H122" s="90"/>
    </row>
    <row r="123" spans="1:9" ht="34.5">
      <c r="A123" s="452"/>
      <c r="B123" s="452"/>
      <c r="C123" s="85" t="s">
        <v>393</v>
      </c>
      <c r="D123" s="70">
        <f t="shared" si="89"/>
        <v>49027.6</v>
      </c>
      <c r="E123" s="89">
        <f>+'Հավելված N 7'!I151+'Հավելված N 7'!I168+'Հավելված N 7'!I182</f>
        <v>49027.6</v>
      </c>
      <c r="F123" s="70"/>
      <c r="G123" s="89"/>
      <c r="H123" s="90"/>
    </row>
    <row r="124" spans="1:9">
      <c r="A124" s="452"/>
      <c r="B124" s="452"/>
      <c r="C124" s="337" t="s">
        <v>394</v>
      </c>
      <c r="D124" s="70">
        <f t="shared" si="89"/>
        <v>84808.4</v>
      </c>
      <c r="E124" s="89">
        <f>+'Հավելված N 7'!I152+'Հավելված N 7'!I169+'Հավելված N 7'!I183</f>
        <v>84808.4</v>
      </c>
      <c r="F124" s="338"/>
      <c r="G124" s="338"/>
      <c r="H124" s="339"/>
    </row>
    <row r="125" spans="1:9">
      <c r="A125" s="452"/>
      <c r="B125" s="452"/>
      <c r="C125" s="85" t="s">
        <v>395</v>
      </c>
      <c r="D125" s="70">
        <f t="shared" si="89"/>
        <v>111542.20000000001</v>
      </c>
      <c r="E125" s="89">
        <f>+'Հավելված N 7'!I153+'Հավելված N 7'!I170+'Հավելված N 7'!I184</f>
        <v>111542.20000000001</v>
      </c>
      <c r="F125" s="70"/>
      <c r="G125" s="89"/>
      <c r="H125" s="90"/>
    </row>
    <row r="126" spans="1:9">
      <c r="A126" s="453"/>
      <c r="B126" s="453"/>
      <c r="C126" s="85" t="s">
        <v>396</v>
      </c>
      <c r="D126" s="70">
        <f t="shared" si="89"/>
        <v>94961.900000000009</v>
      </c>
      <c r="E126" s="89">
        <f>+'Հավելված N 7'!I154+'Հավելված N 7'!I171+'Հավելված N 7'!I185</f>
        <v>94961.900000000009</v>
      </c>
      <c r="F126" s="70"/>
      <c r="G126" s="89"/>
      <c r="H126" s="90"/>
    </row>
    <row r="127" spans="1:9" s="246" customFormat="1">
      <c r="A127" s="341"/>
      <c r="B127" s="341"/>
      <c r="C127" s="244" t="s">
        <v>138</v>
      </c>
      <c r="D127" s="245">
        <f t="shared" ref="D127:D128" si="90">SUM(E127:H127)</f>
        <v>-161632.5</v>
      </c>
      <c r="E127" s="245">
        <f>+E128</f>
        <v>-161632.5</v>
      </c>
      <c r="F127" s="245">
        <f t="shared" si="85"/>
        <v>0</v>
      </c>
      <c r="G127" s="245">
        <f t="shared" si="85"/>
        <v>0</v>
      </c>
      <c r="H127" s="245">
        <f t="shared" si="85"/>
        <v>0</v>
      </c>
    </row>
    <row r="128" spans="1:9" s="6" customFormat="1" ht="34.5">
      <c r="A128" s="341"/>
      <c r="B128" s="341"/>
      <c r="C128" s="247" t="s">
        <v>185</v>
      </c>
      <c r="D128" s="248">
        <f t="shared" si="90"/>
        <v>-161632.5</v>
      </c>
      <c r="E128" s="248">
        <f>+'Հավելված N 7'!I155+'Հավելված N 7'!I172+'Հավելված N 7'!I186</f>
        <v>-161632.5</v>
      </c>
      <c r="F128" s="248"/>
      <c r="G128" s="248"/>
      <c r="H128" s="248"/>
    </row>
    <row r="129" spans="1:9" s="6" customFormat="1" ht="51.75">
      <c r="A129" s="195">
        <v>1183</v>
      </c>
      <c r="B129" s="195">
        <v>32009</v>
      </c>
      <c r="C129" s="197" t="s">
        <v>408</v>
      </c>
      <c r="D129" s="240">
        <f>SUM(E129:H129)</f>
        <v>314836.60000000003</v>
      </c>
      <c r="E129" s="240">
        <f>+E131+E134+E139+E141+E143</f>
        <v>0</v>
      </c>
      <c r="F129" s="240">
        <f t="shared" ref="F129:H129" si="91">+F131+F134+F139+F141+F143</f>
        <v>314836.60000000003</v>
      </c>
      <c r="G129" s="240">
        <f t="shared" si="91"/>
        <v>0</v>
      </c>
      <c r="H129" s="240">
        <f t="shared" si="91"/>
        <v>0</v>
      </c>
    </row>
    <row r="130" spans="1:9" s="243" customFormat="1">
      <c r="A130" s="241"/>
      <c r="B130" s="241"/>
      <c r="C130" s="242" t="s">
        <v>17</v>
      </c>
      <c r="D130" s="241"/>
      <c r="E130" s="241"/>
      <c r="F130" s="241"/>
      <c r="G130" s="241"/>
      <c r="H130" s="241"/>
    </row>
    <row r="131" spans="1:9">
      <c r="A131" s="236"/>
      <c r="B131" s="236"/>
      <c r="C131" s="24" t="s">
        <v>152</v>
      </c>
      <c r="D131" s="73">
        <f>SUM(E131:H131)</f>
        <v>42681.9</v>
      </c>
      <c r="E131" s="73">
        <f>SUM(E132:E133)</f>
        <v>0</v>
      </c>
      <c r="F131" s="73">
        <f>SUM(F132:F133)</f>
        <v>42681.9</v>
      </c>
      <c r="G131" s="73">
        <f>SUM(G132:G133)</f>
        <v>0</v>
      </c>
      <c r="H131" s="73">
        <f>SUM(H132:H133)</f>
        <v>0</v>
      </c>
      <c r="I131" s="26"/>
    </row>
    <row r="132" spans="1:9" ht="34.5">
      <c r="A132" s="451"/>
      <c r="B132" s="451"/>
      <c r="C132" s="85" t="s">
        <v>410</v>
      </c>
      <c r="D132" s="70">
        <f t="shared" ref="D132:D133" si="92">+E132+F132+G132+H132</f>
        <v>24616.2</v>
      </c>
      <c r="E132" s="89"/>
      <c r="F132" s="70">
        <f>+'Հավելված N 7'!I189+'Հավելված N 7'!I196+'Հավելված N 7'!I205</f>
        <v>24616.2</v>
      </c>
      <c r="G132" s="89"/>
      <c r="H132" s="90"/>
    </row>
    <row r="133" spans="1:9">
      <c r="A133" s="453"/>
      <c r="B133" s="453"/>
      <c r="C133" s="85" t="s">
        <v>456</v>
      </c>
      <c r="D133" s="70">
        <f t="shared" si="92"/>
        <v>18065.7</v>
      </c>
      <c r="E133" s="89"/>
      <c r="F133" s="70">
        <f>+'Հավելված N 7'!I190+'Հավելված N 7'!I197+'Հավելված N 7'!I206</f>
        <v>18065.7</v>
      </c>
      <c r="G133" s="89"/>
      <c r="H133" s="90"/>
    </row>
    <row r="134" spans="1:9">
      <c r="A134" s="236"/>
      <c r="B134" s="236"/>
      <c r="C134" s="24" t="s">
        <v>130</v>
      </c>
      <c r="D134" s="73">
        <f>SUM(E134:H134)</f>
        <v>3566.3</v>
      </c>
      <c r="E134" s="73">
        <f>SUM(E135:E138)</f>
        <v>0</v>
      </c>
      <c r="F134" s="73">
        <f>SUM(F135:F138)</f>
        <v>3566.3</v>
      </c>
      <c r="G134" s="73">
        <f t="shared" ref="G134:H134" si="93">SUM(G135:G138)</f>
        <v>0</v>
      </c>
      <c r="H134" s="73">
        <f t="shared" si="93"/>
        <v>0</v>
      </c>
      <c r="I134" s="26"/>
    </row>
    <row r="135" spans="1:9">
      <c r="A135" s="467"/>
      <c r="B135" s="467"/>
      <c r="C135" s="85" t="s">
        <v>412</v>
      </c>
      <c r="D135" s="70">
        <f t="shared" ref="D135:D138" si="94">+E135+F135+G135+H135</f>
        <v>2152.9</v>
      </c>
      <c r="E135" s="89"/>
      <c r="F135" s="70">
        <f>+'Հավելված N 7'!I191+'Հավելված N 7'!I198+'Հավելված N 7'!I207</f>
        <v>2152.9</v>
      </c>
      <c r="G135" s="89"/>
      <c r="H135" s="90"/>
    </row>
    <row r="136" spans="1:9">
      <c r="A136" s="467"/>
      <c r="B136" s="467"/>
      <c r="C136" s="85" t="s">
        <v>457</v>
      </c>
      <c r="D136" s="70">
        <f t="shared" si="94"/>
        <v>278.10000000000002</v>
      </c>
      <c r="E136" s="89"/>
      <c r="F136" s="70">
        <f>'Հավելված N 7'!I199+'Հավելված N 7'!I208</f>
        <v>278.10000000000002</v>
      </c>
      <c r="G136" s="89"/>
      <c r="H136" s="90"/>
    </row>
    <row r="137" spans="1:9">
      <c r="A137" s="467"/>
      <c r="B137" s="467"/>
      <c r="C137" s="337" t="s">
        <v>458</v>
      </c>
      <c r="D137" s="70">
        <f t="shared" si="94"/>
        <v>622.9</v>
      </c>
      <c r="E137" s="89"/>
      <c r="F137" s="70">
        <f>'Հավելված N 7'!I200+'Հավելված N 7'!I209</f>
        <v>622.9</v>
      </c>
      <c r="G137" s="338"/>
      <c r="H137" s="339"/>
    </row>
    <row r="138" spans="1:9">
      <c r="A138" s="467"/>
      <c r="B138" s="467"/>
      <c r="C138" s="85" t="s">
        <v>459</v>
      </c>
      <c r="D138" s="70">
        <f t="shared" si="94"/>
        <v>512.4</v>
      </c>
      <c r="E138" s="89"/>
      <c r="F138" s="70">
        <f>'Հավելված N 7'!I201+'Հավելված N 7'!I210</f>
        <v>512.4</v>
      </c>
      <c r="G138" s="89"/>
      <c r="H138" s="90"/>
    </row>
    <row r="139" spans="1:9">
      <c r="A139" s="236"/>
      <c r="B139" s="236"/>
      <c r="C139" s="24" t="s">
        <v>270</v>
      </c>
      <c r="D139" s="73">
        <f>SUM(E139:H139)</f>
        <v>112813</v>
      </c>
      <c r="E139" s="73">
        <f>SUM(E140)</f>
        <v>0</v>
      </c>
      <c r="F139" s="73">
        <f>SUM(F140)</f>
        <v>112813</v>
      </c>
      <c r="G139" s="73">
        <f t="shared" ref="G139:H139" si="95">SUM(G140)</f>
        <v>0</v>
      </c>
      <c r="H139" s="73">
        <f t="shared" si="95"/>
        <v>0</v>
      </c>
      <c r="I139" s="26"/>
    </row>
    <row r="140" spans="1:9">
      <c r="A140" s="342"/>
      <c r="B140" s="342"/>
      <c r="C140" s="85" t="s">
        <v>414</v>
      </c>
      <c r="D140" s="70">
        <f t="shared" ref="D140" si="96">+E140+F140+G140+H140</f>
        <v>112813</v>
      </c>
      <c r="E140" s="89"/>
      <c r="F140" s="70">
        <f>+'Հավելված N 7'!I192+'Հավելված N 7'!I202+'Հավելված N 7'!I211</f>
        <v>112813</v>
      </c>
      <c r="G140" s="89"/>
      <c r="H140" s="90"/>
    </row>
    <row r="141" spans="1:9">
      <c r="A141" s="236"/>
      <c r="B141" s="236"/>
      <c r="C141" s="24" t="s">
        <v>178</v>
      </c>
      <c r="D141" s="73">
        <f>SUM(E141:H141)</f>
        <v>38460.700000000004</v>
      </c>
      <c r="E141" s="73">
        <f>SUM(E142)</f>
        <v>0</v>
      </c>
      <c r="F141" s="73">
        <f>SUM(F142)</f>
        <v>38460.700000000004</v>
      </c>
      <c r="G141" s="73">
        <f t="shared" ref="G141" si="97">SUM(G142)</f>
        <v>0</v>
      </c>
      <c r="H141" s="73">
        <f t="shared" ref="H141" si="98">SUM(H142)</f>
        <v>0</v>
      </c>
      <c r="I141" s="26"/>
    </row>
    <row r="142" spans="1:9" ht="34.5">
      <c r="A142" s="342"/>
      <c r="B142" s="342"/>
      <c r="C142" s="85" t="s">
        <v>417</v>
      </c>
      <c r="D142" s="70">
        <f t="shared" ref="D142" si="99">+E142+F142+G142+H142</f>
        <v>38460.700000000004</v>
      </c>
      <c r="E142" s="89"/>
      <c r="F142" s="70">
        <f>+'Հավելված N 7'!I194+'Հավելված N 7'!I204+'Հավելված N 7'!I213</f>
        <v>38460.700000000004</v>
      </c>
      <c r="G142" s="89"/>
      <c r="H142" s="90"/>
    </row>
    <row r="143" spans="1:9">
      <c r="A143" s="236"/>
      <c r="B143" s="236"/>
      <c r="C143" s="24" t="s">
        <v>188</v>
      </c>
      <c r="D143" s="73">
        <f>SUM(E143:H143)</f>
        <v>117314.7</v>
      </c>
      <c r="E143" s="73">
        <f>SUM(E144)</f>
        <v>0</v>
      </c>
      <c r="F143" s="73">
        <f>SUM(F144)</f>
        <v>117314.7</v>
      </c>
      <c r="G143" s="73">
        <f t="shared" ref="G143" si="100">SUM(G144)</f>
        <v>0</v>
      </c>
      <c r="H143" s="73">
        <f t="shared" ref="H143" si="101">SUM(H144)</f>
        <v>0</v>
      </c>
      <c r="I143" s="26"/>
    </row>
    <row r="144" spans="1:9" ht="34.5">
      <c r="A144" s="342"/>
      <c r="B144" s="342"/>
      <c r="C144" s="85" t="s">
        <v>418</v>
      </c>
      <c r="D144" s="70">
        <f t="shared" ref="D144" si="102">+E144+F144+G144+H144</f>
        <v>117314.7</v>
      </c>
      <c r="E144" s="89"/>
      <c r="F144" s="70">
        <f>+'Հավելված N 7'!I193+'Հավելված N 7'!I203+'Հավելված N 7'!I212</f>
        <v>117314.7</v>
      </c>
      <c r="G144" s="89"/>
      <c r="H144" s="90"/>
    </row>
  </sheetData>
  <mergeCells count="36">
    <mergeCell ref="A132:A133"/>
    <mergeCell ref="B132:B133"/>
    <mergeCell ref="B135:B138"/>
    <mergeCell ref="A135:A138"/>
    <mergeCell ref="B45:B47"/>
    <mergeCell ref="A45:A47"/>
    <mergeCell ref="B53:B54"/>
    <mergeCell ref="A53:A54"/>
    <mergeCell ref="A104:A105"/>
    <mergeCell ref="B104:B105"/>
    <mergeCell ref="B69:B70"/>
    <mergeCell ref="A69:A70"/>
    <mergeCell ref="A122:A126"/>
    <mergeCell ref="B122:B126"/>
    <mergeCell ref="A93:A94"/>
    <mergeCell ref="B93:B94"/>
    <mergeCell ref="F1:H1"/>
    <mergeCell ref="F2:H2"/>
    <mergeCell ref="F3:H3"/>
    <mergeCell ref="A6:H7"/>
    <mergeCell ref="A10:B10"/>
    <mergeCell ref="C10:C11"/>
    <mergeCell ref="D10:D11"/>
    <mergeCell ref="E10:H10"/>
    <mergeCell ref="A76:A77"/>
    <mergeCell ref="B76:B77"/>
    <mergeCell ref="A87:A88"/>
    <mergeCell ref="B87:B88"/>
    <mergeCell ref="A90:A91"/>
    <mergeCell ref="B90:B91"/>
    <mergeCell ref="A116:A120"/>
    <mergeCell ref="B116:B120"/>
    <mergeCell ref="B109:B112"/>
    <mergeCell ref="A109:A112"/>
    <mergeCell ref="A96:A97"/>
    <mergeCell ref="B96:B97"/>
  </mergeCells>
  <pageMargins left="0.7" right="0.7" top="0.75" bottom="0.75" header="0.3" footer="0.3"/>
  <pageSetup paperSize="9" scale="4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182"/>
  <sheetViews>
    <sheetView tabSelected="1" topLeftCell="A10" zoomScale="90" zoomScaleNormal="90" workbookViewId="0">
      <selection activeCell="G20" sqref="G20"/>
    </sheetView>
  </sheetViews>
  <sheetFormatPr defaultColWidth="9.125" defaultRowHeight="17.25"/>
  <cols>
    <col min="1" max="1" width="9.125" style="46"/>
    <col min="2" max="3" width="9.875" style="8" customWidth="1"/>
    <col min="4" max="4" width="54.25" style="8" customWidth="1"/>
    <col min="5" max="6" width="24.875" style="31" customWidth="1"/>
    <col min="7" max="7" width="50.125" style="8" customWidth="1"/>
    <col min="8" max="9" width="9.125" style="8"/>
    <col min="10" max="10" width="12.25" style="8" customWidth="1"/>
    <col min="11" max="16384" width="9.125" style="8"/>
  </cols>
  <sheetData>
    <row r="1" spans="1:7" s="127" customFormat="1" ht="37.5" customHeight="1">
      <c r="A1" s="79"/>
      <c r="D1" s="474" t="s">
        <v>84</v>
      </c>
      <c r="E1" s="474"/>
      <c r="F1" s="474"/>
    </row>
    <row r="2" spans="1:7" s="127" customFormat="1" ht="17.45" customHeight="1">
      <c r="A2" s="79"/>
      <c r="D2" s="482" t="s">
        <v>124</v>
      </c>
      <c r="E2" s="482"/>
      <c r="F2" s="482"/>
    </row>
    <row r="3" spans="1:7" s="127" customFormat="1" ht="17.45" customHeight="1">
      <c r="A3" s="79"/>
      <c r="D3" s="482" t="s">
        <v>81</v>
      </c>
      <c r="E3" s="482"/>
      <c r="F3" s="482"/>
    </row>
    <row r="4" spans="1:7" ht="13.5" customHeight="1">
      <c r="D4" s="75"/>
      <c r="E4" s="108"/>
      <c r="F4" s="108"/>
    </row>
    <row r="5" spans="1:7" ht="85.5" customHeight="1">
      <c r="B5" s="475" t="s">
        <v>125</v>
      </c>
      <c r="C5" s="475"/>
      <c r="D5" s="475"/>
      <c r="E5" s="475"/>
      <c r="F5" s="475"/>
    </row>
    <row r="6" spans="1:7">
      <c r="E6" s="109"/>
      <c r="F6" s="109"/>
    </row>
    <row r="7" spans="1:7">
      <c r="E7" s="109"/>
      <c r="F7" s="109"/>
    </row>
    <row r="8" spans="1:7">
      <c r="E8" s="110"/>
      <c r="F8" s="110" t="s">
        <v>21</v>
      </c>
    </row>
    <row r="9" spans="1:7" ht="61.7" customHeight="1">
      <c r="B9" s="476" t="s">
        <v>48</v>
      </c>
      <c r="C9" s="476"/>
      <c r="D9" s="460" t="s">
        <v>49</v>
      </c>
      <c r="E9" s="480" t="s">
        <v>113</v>
      </c>
      <c r="F9" s="481"/>
    </row>
    <row r="10" spans="1:7" ht="23.85" customHeight="1">
      <c r="B10" s="478" t="s">
        <v>51</v>
      </c>
      <c r="C10" s="478" t="s">
        <v>52</v>
      </c>
      <c r="D10" s="477"/>
      <c r="E10" s="479" t="s">
        <v>122</v>
      </c>
      <c r="F10" s="479" t="s">
        <v>50</v>
      </c>
    </row>
    <row r="11" spans="1:7" ht="59.85" customHeight="1">
      <c r="B11" s="478"/>
      <c r="C11" s="478"/>
      <c r="D11" s="461"/>
      <c r="E11" s="463"/>
      <c r="F11" s="463"/>
      <c r="G11" s="26"/>
    </row>
    <row r="12" spans="1:7" ht="34.5">
      <c r="B12" s="129"/>
      <c r="C12" s="129"/>
      <c r="D12" s="1" t="s">
        <v>55</v>
      </c>
      <c r="E12" s="5">
        <f>+E14+E22+E30+E38+E44+E73+E80+E87+E102+E134+E140+E165</f>
        <v>-1431410.5000000005</v>
      </c>
      <c r="F12" s="5">
        <f>+F14+F22+F30+F38+F44+F73+F80+F87+F102+F134+F140+F165</f>
        <v>-1868106.8300000005</v>
      </c>
      <c r="G12" s="49"/>
    </row>
    <row r="13" spans="1:7">
      <c r="B13" s="129"/>
      <c r="C13" s="129"/>
      <c r="D13" s="14" t="s">
        <v>56</v>
      </c>
      <c r="E13" s="61"/>
      <c r="F13" s="61"/>
    </row>
    <row r="14" spans="1:7" s="138" customFormat="1" ht="67.7" customHeight="1">
      <c r="B14" s="139">
        <v>1045</v>
      </c>
      <c r="C14" s="140">
        <v>32001</v>
      </c>
      <c r="D14" s="141" t="s">
        <v>179</v>
      </c>
      <c r="E14" s="142">
        <f t="shared" ref="E14:F14" si="0">+E16</f>
        <v>-264013.5</v>
      </c>
      <c r="F14" s="142">
        <f t="shared" si="0"/>
        <v>-330699.7</v>
      </c>
    </row>
    <row r="15" spans="1:7" s="138" customFormat="1">
      <c r="B15" s="143"/>
      <c r="C15" s="143"/>
      <c r="D15" s="144" t="s">
        <v>54</v>
      </c>
      <c r="E15" s="146"/>
      <c r="F15" s="145"/>
    </row>
    <row r="16" spans="1:7" s="138" customFormat="1">
      <c r="B16" s="147"/>
      <c r="C16" s="147"/>
      <c r="D16" s="148" t="s">
        <v>139</v>
      </c>
      <c r="E16" s="149">
        <f>+E18+E20</f>
        <v>-264013.5</v>
      </c>
      <c r="F16" s="149">
        <f>+F18+F20</f>
        <v>-330699.7</v>
      </c>
    </row>
    <row r="17" spans="2:6" s="138" customFormat="1">
      <c r="B17" s="147"/>
      <c r="C17" s="147"/>
      <c r="D17" s="150" t="s">
        <v>129</v>
      </c>
      <c r="E17" s="151"/>
      <c r="F17" s="151"/>
    </row>
    <row r="18" spans="2:6" s="138" customFormat="1">
      <c r="B18" s="152"/>
      <c r="C18" s="152"/>
      <c r="D18" s="153" t="s">
        <v>152</v>
      </c>
      <c r="E18" s="346">
        <f>+E19</f>
        <v>-27188.400000000001</v>
      </c>
      <c r="F18" s="154">
        <f>+F19</f>
        <v>-12449.4</v>
      </c>
    </row>
    <row r="19" spans="2:6" s="138" customFormat="1" ht="34.5">
      <c r="B19" s="334"/>
      <c r="C19" s="334"/>
      <c r="D19" s="155" t="s">
        <v>422</v>
      </c>
      <c r="E19" s="266">
        <v>-27188.400000000001</v>
      </c>
      <c r="F19" s="543">
        <f>+'Հավելված N 3'!D19</f>
        <v>-12449.4</v>
      </c>
    </row>
    <row r="20" spans="2:6" s="138" customFormat="1">
      <c r="B20" s="152"/>
      <c r="C20" s="152"/>
      <c r="D20" s="153" t="s">
        <v>172</v>
      </c>
      <c r="E20" s="346">
        <f>+E21</f>
        <v>-236825.1</v>
      </c>
      <c r="F20" s="346">
        <f>+F21</f>
        <v>-318250.3</v>
      </c>
    </row>
    <row r="21" spans="2:6" s="138" customFormat="1" ht="34.5">
      <c r="B21" s="334"/>
      <c r="C21" s="334"/>
      <c r="D21" s="155" t="str">
        <f>+'Հավելված N 3'!C21</f>
        <v>«Մասիսի պետական գյուղատնտեսական քոլեջ» ՊՈԱԿ</v>
      </c>
      <c r="E21" s="266">
        <v>-236825.1</v>
      </c>
      <c r="F21" s="156">
        <f>+'Հավելված N 3'!D21</f>
        <v>-318250.3</v>
      </c>
    </row>
    <row r="22" spans="2:6" s="138" customFormat="1" ht="67.7" customHeight="1">
      <c r="B22" s="139">
        <v>1045</v>
      </c>
      <c r="C22" s="237">
        <v>32005</v>
      </c>
      <c r="D22" s="231" t="s">
        <v>181</v>
      </c>
      <c r="E22" s="142">
        <f t="shared" ref="E22:F22" si="1">+E24</f>
        <v>-389432.7</v>
      </c>
      <c r="F22" s="142">
        <f t="shared" si="1"/>
        <v>-519865.60000000003</v>
      </c>
    </row>
    <row r="23" spans="2:6" s="138" customFormat="1">
      <c r="B23" s="143"/>
      <c r="C23" s="143"/>
      <c r="D23" s="144" t="s">
        <v>54</v>
      </c>
      <c r="E23" s="146"/>
      <c r="F23" s="145"/>
    </row>
    <row r="24" spans="2:6" s="138" customFormat="1">
      <c r="B24" s="147"/>
      <c r="C24" s="147"/>
      <c r="D24" s="148" t="s">
        <v>139</v>
      </c>
      <c r="E24" s="149">
        <f>+E26+E28</f>
        <v>-389432.7</v>
      </c>
      <c r="F24" s="149">
        <f>+F26+F28</f>
        <v>-519865.60000000003</v>
      </c>
    </row>
    <row r="25" spans="2:6" s="138" customFormat="1">
      <c r="B25" s="147"/>
      <c r="C25" s="147"/>
      <c r="D25" s="150" t="s">
        <v>129</v>
      </c>
      <c r="E25" s="151"/>
      <c r="F25" s="151"/>
    </row>
    <row r="26" spans="2:6" s="138" customFormat="1">
      <c r="B26" s="202"/>
      <c r="C26" s="202"/>
      <c r="D26" s="153" t="s">
        <v>270</v>
      </c>
      <c r="E26" s="346">
        <f>+E27</f>
        <v>-162124.5</v>
      </c>
      <c r="F26" s="346">
        <f>+F27</f>
        <v>-168849.2</v>
      </c>
    </row>
    <row r="27" spans="2:6" s="138" customFormat="1" ht="34.5">
      <c r="B27" s="267"/>
      <c r="C27" s="267"/>
      <c r="D27" s="155" t="str">
        <f>+'Հավելված N 3'!C25</f>
        <v>«Գավառի ակադեմիկոս Ա. Թամամշևի անվան պետական գյուղատնտեսական քոլեջ» ՊՈԱԿ</v>
      </c>
      <c r="E27" s="266">
        <v>-162124.5</v>
      </c>
      <c r="F27" s="156">
        <f>+'Հավելված N 3'!D25</f>
        <v>-168849.2</v>
      </c>
    </row>
    <row r="28" spans="2:6" s="138" customFormat="1">
      <c r="B28" s="202"/>
      <c r="C28" s="202"/>
      <c r="D28" s="153" t="s">
        <v>178</v>
      </c>
      <c r="E28" s="346">
        <f>+E29</f>
        <v>-227308.2</v>
      </c>
      <c r="F28" s="346">
        <f>+F29</f>
        <v>-351016.4</v>
      </c>
    </row>
    <row r="29" spans="2:6" s="138" customFormat="1" ht="34.5">
      <c r="B29" s="267"/>
      <c r="C29" s="267"/>
      <c r="D29" s="155" t="str">
        <f>+'Հավելված N 3'!C27</f>
        <v>«Ստեփանավանի պրոֆ. Քալանթարի անվան պետական գյուղատնտեսական քոլեջ» ՊՈԱԿ</v>
      </c>
      <c r="E29" s="266">
        <v>-227308.2</v>
      </c>
      <c r="F29" s="156">
        <f>+'Հավելված N 3'!D27</f>
        <v>-351016.4</v>
      </c>
    </row>
    <row r="30" spans="2:6" s="138" customFormat="1" ht="34.5">
      <c r="B30" s="139">
        <v>1075</v>
      </c>
      <c r="C30" s="237">
        <v>32001</v>
      </c>
      <c r="D30" s="231" t="s">
        <v>169</v>
      </c>
      <c r="E30" s="142">
        <f>+E32</f>
        <v>-117379.8</v>
      </c>
      <c r="F30" s="142">
        <f t="shared" ref="F30" si="2">+F32</f>
        <v>-199482</v>
      </c>
    </row>
    <row r="31" spans="2:6" s="138" customFormat="1">
      <c r="B31" s="143"/>
      <c r="C31" s="143"/>
      <c r="D31" s="144" t="s">
        <v>54</v>
      </c>
      <c r="E31" s="146"/>
      <c r="F31" s="145"/>
    </row>
    <row r="32" spans="2:6" s="138" customFormat="1">
      <c r="B32" s="147"/>
      <c r="C32" s="147"/>
      <c r="D32" s="148" t="s">
        <v>139</v>
      </c>
      <c r="E32" s="149">
        <f>+E34+E36</f>
        <v>-117379.8</v>
      </c>
      <c r="F32" s="149">
        <f>+F34+F36</f>
        <v>-199482</v>
      </c>
    </row>
    <row r="33" spans="2:6" s="138" customFormat="1">
      <c r="B33" s="147"/>
      <c r="C33" s="147"/>
      <c r="D33" s="150" t="s">
        <v>129</v>
      </c>
      <c r="E33" s="151"/>
      <c r="F33" s="151"/>
    </row>
    <row r="34" spans="2:6" s="138" customFormat="1">
      <c r="B34" s="202"/>
      <c r="C34" s="202"/>
      <c r="D34" s="153" t="s">
        <v>152</v>
      </c>
      <c r="E34" s="346">
        <f>+E35</f>
        <v>-82102</v>
      </c>
      <c r="F34" s="346">
        <f>+F35</f>
        <v>-164204.19999999998</v>
      </c>
    </row>
    <row r="35" spans="2:6" s="138" customFormat="1" ht="51.75">
      <c r="B35" s="267"/>
      <c r="C35" s="267"/>
      <c r="D35" s="155" t="str">
        <f>+'Հավելված N 3'!C31</f>
        <v>Հայաստանի ազգային պատկերասրահ  ՊՈԱԿ-ի Արա Սարգսյանի և Հակոբ Կոջոյանի տուն-թանգարան մասնաճյուղ</v>
      </c>
      <c r="E35" s="266">
        <v>-82102</v>
      </c>
      <c r="F35" s="156">
        <f>+'Հավելված N 3'!D31</f>
        <v>-164204.19999999998</v>
      </c>
    </row>
    <row r="36" spans="2:6" s="138" customFormat="1">
      <c r="B36" s="202"/>
      <c r="C36" s="202"/>
      <c r="D36" s="153" t="s">
        <v>138</v>
      </c>
      <c r="E36" s="346">
        <f>+E37</f>
        <v>-35277.800000000003</v>
      </c>
      <c r="F36" s="346">
        <f>+F37</f>
        <v>-35277.800000000003</v>
      </c>
    </row>
    <row r="37" spans="2:6" s="138" customFormat="1">
      <c r="B37" s="267"/>
      <c r="C37" s="267"/>
      <c r="D37" s="155" t="str">
        <f>+'Հավելված N 3'!C33</f>
        <v>«Շիրակի երկրագիտական թանգարան» ՊՈԱԿ</v>
      </c>
      <c r="E37" s="266">
        <v>-35277.800000000003</v>
      </c>
      <c r="F37" s="266">
        <f>+'Հավելված N 3'!D33</f>
        <v>-35277.800000000003</v>
      </c>
    </row>
    <row r="38" spans="2:6" s="138" customFormat="1" ht="51.75">
      <c r="B38" s="139">
        <v>1111</v>
      </c>
      <c r="C38" s="332">
        <v>32001</v>
      </c>
      <c r="D38" s="231" t="s">
        <v>284</v>
      </c>
      <c r="E38" s="142">
        <f>+E40</f>
        <v>-106918.2</v>
      </c>
      <c r="F38" s="142">
        <f t="shared" ref="F38" si="3">+F40</f>
        <v>-267295.40000000002</v>
      </c>
    </row>
    <row r="39" spans="2:6" s="138" customFormat="1">
      <c r="B39" s="335"/>
      <c r="C39" s="335"/>
      <c r="D39" s="144" t="s">
        <v>54</v>
      </c>
      <c r="E39" s="347"/>
      <c r="F39" s="145"/>
    </row>
    <row r="40" spans="2:6" s="138" customFormat="1">
      <c r="B40" s="147"/>
      <c r="C40" s="147"/>
      <c r="D40" s="148" t="s">
        <v>139</v>
      </c>
      <c r="E40" s="149">
        <f>+E42</f>
        <v>-106918.2</v>
      </c>
      <c r="F40" s="149">
        <f>+F42</f>
        <v>-267295.40000000002</v>
      </c>
    </row>
    <row r="41" spans="2:6" s="138" customFormat="1">
      <c r="B41" s="147"/>
      <c r="C41" s="147"/>
      <c r="D41" s="150" t="s">
        <v>129</v>
      </c>
      <c r="E41" s="151"/>
      <c r="F41" s="151"/>
    </row>
    <row r="42" spans="2:6" s="138" customFormat="1">
      <c r="B42" s="202"/>
      <c r="C42" s="202"/>
      <c r="D42" s="153" t="s">
        <v>152</v>
      </c>
      <c r="E42" s="346">
        <f>+E43</f>
        <v>-106918.2</v>
      </c>
      <c r="F42" s="346">
        <f>+F43</f>
        <v>-267295.40000000002</v>
      </c>
    </row>
    <row r="43" spans="2:6" s="138" customFormat="1" ht="34.5">
      <c r="B43" s="267"/>
      <c r="C43" s="267"/>
      <c r="D43" s="155" t="str">
        <f>+'Հավելված N 3'!C37</f>
        <v>«Երևանի Կոմիտասի անվան պետական կոնսերվատորիա» ՊՈԱԿ</v>
      </c>
      <c r="E43" s="266">
        <v>-106918.2</v>
      </c>
      <c r="F43" s="156">
        <f>+'Հավելված N 3'!D37</f>
        <v>-267295.40000000002</v>
      </c>
    </row>
    <row r="44" spans="2:6" s="138" customFormat="1" ht="34.5">
      <c r="B44" s="250">
        <v>1146</v>
      </c>
      <c r="C44" s="250">
        <v>12010</v>
      </c>
      <c r="D44" s="213" t="s">
        <v>187</v>
      </c>
      <c r="E44" s="142">
        <f>+E46</f>
        <v>-1249723.7</v>
      </c>
      <c r="F44" s="142">
        <f>+F46</f>
        <v>-1751820.2300000002</v>
      </c>
    </row>
    <row r="45" spans="2:6" s="138" customFormat="1">
      <c r="B45" s="194"/>
      <c r="C45" s="194"/>
      <c r="D45" s="192" t="s">
        <v>53</v>
      </c>
      <c r="E45" s="145"/>
      <c r="F45" s="145"/>
    </row>
    <row r="46" spans="2:6" s="138" customFormat="1">
      <c r="B46" s="190"/>
      <c r="C46" s="190"/>
      <c r="D46" s="193" t="s">
        <v>139</v>
      </c>
      <c r="E46" s="149">
        <f>+E48+E49+E50+E51+E53+E55+E59+E61+E64+E67+E69+E71</f>
        <v>-1249723.7</v>
      </c>
      <c r="F46" s="149">
        <f>+F48+F49+F50+F51+F53+F55+F59+F61+F64+F67+F69+F71</f>
        <v>-1751820.2300000002</v>
      </c>
    </row>
    <row r="47" spans="2:6" s="138" customFormat="1">
      <c r="B47" s="190"/>
      <c r="C47" s="190"/>
      <c r="D47" s="192" t="s">
        <v>85</v>
      </c>
      <c r="E47" s="151"/>
      <c r="F47" s="151"/>
    </row>
    <row r="48" spans="2:6" s="138" customFormat="1" ht="69">
      <c r="B48" s="190"/>
      <c r="C48" s="190"/>
      <c r="D48" s="191" t="s">
        <v>423</v>
      </c>
      <c r="E48" s="348">
        <v>-9990</v>
      </c>
      <c r="F48" s="348">
        <v>0</v>
      </c>
    </row>
    <row r="49" spans="2:6" s="138" customFormat="1" ht="69">
      <c r="B49" s="190"/>
      <c r="C49" s="190"/>
      <c r="D49" s="191" t="s">
        <v>424</v>
      </c>
      <c r="E49" s="348">
        <v>-28500</v>
      </c>
      <c r="F49" s="348">
        <v>0</v>
      </c>
    </row>
    <row r="50" spans="2:6" s="138" customFormat="1" ht="69">
      <c r="B50" s="190"/>
      <c r="C50" s="190"/>
      <c r="D50" s="191" t="s">
        <v>425</v>
      </c>
      <c r="E50" s="348">
        <v>-36020</v>
      </c>
      <c r="F50" s="348">
        <v>0</v>
      </c>
    </row>
    <row r="51" spans="2:6" s="138" customFormat="1">
      <c r="B51" s="190"/>
      <c r="C51" s="190"/>
      <c r="D51" s="191" t="s">
        <v>111</v>
      </c>
      <c r="E51" s="154">
        <f>+E52</f>
        <v>-148608.70000000001</v>
      </c>
      <c r="F51" s="154">
        <f>+F52</f>
        <v>-297217.50000000006</v>
      </c>
    </row>
    <row r="52" spans="2:6" s="187" customFormat="1" ht="51.75">
      <c r="B52" s="190"/>
      <c r="C52" s="190"/>
      <c r="D52" s="189" t="str">
        <f>+'Հավելված N 3'!C41</f>
        <v xml:space="preserve">ՀՀ Արագածոտնի մարզի  Ալագյազ համայնքում «Մոդուլային» տիպի 144 տեղ հզորությամբ մսուր-մանկապարտեզ </v>
      </c>
      <c r="E52" s="188">
        <v>-148608.70000000001</v>
      </c>
      <c r="F52" s="188">
        <f>+'Հավելված N 3'!D41</f>
        <v>-297217.50000000006</v>
      </c>
    </row>
    <row r="53" spans="2:6" s="138" customFormat="1">
      <c r="B53" s="190"/>
      <c r="C53" s="190"/>
      <c r="D53" s="191" t="s">
        <v>172</v>
      </c>
      <c r="E53" s="154">
        <f>+E54</f>
        <v>-24956.7</v>
      </c>
      <c r="F53" s="154">
        <f>+F54</f>
        <v>-49913.4</v>
      </c>
    </row>
    <row r="54" spans="2:6" s="187" customFormat="1" ht="51.75">
      <c r="B54" s="190"/>
      <c r="C54" s="190"/>
      <c r="D54" s="189" t="str">
        <f>+'Հավելված N 3'!C43</f>
        <v xml:space="preserve">ՀՀ Արարատի մարզի Արալեզ համայնքում «Մոդուլային» տիպի 144 տեղ հզորությամբ մսուր-մանկապարտեզ </v>
      </c>
      <c r="E54" s="188">
        <v>-24956.7</v>
      </c>
      <c r="F54" s="188">
        <f>+'Հավելված N 3'!D43</f>
        <v>-49913.4</v>
      </c>
    </row>
    <row r="55" spans="2:6" s="138" customFormat="1">
      <c r="B55" s="190"/>
      <c r="C55" s="190"/>
      <c r="D55" s="191" t="s">
        <v>130</v>
      </c>
      <c r="E55" s="154">
        <f>SUM(E56:E58)</f>
        <v>1133.1999999999971</v>
      </c>
      <c r="F55" s="154">
        <f>SUM(F56:F58)</f>
        <v>82521.199999999983</v>
      </c>
    </row>
    <row r="56" spans="2:6" s="187" customFormat="1" ht="51.75">
      <c r="B56" s="485"/>
      <c r="C56" s="485"/>
      <c r="D56" s="189" t="str">
        <f>+'Հավելված N 3'!C45</f>
        <v>ՀՀ Արմավիրի մարզի Արևիկ համայնքում «Մոդուլային» տիպի 144 տեղ հզորությամբ մսուր-մանկապարտեզ</v>
      </c>
      <c r="E56" s="188">
        <v>102704.5</v>
      </c>
      <c r="F56" s="188">
        <f>+'Հավելված N 3'!D45</f>
        <v>205409.1</v>
      </c>
    </row>
    <row r="57" spans="2:6" s="187" customFormat="1" ht="51.75">
      <c r="B57" s="486"/>
      <c r="C57" s="486"/>
      <c r="D57" s="189" t="str">
        <f>+'Հավելված N 3'!C46</f>
        <v>ՀՀ Արմավիրի մարզի Այգևան համայնքում «Մոդուլային» տիպի 144 տեղ հզորությամբ մսուր-մանկապարտեզ</v>
      </c>
      <c r="E57" s="188">
        <v>0</v>
      </c>
      <c r="F57" s="188">
        <f>+'Հավելված N 3'!D46</f>
        <v>80254.7</v>
      </c>
    </row>
    <row r="58" spans="2:6" s="187" customFormat="1" ht="51.75">
      <c r="B58" s="472"/>
      <c r="C58" s="472"/>
      <c r="D58" s="189" t="str">
        <f>+'Հավելված N 3'!C47</f>
        <v>ՀՀ Արմավիրի մարզի Լենուղի համայնքում «Մոդուլային» տիպի 144 տեղ հզորությամբ մսուր-մանկապարտեզ</v>
      </c>
      <c r="E58" s="188">
        <v>-101571.3</v>
      </c>
      <c r="F58" s="188">
        <f>+'Հավելված N 3'!D47</f>
        <v>-203142.6</v>
      </c>
    </row>
    <row r="59" spans="2:6" s="138" customFormat="1">
      <c r="B59" s="190"/>
      <c r="C59" s="190"/>
      <c r="D59" s="191" t="s">
        <v>270</v>
      </c>
      <c r="E59" s="154">
        <f>+E60</f>
        <v>-178167.8</v>
      </c>
      <c r="F59" s="154">
        <f>+F60</f>
        <v>-356335.5</v>
      </c>
    </row>
    <row r="60" spans="2:6" s="187" customFormat="1" ht="51.75">
      <c r="B60" s="190"/>
      <c r="C60" s="190"/>
      <c r="D60" s="189" t="str">
        <f>+'Հավելված N 3'!C49</f>
        <v xml:space="preserve">ՀՀ Գեղարքունիքի մարզի Աստղաձոր համայնքում «Մոդուլային» տիպի 144 տեղ հզորությամբ մսուր-մանկապարտեզ </v>
      </c>
      <c r="E60" s="188">
        <v>-178167.8</v>
      </c>
      <c r="F60" s="188">
        <f>+'Հավելված N 3'!D49</f>
        <v>-356335.5</v>
      </c>
    </row>
    <row r="61" spans="2:6" s="138" customFormat="1">
      <c r="B61" s="190"/>
      <c r="C61" s="190"/>
      <c r="D61" s="191" t="s">
        <v>178</v>
      </c>
      <c r="E61" s="154">
        <f>SUM(E62:E63)</f>
        <v>-221585.7</v>
      </c>
      <c r="F61" s="154">
        <f>SUM(F62:F63)</f>
        <v>-90099</v>
      </c>
    </row>
    <row r="62" spans="2:6" s="187" customFormat="1" ht="34.5">
      <c r="B62" s="485"/>
      <c r="C62" s="485"/>
      <c r="D62" s="189" t="str">
        <f>+'Հավելված N 3'!C51</f>
        <v xml:space="preserve">ՀՀ Լոռու մարզի Սպիտակ համայնքում «Մոդուլային» տիպի 144 տեղ հզորությամբ մսուր-մանկապարտեզ </v>
      </c>
      <c r="E62" s="188">
        <f>-45105.1+55.5</f>
        <v>-45049.599999999999</v>
      </c>
      <c r="F62" s="188">
        <f>+'Հավելված N 3'!D51</f>
        <v>-90099</v>
      </c>
    </row>
    <row r="63" spans="2:6" s="187" customFormat="1" ht="34.5">
      <c r="B63" s="472"/>
      <c r="C63" s="472"/>
      <c r="D63" s="189" t="s">
        <v>426</v>
      </c>
      <c r="E63" s="188">
        <v>-176536.1</v>
      </c>
      <c r="F63" s="188">
        <v>0</v>
      </c>
    </row>
    <row r="64" spans="2:6" s="138" customFormat="1">
      <c r="B64" s="190"/>
      <c r="C64" s="190"/>
      <c r="D64" s="191" t="s">
        <v>170</v>
      </c>
      <c r="E64" s="154">
        <f>SUM(E65:E66)</f>
        <v>-163776.4</v>
      </c>
      <c r="F64" s="154">
        <f>SUM(F65:F66)</f>
        <v>-322612.73</v>
      </c>
    </row>
    <row r="65" spans="2:7" s="187" customFormat="1" ht="51.75">
      <c r="B65" s="485"/>
      <c r="C65" s="485"/>
      <c r="D65" s="189" t="str">
        <f>+'Հավելված N 3'!C53</f>
        <v xml:space="preserve">ՀՀ Կոտայքի մարզի Հրազդան համայնքում «Մոդուլային» տիպի 144 տեղ հզորությամբ մսուր-մանկապարտեզ </v>
      </c>
      <c r="E65" s="188">
        <v>-158836.4</v>
      </c>
      <c r="F65" s="188">
        <f>+'Հավելված N 3'!D53</f>
        <v>-317672.73</v>
      </c>
    </row>
    <row r="66" spans="2:7" s="187" customFormat="1" ht="51.75">
      <c r="B66" s="472"/>
      <c r="C66" s="472"/>
      <c r="D66" s="189" t="str">
        <f>+'Հավելված N 3'!C54</f>
        <v>ՀՀ Կոտայքի մարզի Չարենցավան համայնքի Ֆանտան բնակավայրում «Մոդուլային» տիպի 144 տեղ հզորությամբ մսուր-մանկապարտեզ</v>
      </c>
      <c r="E66" s="188">
        <v>-4940</v>
      </c>
      <c r="F66" s="188">
        <f>+'Հավելված N 3'!D54</f>
        <v>-4940</v>
      </c>
    </row>
    <row r="67" spans="2:7" s="138" customFormat="1">
      <c r="B67" s="190"/>
      <c r="C67" s="190"/>
      <c r="D67" s="191" t="s">
        <v>312</v>
      </c>
      <c r="E67" s="154">
        <f>+E68</f>
        <v>-4940</v>
      </c>
      <c r="F67" s="154">
        <f>+F68</f>
        <v>-4940</v>
      </c>
    </row>
    <row r="68" spans="2:7" s="187" customFormat="1" ht="51.75">
      <c r="B68" s="333"/>
      <c r="C68" s="333"/>
      <c r="D68" s="189" t="str">
        <f>+'Հավելված N 3'!C56</f>
        <v>ՀՀ Սյունիքի մարզի Սիսիան համայնքում «Մոդուլային» տիպի 144 տեղ հզորությամբ մսուր-մանկապարտեզ</v>
      </c>
      <c r="E68" s="188">
        <v>-4940</v>
      </c>
      <c r="F68" s="188">
        <f>+'Հավելված N 3'!D56</f>
        <v>-4940</v>
      </c>
    </row>
    <row r="69" spans="2:7" s="138" customFormat="1">
      <c r="B69" s="190"/>
      <c r="C69" s="190"/>
      <c r="D69" s="191" t="s">
        <v>188</v>
      </c>
      <c r="E69" s="154">
        <f>+E70</f>
        <v>-190750</v>
      </c>
      <c r="F69" s="154">
        <f>+F70</f>
        <v>-226100</v>
      </c>
    </row>
    <row r="70" spans="2:7" s="187" customFormat="1" ht="51.75">
      <c r="B70" s="333"/>
      <c r="C70" s="333"/>
      <c r="D70" s="189" t="str">
        <f>+'Հավելված N 3'!C58</f>
        <v>ՀՀ Վայոց ձորի մարզի Եղեգիս համայնքի Շատին բնակավայրում «Մոդուլային» տիպի 250 տեղ հզորությամբ մսուր-մանկապարտեզ</v>
      </c>
      <c r="E70" s="188">
        <v>-190750</v>
      </c>
      <c r="F70" s="188">
        <f>+'Հավելված N 3'!D58</f>
        <v>-226100</v>
      </c>
    </row>
    <row r="71" spans="2:7" s="138" customFormat="1">
      <c r="B71" s="190"/>
      <c r="C71" s="190"/>
      <c r="D71" s="191" t="s">
        <v>318</v>
      </c>
      <c r="E71" s="154">
        <f>+E72</f>
        <v>-243561.60000000001</v>
      </c>
      <c r="F71" s="154">
        <f>+F72</f>
        <v>-487123.3</v>
      </c>
    </row>
    <row r="72" spans="2:7" s="187" customFormat="1" ht="51.75">
      <c r="B72" s="333"/>
      <c r="C72" s="333"/>
      <c r="D72" s="189" t="str">
        <f>+'Հավելված N 3'!C60</f>
        <v>ՀՀ Տավուշի մարզի Այրում համայնքի Բագրատաշեն բնակավայրում «Մոդուլային» տիպի 144 տեղ հզորությամբ մսուր-մանկապարտեզ</v>
      </c>
      <c r="E72" s="188">
        <v>-243561.60000000001</v>
      </c>
      <c r="F72" s="188">
        <f>+'Հավելված N 3'!D60</f>
        <v>-487123.3</v>
      </c>
    </row>
    <row r="73" spans="2:7" s="138" customFormat="1" ht="34.5">
      <c r="B73" s="250">
        <v>1168</v>
      </c>
      <c r="C73" s="250">
        <v>32001</v>
      </c>
      <c r="D73" s="231" t="s">
        <v>151</v>
      </c>
      <c r="E73" s="344">
        <f>+E75+E79</f>
        <v>0</v>
      </c>
      <c r="F73" s="142">
        <f>+F75+F79</f>
        <v>278954.59999999998</v>
      </c>
    </row>
    <row r="74" spans="2:7" s="138" customFormat="1">
      <c r="B74" s="194"/>
      <c r="C74" s="194"/>
      <c r="D74" s="192" t="s">
        <v>53</v>
      </c>
      <c r="E74" s="349"/>
      <c r="F74" s="145"/>
    </row>
    <row r="75" spans="2:7" s="138" customFormat="1">
      <c r="B75" s="190"/>
      <c r="C75" s="190"/>
      <c r="D75" s="193" t="s">
        <v>139</v>
      </c>
      <c r="E75" s="343">
        <f>+E77</f>
        <v>0</v>
      </c>
      <c r="F75" s="149">
        <f>+F77</f>
        <v>79472.600000000006</v>
      </c>
    </row>
    <row r="76" spans="2:7" s="138" customFormat="1">
      <c r="B76" s="190"/>
      <c r="C76" s="190"/>
      <c r="D76" s="192" t="s">
        <v>85</v>
      </c>
      <c r="E76" s="151"/>
      <c r="F76" s="151"/>
    </row>
    <row r="77" spans="2:7" s="138" customFormat="1">
      <c r="B77" s="190"/>
      <c r="C77" s="190"/>
      <c r="D77" s="191" t="s">
        <v>152</v>
      </c>
      <c r="E77" s="154">
        <f>+E78</f>
        <v>0</v>
      </c>
      <c r="F77" s="154">
        <f>+F78</f>
        <v>79472.600000000006</v>
      </c>
    </row>
    <row r="78" spans="2:7" s="187" customFormat="1" ht="34.5">
      <c r="B78" s="190"/>
      <c r="C78" s="190"/>
      <c r="D78" s="189" t="str">
        <f>+'Հավելված N 3'!C64</f>
        <v xml:space="preserve">Երևանի մնջախաղի պետական թատրոնի շենքի վերակառուցում </v>
      </c>
      <c r="E78" s="188"/>
      <c r="F78" s="188">
        <f>+'Հավելված N 3'!D64</f>
        <v>79472.600000000006</v>
      </c>
    </row>
    <row r="79" spans="2:7" s="187" customFormat="1">
      <c r="B79" s="190"/>
      <c r="C79" s="190"/>
      <c r="D79" s="193" t="s">
        <v>141</v>
      </c>
      <c r="E79" s="343">
        <v>0</v>
      </c>
      <c r="F79" s="149">
        <f>+'Հավելված N 3'!D65</f>
        <v>199482</v>
      </c>
    </row>
    <row r="80" spans="2:7" ht="34.5">
      <c r="B80" s="128">
        <v>1183</v>
      </c>
      <c r="C80" s="128">
        <v>32001</v>
      </c>
      <c r="D80" s="68" t="s">
        <v>110</v>
      </c>
      <c r="E80" s="23">
        <f>+E82</f>
        <v>-116082.1</v>
      </c>
      <c r="F80" s="23">
        <f>+F82</f>
        <v>-353700.3</v>
      </c>
      <c r="G80" s="82"/>
    </row>
    <row r="81" spans="2:7">
      <c r="B81" s="128"/>
      <c r="C81" s="128"/>
      <c r="D81" s="2" t="s">
        <v>53</v>
      </c>
      <c r="E81" s="15"/>
      <c r="F81" s="15"/>
    </row>
    <row r="82" spans="2:7">
      <c r="B82" s="128"/>
      <c r="C82" s="128"/>
      <c r="D82" s="148" t="s">
        <v>139</v>
      </c>
      <c r="E82" s="22">
        <f>+E84</f>
        <v>-116082.1</v>
      </c>
      <c r="F82" s="22">
        <f>+F84</f>
        <v>-353700.3</v>
      </c>
    </row>
    <row r="83" spans="2:7" s="138" customFormat="1">
      <c r="B83" s="190"/>
      <c r="C83" s="190"/>
      <c r="D83" s="192" t="s">
        <v>85</v>
      </c>
      <c r="E83" s="151"/>
      <c r="F83" s="151"/>
    </row>
    <row r="84" spans="2:7">
      <c r="B84" s="262"/>
      <c r="C84" s="262"/>
      <c r="D84" s="24" t="s">
        <v>152</v>
      </c>
      <c r="E84" s="111">
        <f>SUM(E85:E86)</f>
        <v>-116082.1</v>
      </c>
      <c r="F84" s="111">
        <f>SUM(F85:F86)</f>
        <v>-353700.3</v>
      </c>
    </row>
    <row r="85" spans="2:7">
      <c r="B85" s="483"/>
      <c r="C85" s="483"/>
      <c r="D85" s="85" t="str">
        <f>+'Հավելված N 3'!C69</f>
        <v>«Երևանի թիվ 22 հիմնական դպրոց» ՊՈԱԿ</v>
      </c>
      <c r="E85" s="74">
        <v>-116082.1</v>
      </c>
      <c r="F85" s="74">
        <f>+'Հավելված N 3'!D69</f>
        <v>-290205.2</v>
      </c>
    </row>
    <row r="86" spans="2:7" ht="34.5">
      <c r="B86" s="484"/>
      <c r="C86" s="484"/>
      <c r="D86" s="85" t="str">
        <f>+'Հավելված N 3'!C70</f>
        <v>«Երևանի Հ. Խաչատրյանի անվան N 199 հիմնական դպրոց» ՊՈԱԿ</v>
      </c>
      <c r="E86" s="74">
        <v>0</v>
      </c>
      <c r="F86" s="74">
        <f>+'Հավելված N 3'!D70</f>
        <v>-63495.1</v>
      </c>
    </row>
    <row r="87" spans="2:7" ht="34.5">
      <c r="B87" s="128">
        <v>1183</v>
      </c>
      <c r="C87" s="128">
        <v>32002</v>
      </c>
      <c r="D87" s="68" t="s">
        <v>331</v>
      </c>
      <c r="E87" s="23">
        <f>+E89</f>
        <v>-942437.2</v>
      </c>
      <c r="F87" s="23">
        <f>+F89</f>
        <v>-1259302.9000000001</v>
      </c>
      <c r="G87" s="82"/>
    </row>
    <row r="88" spans="2:7">
      <c r="B88" s="128"/>
      <c r="C88" s="128"/>
      <c r="D88" s="2" t="s">
        <v>53</v>
      </c>
      <c r="E88" s="15"/>
      <c r="F88" s="15"/>
    </row>
    <row r="89" spans="2:7">
      <c r="B89" s="128"/>
      <c r="C89" s="128"/>
      <c r="D89" s="148" t="s">
        <v>139</v>
      </c>
      <c r="E89" s="22">
        <f>+E91+E93+E96+E98+E100</f>
        <v>-942437.2</v>
      </c>
      <c r="F89" s="22">
        <f>+F91+F93+F96+F98+F100</f>
        <v>-1259302.9000000001</v>
      </c>
    </row>
    <row r="90" spans="2:7" s="138" customFormat="1">
      <c r="B90" s="190"/>
      <c r="C90" s="190"/>
      <c r="D90" s="192" t="s">
        <v>85</v>
      </c>
      <c r="E90" s="151"/>
      <c r="F90" s="151"/>
    </row>
    <row r="91" spans="2:7">
      <c r="B91" s="262"/>
      <c r="C91" s="262"/>
      <c r="D91" s="24" t="s">
        <v>152</v>
      </c>
      <c r="E91" s="111">
        <f>SUM(E92:E92)</f>
        <v>0</v>
      </c>
      <c r="F91" s="111">
        <f>SUM(F92:F92)</f>
        <v>-45218.9</v>
      </c>
    </row>
    <row r="92" spans="2:7">
      <c r="B92" s="336"/>
      <c r="C92" s="336"/>
      <c r="D92" s="85" t="str">
        <f>+'Հավելված N 3'!C74</f>
        <v>«Երևանի Վ. Տերյանի անվան հ. 60 դպրոց» ՊՈԱԿ</v>
      </c>
      <c r="E92" s="74">
        <v>0</v>
      </c>
      <c r="F92" s="74">
        <f>+'Հավելված N 3'!D74</f>
        <v>-45218.9</v>
      </c>
    </row>
    <row r="93" spans="2:7">
      <c r="B93" s="262"/>
      <c r="C93" s="262"/>
      <c r="D93" s="24" t="s">
        <v>172</v>
      </c>
      <c r="E93" s="111">
        <f>SUM(E94:E95)</f>
        <v>-260420.8</v>
      </c>
      <c r="F93" s="111">
        <f>SUM(F94:F95)</f>
        <v>-316251.2</v>
      </c>
    </row>
    <row r="94" spans="2:7">
      <c r="B94" s="483"/>
      <c r="C94" s="483"/>
      <c r="D94" s="85" t="str">
        <f>+'Հավելված N 3'!C76</f>
        <v>«Մասիսի թիվ 5 ավագ դպրոց» ՊՈԱԿ</v>
      </c>
      <c r="E94" s="74">
        <v>0</v>
      </c>
      <c r="F94" s="74">
        <f>+'Հավելված N 3'!D76</f>
        <v>-2609.7000000000003</v>
      </c>
    </row>
    <row r="95" spans="2:7">
      <c r="B95" s="484"/>
      <c r="C95" s="484"/>
      <c r="D95" s="85" t="str">
        <f>+'Հավելված N 3'!C77</f>
        <v>«Բարձրաշենի միջնակարգ դպրոց»ՊՈԱԿ</v>
      </c>
      <c r="E95" s="74">
        <v>-260420.8</v>
      </c>
      <c r="F95" s="74">
        <f>+'Հավելված N 3'!D77</f>
        <v>-313641.5</v>
      </c>
    </row>
    <row r="96" spans="2:7">
      <c r="B96" s="262"/>
      <c r="C96" s="262"/>
      <c r="D96" s="24" t="s">
        <v>130</v>
      </c>
      <c r="E96" s="111">
        <f>SUM(E97:E97)</f>
        <v>-228226</v>
      </c>
      <c r="F96" s="111">
        <f>SUM(F97:F97)</f>
        <v>-301052.2</v>
      </c>
    </row>
    <row r="97" spans="2:7" ht="34.5">
      <c r="B97" s="336"/>
      <c r="C97" s="336"/>
      <c r="D97" s="85" t="str">
        <f>+'Հավելված N 3'!C79</f>
        <v>«Վաղարշապատի Մովսես Խորենացու անվան N 10 ավագ դպրոց» ՊՈԱԿ</v>
      </c>
      <c r="E97" s="74">
        <v>-228226</v>
      </c>
      <c r="F97" s="74">
        <f>+'Հավելված N 3'!D79</f>
        <v>-301052.2</v>
      </c>
    </row>
    <row r="98" spans="2:7">
      <c r="B98" s="262"/>
      <c r="C98" s="262"/>
      <c r="D98" s="24" t="s">
        <v>270</v>
      </c>
      <c r="E98" s="111">
        <f>SUM(E99:E99)</f>
        <v>-220329.8</v>
      </c>
      <c r="F98" s="111">
        <f>SUM(F99:F99)</f>
        <v>-285259.5</v>
      </c>
    </row>
    <row r="99" spans="2:7" ht="34.5">
      <c r="B99" s="336"/>
      <c r="C99" s="336"/>
      <c r="D99" s="85" t="str">
        <f>+'Հավելված N 3'!C81</f>
        <v>«Վարդենիսի Հ. Համբարձումյանի անվան ավագ դպրոց» ՊՈԱԿ</v>
      </c>
      <c r="E99" s="74">
        <v>-220329.8</v>
      </c>
      <c r="F99" s="74">
        <f>+'Հավելված N 3'!D81</f>
        <v>-285259.5</v>
      </c>
    </row>
    <row r="100" spans="2:7">
      <c r="B100" s="262"/>
      <c r="C100" s="262"/>
      <c r="D100" s="24" t="s">
        <v>170</v>
      </c>
      <c r="E100" s="111">
        <f>SUM(E101:E101)</f>
        <v>-233460.6</v>
      </c>
      <c r="F100" s="111">
        <f>SUM(F101:F101)</f>
        <v>-311521.10000000003</v>
      </c>
    </row>
    <row r="101" spans="2:7" ht="34.5">
      <c r="B101" s="336"/>
      <c r="C101" s="336"/>
      <c r="D101" s="85" t="str">
        <f>+'Հավելված N 3'!C83</f>
        <v>«Հրազդանի Լևոն Խեչոյանի անվան թիվ 10 ավագ դպրոց» ՊՈԱԿ</v>
      </c>
      <c r="E101" s="74">
        <v>-233460.6</v>
      </c>
      <c r="F101" s="74">
        <f>+'Հավելված N 3'!D83</f>
        <v>-311521.10000000003</v>
      </c>
    </row>
    <row r="102" spans="2:7" s="138" customFormat="1" ht="51.75">
      <c r="B102" s="195">
        <v>1183</v>
      </c>
      <c r="C102" s="196">
        <v>32003</v>
      </c>
      <c r="D102" s="197" t="s">
        <v>140</v>
      </c>
      <c r="E102" s="198">
        <f t="shared" ref="E102:F102" si="4">+E104</f>
        <v>1002513.7999999999</v>
      </c>
      <c r="F102" s="198">
        <f t="shared" si="4"/>
        <v>1442123.2999999998</v>
      </c>
    </row>
    <row r="103" spans="2:7" s="138" customFormat="1">
      <c r="B103" s="143"/>
      <c r="C103" s="143"/>
      <c r="D103" s="199" t="s">
        <v>54</v>
      </c>
      <c r="E103" s="201"/>
      <c r="F103" s="200"/>
    </row>
    <row r="104" spans="2:7" s="138" customFormat="1">
      <c r="B104" s="202"/>
      <c r="C104" s="202"/>
      <c r="D104" s="203" t="s">
        <v>139</v>
      </c>
      <c r="E104" s="204">
        <f>+E106+E108+E110+E112+E114+E117+E121+E124+E127+E130</f>
        <v>1002513.7999999999</v>
      </c>
      <c r="F104" s="204">
        <f>+F106+F108+F110+F112+F114+F117+F121+F124+F127+F130</f>
        <v>1442123.2999999998</v>
      </c>
      <c r="G104" s="318"/>
    </row>
    <row r="105" spans="2:7" s="138" customFormat="1">
      <c r="B105" s="190"/>
      <c r="C105" s="190"/>
      <c r="D105" s="192" t="s">
        <v>85</v>
      </c>
      <c r="E105" s="151"/>
      <c r="F105" s="151"/>
    </row>
    <row r="106" spans="2:7">
      <c r="B106" s="262"/>
      <c r="C106" s="262"/>
      <c r="D106" s="24" t="s">
        <v>111</v>
      </c>
      <c r="E106" s="111">
        <f>SUM(E107:E107)</f>
        <v>-5000</v>
      </c>
      <c r="F106" s="111">
        <f>SUM(F107:F107)</f>
        <v>0</v>
      </c>
    </row>
    <row r="107" spans="2:7" ht="18" customHeight="1">
      <c r="B107" s="360"/>
      <c r="C107" s="360"/>
      <c r="D107" s="85" t="s">
        <v>430</v>
      </c>
      <c r="E107" s="74">
        <v>-5000</v>
      </c>
      <c r="F107" s="74">
        <v>0</v>
      </c>
    </row>
    <row r="108" spans="2:7">
      <c r="B108" s="262"/>
      <c r="C108" s="262"/>
      <c r="D108" s="24" t="s">
        <v>172</v>
      </c>
      <c r="E108" s="111">
        <f>SUM(E109:E109)</f>
        <v>-5000</v>
      </c>
      <c r="F108" s="111">
        <f>SUM(F109:F109)</f>
        <v>0</v>
      </c>
    </row>
    <row r="109" spans="2:7" ht="18" customHeight="1">
      <c r="B109" s="360"/>
      <c r="C109" s="360"/>
      <c r="D109" s="85" t="s">
        <v>431</v>
      </c>
      <c r="E109" s="74">
        <v>-5000</v>
      </c>
      <c r="F109" s="74">
        <v>0</v>
      </c>
    </row>
    <row r="110" spans="2:7">
      <c r="B110" s="262"/>
      <c r="C110" s="262"/>
      <c r="D110" s="24" t="s">
        <v>130</v>
      </c>
      <c r="E110" s="111">
        <f>SUM(E111:E111)</f>
        <v>-5000</v>
      </c>
      <c r="F110" s="111">
        <f>SUM(F111:F111)</f>
        <v>0</v>
      </c>
    </row>
    <row r="111" spans="2:7" ht="34.5">
      <c r="B111" s="360"/>
      <c r="C111" s="360"/>
      <c r="D111" s="85" t="s">
        <v>432</v>
      </c>
      <c r="E111" s="74">
        <v>-5000</v>
      </c>
      <c r="F111" s="74">
        <v>0</v>
      </c>
    </row>
    <row r="112" spans="2:7">
      <c r="B112" s="262"/>
      <c r="C112" s="262"/>
      <c r="D112" s="24" t="s">
        <v>270</v>
      </c>
      <c r="E112" s="111">
        <f>SUM(E113:E113)</f>
        <v>-5000</v>
      </c>
      <c r="F112" s="111">
        <f>SUM(F113:F113)</f>
        <v>0</v>
      </c>
    </row>
    <row r="113" spans="2:6">
      <c r="B113" s="360"/>
      <c r="C113" s="360"/>
      <c r="D113" s="85" t="s">
        <v>433</v>
      </c>
      <c r="E113" s="74">
        <v>-5000</v>
      </c>
      <c r="F113" s="74">
        <v>0</v>
      </c>
    </row>
    <row r="114" spans="2:6">
      <c r="B114" s="262"/>
      <c r="C114" s="262"/>
      <c r="D114" s="24" t="s">
        <v>178</v>
      </c>
      <c r="E114" s="111">
        <f>SUM(E115:E116)</f>
        <v>132710.6</v>
      </c>
      <c r="F114" s="111">
        <f>SUM(F115:F116)</f>
        <v>180438.60000000003</v>
      </c>
    </row>
    <row r="115" spans="2:6">
      <c r="B115" s="483"/>
      <c r="C115" s="483"/>
      <c r="D115" s="85" t="str">
        <f>+'Հավելված N 3'!C87</f>
        <v>«Հագվու հիմնական դպրոց» ՊՈԱԿ</v>
      </c>
      <c r="E115" s="74">
        <v>0</v>
      </c>
      <c r="F115" s="74">
        <f>+'Հավելված N 3'!D87</f>
        <v>33021.800000000003</v>
      </c>
    </row>
    <row r="116" spans="2:6">
      <c r="B116" s="484"/>
      <c r="C116" s="484"/>
      <c r="D116" s="85" t="str">
        <f>+'Հավելված N 3'!C88</f>
        <v>«Մեդովկայի միջնակարգ դպրոց» ՊՈԱԿ</v>
      </c>
      <c r="E116" s="74">
        <f>+'Հավելված N 3'!D88-14706.2</f>
        <v>132710.6</v>
      </c>
      <c r="F116" s="74">
        <f>+'Հավելված N 3'!D88</f>
        <v>147416.80000000002</v>
      </c>
    </row>
    <row r="117" spans="2:6">
      <c r="B117" s="262"/>
      <c r="C117" s="262"/>
      <c r="D117" s="24" t="s">
        <v>170</v>
      </c>
      <c r="E117" s="111">
        <f>SUM(E118:E120)</f>
        <v>28539.300000000003</v>
      </c>
      <c r="F117" s="111">
        <f>SUM(F118:F120)</f>
        <v>33539.300000000003</v>
      </c>
    </row>
    <row r="118" spans="2:6">
      <c r="B118" s="483"/>
      <c r="C118" s="483"/>
      <c r="D118" s="85" t="str">
        <f>+'Հավելված N 3'!C90</f>
        <v xml:space="preserve"> Ջրառատի միջնակարգ դպրոց ՊՈԱԿ</v>
      </c>
      <c r="E118" s="74">
        <f>+'Հավելված N 3'!D90</f>
        <v>16119.4</v>
      </c>
      <c r="F118" s="74">
        <f>+'Հավելված N 3'!D90</f>
        <v>16119.4</v>
      </c>
    </row>
    <row r="119" spans="2:6">
      <c r="B119" s="487"/>
      <c r="C119" s="487"/>
      <c r="D119" s="85" t="str">
        <f>+'Հավելված N 3'!C91</f>
        <v xml:space="preserve"> Կաթնաղբյուրի հիմնական դպրոց ՊՈԱԿ</v>
      </c>
      <c r="E119" s="74">
        <f>+'Հավելված N 3'!D91</f>
        <v>17419.900000000001</v>
      </c>
      <c r="F119" s="74">
        <f>+'Հավելված N 3'!D91</f>
        <v>17419.900000000001</v>
      </c>
    </row>
    <row r="120" spans="2:6">
      <c r="B120" s="484"/>
      <c r="C120" s="484"/>
      <c r="D120" s="85" t="s">
        <v>434</v>
      </c>
      <c r="E120" s="74">
        <v>-5000</v>
      </c>
      <c r="F120" s="74">
        <v>0</v>
      </c>
    </row>
    <row r="121" spans="2:6">
      <c r="B121" s="262"/>
      <c r="C121" s="262"/>
      <c r="D121" s="24" t="s">
        <v>138</v>
      </c>
      <c r="E121" s="111">
        <f>SUM(E122:E123)</f>
        <v>141897.5</v>
      </c>
      <c r="F121" s="111">
        <f>SUM(F122:F123)</f>
        <v>314483.90000000002</v>
      </c>
    </row>
    <row r="122" spans="2:6">
      <c r="B122" s="483"/>
      <c r="C122" s="483"/>
      <c r="D122" s="85" t="str">
        <f>+'Հավելված N 3'!C93</f>
        <v>«Արեգնադեմի միջնակարգ դպրոց» ՊՈԱԿ</v>
      </c>
      <c r="E122" s="74">
        <v>0</v>
      </c>
      <c r="F122" s="74">
        <f>+'Հավելված N 3'!D93</f>
        <v>157403.29999999999</v>
      </c>
    </row>
    <row r="123" spans="2:6">
      <c r="B123" s="484"/>
      <c r="C123" s="484"/>
      <c r="D123" s="85" t="str">
        <f>+'Հավելված N 3'!C94</f>
        <v>«Կապսի միջնակարգ դպրոց» ՊՈԱԿ</v>
      </c>
      <c r="E123" s="74">
        <f>+'Հավելված N 3'!D94-15183.1</f>
        <v>141897.5</v>
      </c>
      <c r="F123" s="74">
        <f>+'Հավելված N 3'!D94</f>
        <v>157080.6</v>
      </c>
    </row>
    <row r="124" spans="2:6">
      <c r="B124" s="262"/>
      <c r="C124" s="262"/>
      <c r="D124" s="24" t="s">
        <v>312</v>
      </c>
      <c r="E124" s="111">
        <f>SUM(E125:E126)</f>
        <v>474617.79999999993</v>
      </c>
      <c r="F124" s="111">
        <f>SUM(F125:F126)</f>
        <v>540863.6</v>
      </c>
    </row>
    <row r="125" spans="2:6">
      <c r="B125" s="483"/>
      <c r="C125" s="483"/>
      <c r="D125" s="85" t="str">
        <f>+'Հավելված N 3'!C96</f>
        <v>«Վաղատինի միջնակարգ դպրոց» ՊՈԱԿ</v>
      </c>
      <c r="E125" s="74">
        <f>+'Հավելված N 3'!D96-11125.1</f>
        <v>258799.19999999998</v>
      </c>
      <c r="F125" s="74">
        <f>+'Հավելված N 3'!D96</f>
        <v>269924.3</v>
      </c>
    </row>
    <row r="126" spans="2:6">
      <c r="B126" s="484"/>
      <c r="C126" s="484"/>
      <c r="D126" s="85" t="str">
        <f>+'Հավելված N 3'!C97</f>
        <v>«Դարբասի միջնակարգ դպրոց» ՊՈԱԿ</v>
      </c>
      <c r="E126" s="74">
        <f>+'Հավելված N 3'!D97-55120.7</f>
        <v>215818.59999999998</v>
      </c>
      <c r="F126" s="74">
        <f>+'Հավելված N 3'!D97</f>
        <v>270939.3</v>
      </c>
    </row>
    <row r="127" spans="2:6">
      <c r="B127" s="262"/>
      <c r="C127" s="262"/>
      <c r="D127" s="24" t="s">
        <v>188</v>
      </c>
      <c r="E127" s="111">
        <f>SUM(E128:E129)</f>
        <v>-5000</v>
      </c>
      <c r="F127" s="111">
        <f>SUM(F128:F129)</f>
        <v>85654.3</v>
      </c>
    </row>
    <row r="128" spans="2:6">
      <c r="B128" s="483"/>
      <c r="C128" s="483"/>
      <c r="D128" s="85" t="str">
        <f>+'Հավելված N 3'!C99</f>
        <v>Եղեգիսի միջնակարգ դպրոց ՊՈԱԿ</v>
      </c>
      <c r="E128" s="74">
        <v>0</v>
      </c>
      <c r="F128" s="74">
        <f>+'Հավելված N 3'!D99</f>
        <v>85654.3</v>
      </c>
    </row>
    <row r="129" spans="2:7">
      <c r="B129" s="484"/>
      <c r="C129" s="484"/>
      <c r="D129" s="85" t="s">
        <v>435</v>
      </c>
      <c r="E129" s="74">
        <v>-5000</v>
      </c>
      <c r="F129" s="74">
        <v>0</v>
      </c>
    </row>
    <row r="130" spans="2:7">
      <c r="B130" s="262"/>
      <c r="C130" s="262"/>
      <c r="D130" s="24" t="s">
        <v>318</v>
      </c>
      <c r="E130" s="111">
        <f>SUM(E131:E133)</f>
        <v>249748.59999999998</v>
      </c>
      <c r="F130" s="111">
        <f>SUM(F131:F133)</f>
        <v>287143.59999999998</v>
      </c>
    </row>
    <row r="131" spans="2:7" ht="34.5">
      <c r="B131" s="483"/>
      <c r="C131" s="483"/>
      <c r="D131" s="85" t="str">
        <f>+'Հավելված N 3'!C101</f>
        <v>«Կիրանցի Գ.Վարդանյանի անվ. հիմնական դպրոց» ՊՈԱԿ</v>
      </c>
      <c r="E131" s="74">
        <f>+'Հավելված N 3'!D101-27395</f>
        <v>259748.59999999998</v>
      </c>
      <c r="F131" s="74">
        <f>+'Հավելված N 3'!D101</f>
        <v>287143.59999999998</v>
      </c>
    </row>
    <row r="132" spans="2:7">
      <c r="B132" s="487"/>
      <c r="C132" s="487"/>
      <c r="D132" s="85" t="s">
        <v>436</v>
      </c>
      <c r="E132" s="74">
        <v>-5000</v>
      </c>
      <c r="F132" s="74">
        <v>0</v>
      </c>
    </row>
    <row r="133" spans="2:7">
      <c r="B133" s="484"/>
      <c r="C133" s="484"/>
      <c r="D133" s="85" t="s">
        <v>437</v>
      </c>
      <c r="E133" s="74">
        <v>-5000</v>
      </c>
      <c r="F133" s="74">
        <v>0</v>
      </c>
    </row>
    <row r="134" spans="2:7" ht="51.75">
      <c r="B134" s="130">
        <v>1183</v>
      </c>
      <c r="C134" s="130">
        <v>32004</v>
      </c>
      <c r="D134" s="68" t="s">
        <v>173</v>
      </c>
      <c r="E134" s="84">
        <f t="shared" ref="E134:F134" si="5">+E136</f>
        <v>-20003</v>
      </c>
      <c r="F134" s="84">
        <f t="shared" si="5"/>
        <v>-20003</v>
      </c>
      <c r="G134" s="38"/>
    </row>
    <row r="135" spans="2:7">
      <c r="B135" s="130"/>
      <c r="C135" s="130"/>
      <c r="D135" s="86" t="s">
        <v>53</v>
      </c>
      <c r="E135" s="87"/>
      <c r="F135" s="87"/>
    </row>
    <row r="136" spans="2:7">
      <c r="B136" s="130"/>
      <c r="C136" s="130"/>
      <c r="D136" s="148" t="s">
        <v>139</v>
      </c>
      <c r="E136" s="88">
        <f>+E138</f>
        <v>-20003</v>
      </c>
      <c r="F136" s="88">
        <f>+F138</f>
        <v>-20003</v>
      </c>
    </row>
    <row r="137" spans="2:7" ht="17.45" customHeight="1">
      <c r="B137" s="130"/>
      <c r="C137" s="130"/>
      <c r="D137" s="86" t="s">
        <v>85</v>
      </c>
      <c r="E137" s="87"/>
      <c r="F137" s="87"/>
    </row>
    <row r="138" spans="2:7">
      <c r="B138" s="90"/>
      <c r="C138" s="90"/>
      <c r="D138" s="24" t="s">
        <v>312</v>
      </c>
      <c r="E138" s="111">
        <f>+E139</f>
        <v>-20003</v>
      </c>
      <c r="F138" s="111">
        <f>+F139</f>
        <v>-20003</v>
      </c>
    </row>
    <row r="139" spans="2:7">
      <c r="B139" s="262"/>
      <c r="C139" s="262"/>
      <c r="D139" s="101" t="str">
        <f>+'Հավելված N 3'!C105</f>
        <v>«Կապանի N 9 ավագ դպրոց» ՊՈԱԿ</v>
      </c>
      <c r="E139" s="266">
        <v>-20003</v>
      </c>
      <c r="F139" s="74">
        <f>+'Հավելված N 3'!D105</f>
        <v>-20003</v>
      </c>
    </row>
    <row r="140" spans="2:7" s="138" customFormat="1" ht="51.75">
      <c r="B140" s="250">
        <v>1183</v>
      </c>
      <c r="C140" s="250">
        <v>32007</v>
      </c>
      <c r="D140" s="197" t="s">
        <v>184</v>
      </c>
      <c r="E140" s="142">
        <f>+E142</f>
        <v>708989.00000000012</v>
      </c>
      <c r="F140" s="142">
        <f>+F142</f>
        <v>798147.79999999993</v>
      </c>
    </row>
    <row r="141" spans="2:7" s="138" customFormat="1">
      <c r="B141" s="194"/>
      <c r="C141" s="194"/>
      <c r="D141" s="192" t="s">
        <v>53</v>
      </c>
      <c r="E141" s="145"/>
      <c r="F141" s="145"/>
    </row>
    <row r="142" spans="2:7" s="138" customFormat="1">
      <c r="B142" s="190"/>
      <c r="C142" s="190"/>
      <c r="D142" s="193" t="s">
        <v>139</v>
      </c>
      <c r="E142" s="149">
        <f>+E144+E149+E151+E157+E163</f>
        <v>708989.00000000012</v>
      </c>
      <c r="F142" s="149">
        <f>+F144+F149+F151+F157+F163</f>
        <v>798147.79999999993</v>
      </c>
    </row>
    <row r="143" spans="2:7" s="138" customFormat="1">
      <c r="B143" s="190"/>
      <c r="C143" s="190"/>
      <c r="D143" s="192" t="s">
        <v>85</v>
      </c>
      <c r="E143" s="151"/>
      <c r="F143" s="151"/>
    </row>
    <row r="144" spans="2:7" s="138" customFormat="1">
      <c r="B144" s="190"/>
      <c r="C144" s="190"/>
      <c r="D144" s="191" t="s">
        <v>152</v>
      </c>
      <c r="E144" s="154">
        <f>SUM(E145:E148)</f>
        <v>305788</v>
      </c>
      <c r="F144" s="154">
        <f>SUM(F145:F148)</f>
        <v>391664.5</v>
      </c>
    </row>
    <row r="145" spans="2:6" s="187" customFormat="1" ht="34.5">
      <c r="B145" s="485"/>
      <c r="C145" s="485"/>
      <c r="D145" s="189" t="str">
        <f>+'Հավելված N 3'!C109</f>
        <v>«Երևանի Միքայել Նալբանդյանի անվան հ.33 հիմնական դպրոց» ՊՈԱԿ</v>
      </c>
      <c r="E145" s="188">
        <f>+'Հավելված N 3'!D109-22308.3</f>
        <v>58781.400000000009</v>
      </c>
      <c r="F145" s="188">
        <f>+'Հավելված N 3'!D109</f>
        <v>81089.700000000012</v>
      </c>
    </row>
    <row r="146" spans="2:6" s="187" customFormat="1" ht="34.5">
      <c r="B146" s="486"/>
      <c r="C146" s="486"/>
      <c r="D146" s="189" t="str">
        <f>+'Հավելված N 3'!C110</f>
        <v>«Երևանի Ս. Խանզադյանի անվան հ. 184 ավագ դպրոց» ՊՈԱԿ</v>
      </c>
      <c r="E146" s="188">
        <f>+'Հավելված N 3'!D110-63568.2</f>
        <v>71839.499999999985</v>
      </c>
      <c r="F146" s="188">
        <f>+'Հավելված N 3'!D110</f>
        <v>135407.69999999998</v>
      </c>
    </row>
    <row r="147" spans="2:6" s="187" customFormat="1" ht="34.5">
      <c r="B147" s="486"/>
      <c r="C147" s="486"/>
      <c r="D147" s="189" t="str">
        <f>+'Հավելված N 3'!C111</f>
        <v>«Երևանի Ա. Երզնկյանի անվան հ. 118 ավագ դպրոց» ՊՈԱԿ</v>
      </c>
      <c r="E147" s="188">
        <f>+'Հավելված N 3'!D111</f>
        <v>101472.4</v>
      </c>
      <c r="F147" s="188">
        <f>+'Հավելված N 3'!D111</f>
        <v>101472.4</v>
      </c>
    </row>
    <row r="148" spans="2:6" s="187" customFormat="1" ht="34.5">
      <c r="B148" s="472"/>
      <c r="C148" s="472"/>
      <c r="D148" s="189" t="str">
        <f>+'Հավելված N 3'!C112</f>
        <v>«Երևանի Սիլվա Կապուտիկյանի անվան հ. 145 հիմնական դպրոց» ՊՈԱԿ</v>
      </c>
      <c r="E148" s="188">
        <f>+'Հավելված N 3'!D112</f>
        <v>73694.7</v>
      </c>
      <c r="F148" s="188">
        <f>+'Հավելված N 3'!D112</f>
        <v>73694.7</v>
      </c>
    </row>
    <row r="149" spans="2:6" s="138" customFormat="1">
      <c r="B149" s="190"/>
      <c r="C149" s="190"/>
      <c r="D149" s="191" t="s">
        <v>111</v>
      </c>
      <c r="E149" s="154">
        <f>+E150</f>
        <v>0</v>
      </c>
      <c r="F149" s="154">
        <f>+F150</f>
        <v>22982.3</v>
      </c>
    </row>
    <row r="150" spans="2:6" s="187" customFormat="1">
      <c r="B150" s="190"/>
      <c r="C150" s="190"/>
      <c r="D150" s="189" t="str">
        <f>+'Հավելված N 3'!C114</f>
        <v>«Թալինի ավագ դպրոց» ՊՈԱԿ</v>
      </c>
      <c r="E150" s="188">
        <v>0</v>
      </c>
      <c r="F150" s="188">
        <f>+'Հավելված N 3'!D114</f>
        <v>22982.3</v>
      </c>
    </row>
    <row r="151" spans="2:6" s="138" customFormat="1">
      <c r="B151" s="190"/>
      <c r="C151" s="190"/>
      <c r="D151" s="191" t="s">
        <v>130</v>
      </c>
      <c r="E151" s="154">
        <f>SUM(E152:E156)</f>
        <v>118870.39999999999</v>
      </c>
      <c r="F151" s="154">
        <f>SUM(F152:F156)</f>
        <v>129763.9</v>
      </c>
    </row>
    <row r="152" spans="2:6" s="187" customFormat="1">
      <c r="B152" s="485"/>
      <c r="C152" s="485"/>
      <c r="D152" s="189" t="str">
        <f>+'Հավելված N 3'!C116</f>
        <v>«Արտիմետի միջնակարգ դպրոց» ՊՈԱԿ</v>
      </c>
      <c r="E152" s="188">
        <f>+'Հավելված N 3'!D116</f>
        <v>-12477.4</v>
      </c>
      <c r="F152" s="188">
        <f>+'Հավելված N 3'!D116</f>
        <v>-12477.4</v>
      </c>
    </row>
    <row r="153" spans="2:6" s="187" customFormat="1" ht="34.5">
      <c r="B153" s="486"/>
      <c r="C153" s="486"/>
      <c r="D153" s="189" t="str">
        <f>+'Հավելված N 3'!C117</f>
        <v>«Արագածի Մ. Մեխակյանի անվան միջնակարգ դպրոց» ՊՈԱԿ</v>
      </c>
      <c r="E153" s="188">
        <f>+'Հավելված N 3'!D117-10893.5</f>
        <v>129314.4</v>
      </c>
      <c r="F153" s="188">
        <f>+'Հավելված N 3'!D117</f>
        <v>140207.9</v>
      </c>
    </row>
    <row r="154" spans="2:6" s="187" customFormat="1" ht="34.5">
      <c r="B154" s="486"/>
      <c r="C154" s="486"/>
      <c r="D154" s="189" t="str">
        <f>+'Հավելված N 3'!C118</f>
        <v>«Վաղարշապատի Երվանդ Օտյանի անվան N 7 հիմնական դպրոց » ՊՈԱԿ</v>
      </c>
      <c r="E154" s="188">
        <f>+'Հավելված N 3'!D118</f>
        <v>15381.5</v>
      </c>
      <c r="F154" s="188">
        <f>+'Հավելված N 3'!D118</f>
        <v>15381.5</v>
      </c>
    </row>
    <row r="155" spans="2:6" s="187" customFormat="1" ht="34.5">
      <c r="B155" s="486"/>
      <c r="C155" s="486"/>
      <c r="D155" s="189" t="str">
        <f>+'Հավելված N 3'!C119</f>
        <v>«Ջանֆիդայի Է. Դաշտոյանի անվան միջնակարգ դպրոց» ՊՈԱԿ</v>
      </c>
      <c r="E155" s="188">
        <f>+'Հավելված N 3'!D119</f>
        <v>-40261.300000000003</v>
      </c>
      <c r="F155" s="188">
        <f>+'Հավելված N 3'!D119</f>
        <v>-40261.300000000003</v>
      </c>
    </row>
    <row r="156" spans="2:6" s="187" customFormat="1">
      <c r="B156" s="472"/>
      <c r="C156" s="472"/>
      <c r="D156" s="189" t="str">
        <f>+'Հավելված N 3'!C120</f>
        <v>«Արմավիրի N 6 հիմնական դպրոց» ՊՈԱԿ</v>
      </c>
      <c r="E156" s="188">
        <f>+'Հավելված N 3'!D120</f>
        <v>26913.199999999997</v>
      </c>
      <c r="F156" s="188">
        <f>+'Հավելված N 3'!D120</f>
        <v>26913.199999999997</v>
      </c>
    </row>
    <row r="157" spans="2:6" s="138" customFormat="1">
      <c r="B157" s="190"/>
      <c r="C157" s="190"/>
      <c r="D157" s="191" t="s">
        <v>178</v>
      </c>
      <c r="E157" s="154">
        <f>SUM(E158:E162)</f>
        <v>391296.80000000005</v>
      </c>
      <c r="F157" s="154">
        <f>SUM(F158:F162)</f>
        <v>415369.6</v>
      </c>
    </row>
    <row r="158" spans="2:6" s="187" customFormat="1" ht="34.5">
      <c r="B158" s="485"/>
      <c r="C158" s="485"/>
      <c r="D158" s="189" t="str">
        <f>+'Հավելված N 3'!C122</f>
        <v>«Վանաձորի Խ. Աբովյանի անվան թիվ 9 հիմնական դպրոց» ՊՈԱԿ</v>
      </c>
      <c r="E158" s="188">
        <f>+'Հավելված N 3'!D122-13586.3</f>
        <v>61443.199999999983</v>
      </c>
      <c r="F158" s="188">
        <f>+'Հավելված N 3'!D122</f>
        <v>75029.499999999985</v>
      </c>
    </row>
    <row r="159" spans="2:6" s="187" customFormat="1" ht="34.5">
      <c r="B159" s="486"/>
      <c r="C159" s="486"/>
      <c r="D159" s="189" t="str">
        <f>+'Հավելված N 3'!C123</f>
        <v>«Վանաձորի Ծովակալ Իսակովի  անվան թիվ 23 հիմնական դպրոց ՊՈԱԿ</v>
      </c>
      <c r="E159" s="188">
        <f>+'Հավելված N 3'!D123-8690.3</f>
        <v>40337.300000000003</v>
      </c>
      <c r="F159" s="188">
        <f>+'Հավելված N 3'!D123</f>
        <v>49027.6</v>
      </c>
    </row>
    <row r="160" spans="2:6" s="187" customFormat="1">
      <c r="B160" s="486"/>
      <c r="C160" s="486"/>
      <c r="D160" s="189" t="str">
        <f>+'Հավելված N 3'!C124</f>
        <v>Ստեփանավանի N1 վարժարան ՊՈԱԿ</v>
      </c>
      <c r="E160" s="188">
        <f>+'Հավելված N 3'!D124-1796.2</f>
        <v>83012.2</v>
      </c>
      <c r="F160" s="188">
        <f>+'Հավելված N 3'!D124</f>
        <v>84808.4</v>
      </c>
    </row>
    <row r="161" spans="2:6" s="187" customFormat="1">
      <c r="B161" s="486"/>
      <c r="C161" s="486"/>
      <c r="D161" s="189" t="str">
        <f>+'Հավելված N 3'!C125</f>
        <v>«Ագարակի միջնակարգ դպրոց» ՊՈԱԿ</v>
      </c>
      <c r="E161" s="188">
        <f>+'Հավելված N 3'!D125</f>
        <v>111542.20000000001</v>
      </c>
      <c r="F161" s="188">
        <f>+'Հավելված N 3'!D125</f>
        <v>111542.20000000001</v>
      </c>
    </row>
    <row r="162" spans="2:6" s="187" customFormat="1">
      <c r="B162" s="472"/>
      <c r="C162" s="472"/>
      <c r="D162" s="189" t="str">
        <f>+'Հավելված N 3'!C126</f>
        <v>«Վարդաբլուրի միջնակարգ դպրոց» ՊՈԱԿ</v>
      </c>
      <c r="E162" s="188">
        <f>+'Հավելված N 3'!D126</f>
        <v>94961.900000000009</v>
      </c>
      <c r="F162" s="188">
        <f>+'Հավելված N 3'!D126</f>
        <v>94961.900000000009</v>
      </c>
    </row>
    <row r="163" spans="2:6" s="138" customFormat="1">
      <c r="B163" s="190"/>
      <c r="C163" s="190"/>
      <c r="D163" s="191" t="s">
        <v>138</v>
      </c>
      <c r="E163" s="154">
        <f>+E164</f>
        <v>-106966.2</v>
      </c>
      <c r="F163" s="154">
        <f>+F164</f>
        <v>-161632.5</v>
      </c>
    </row>
    <row r="164" spans="2:6" s="187" customFormat="1" ht="34.5">
      <c r="B164" s="190"/>
      <c r="C164" s="190"/>
      <c r="D164" s="189" t="str">
        <f>+'Հավելված N 3'!C128</f>
        <v>«Ախուրյանի Նիկոլ Աղբալյանի անվան ավագ դպրոց»ՊՈԱԿ</v>
      </c>
      <c r="E164" s="188">
        <v>-106966.2</v>
      </c>
      <c r="F164" s="188">
        <f>+'Հավելված N 3'!D128</f>
        <v>-161632.5</v>
      </c>
    </row>
    <row r="165" spans="2:6" s="138" customFormat="1" ht="51.75">
      <c r="B165" s="333">
        <v>1183</v>
      </c>
      <c r="C165" s="333">
        <v>32009</v>
      </c>
      <c r="D165" s="197" t="s">
        <v>408</v>
      </c>
      <c r="E165" s="142">
        <f>+E167</f>
        <v>63076.900000000009</v>
      </c>
      <c r="F165" s="142">
        <f>+F167</f>
        <v>314836.60000000003</v>
      </c>
    </row>
    <row r="166" spans="2:6" s="138" customFormat="1">
      <c r="B166" s="194"/>
      <c r="C166" s="194"/>
      <c r="D166" s="192" t="s">
        <v>53</v>
      </c>
      <c r="E166" s="145"/>
      <c r="F166" s="145"/>
    </row>
    <row r="167" spans="2:6" s="138" customFormat="1">
      <c r="B167" s="190"/>
      <c r="C167" s="190"/>
      <c r="D167" s="193" t="s">
        <v>139</v>
      </c>
      <c r="E167" s="149">
        <f>+E169+E172+E177+E179+E181</f>
        <v>63076.900000000009</v>
      </c>
      <c r="F167" s="149">
        <f>+F169+F172+F177+F179+F181</f>
        <v>314836.60000000003</v>
      </c>
    </row>
    <row r="168" spans="2:6" s="138" customFormat="1">
      <c r="B168" s="190"/>
      <c r="C168" s="190"/>
      <c r="D168" s="192" t="s">
        <v>85</v>
      </c>
      <c r="E168" s="151"/>
      <c r="F168" s="151"/>
    </row>
    <row r="169" spans="2:6" s="138" customFormat="1">
      <c r="B169" s="190"/>
      <c r="C169" s="190"/>
      <c r="D169" s="191" t="s">
        <v>152</v>
      </c>
      <c r="E169" s="154">
        <f>SUM(E170:E171)</f>
        <v>24616.2</v>
      </c>
      <c r="F169" s="154">
        <f>SUM(F170:F171)</f>
        <v>42681.9</v>
      </c>
    </row>
    <row r="170" spans="2:6" s="187" customFormat="1" ht="34.5">
      <c r="B170" s="488"/>
      <c r="C170" s="488"/>
      <c r="D170" s="189" t="str">
        <f>+'Հավելված N 3'!C132</f>
        <v>«Երևանի Մ. Սարյանի անվան հ. 86 հիմնական դպրոց» ՊՈԱԿ</v>
      </c>
      <c r="E170" s="188">
        <f>+'Հավելված N 3'!D132</f>
        <v>24616.2</v>
      </c>
      <c r="F170" s="188">
        <f>+'Հավելված N 3'!D132</f>
        <v>24616.2</v>
      </c>
    </row>
    <row r="171" spans="2:6" s="187" customFormat="1">
      <c r="B171" s="488"/>
      <c r="C171" s="488"/>
      <c r="D171" s="189" t="str">
        <f>+'Հավելված N 3'!C133</f>
        <v>«Երևանի հ. 136 հիմնական դպրոց» ՊՈԱԿ</v>
      </c>
      <c r="E171" s="188">
        <v>0</v>
      </c>
      <c r="F171" s="188">
        <f>+'Հավելված N 3'!D133</f>
        <v>18065.7</v>
      </c>
    </row>
    <row r="172" spans="2:6" s="138" customFormat="1">
      <c r="B172" s="190"/>
      <c r="C172" s="190"/>
      <c r="D172" s="191" t="s">
        <v>130</v>
      </c>
      <c r="E172" s="154">
        <f>SUM(E173:E176)</f>
        <v>0</v>
      </c>
      <c r="F172" s="154">
        <f>SUM(F173:F176)</f>
        <v>3566.3</v>
      </c>
    </row>
    <row r="173" spans="2:6" s="187" customFormat="1">
      <c r="B173" s="488"/>
      <c r="C173" s="488"/>
      <c r="D173" s="345" t="str">
        <f>+'Հավելված N 3'!C135</f>
        <v>Շահումյանի միջնակարգ դպրոց ՊՈԱԿ</v>
      </c>
      <c r="E173" s="188">
        <v>0</v>
      </c>
      <c r="F173" s="188">
        <f>+'Հավելված N 3'!D135</f>
        <v>2152.9</v>
      </c>
    </row>
    <row r="174" spans="2:6" s="187" customFormat="1">
      <c r="B174" s="488"/>
      <c r="C174" s="488"/>
      <c r="D174" s="345" t="str">
        <f>+'Հավելված N 3'!C136</f>
        <v>«Փշատավանի միջնակարգ դպրոց» ՊՈԱԿ</v>
      </c>
      <c r="E174" s="188">
        <v>0</v>
      </c>
      <c r="F174" s="188">
        <f>+'Հավելված N 3'!D136</f>
        <v>278.10000000000002</v>
      </c>
    </row>
    <row r="175" spans="2:6" s="187" customFormat="1">
      <c r="B175" s="488"/>
      <c r="C175" s="488"/>
      <c r="D175" s="345" t="str">
        <f>+'Հավելված N 3'!C137</f>
        <v>«Սարդարապատի միջնակարգ դպրոց» ՊՈԱԿ</v>
      </c>
      <c r="E175" s="188">
        <v>0</v>
      </c>
      <c r="F175" s="188">
        <f>+'Հավելված N 3'!D137</f>
        <v>622.9</v>
      </c>
    </row>
    <row r="176" spans="2:6" s="187" customFormat="1">
      <c r="B176" s="488"/>
      <c r="C176" s="488"/>
      <c r="D176" s="345" t="str">
        <f>+'Հավելված N 3'!C138</f>
        <v>«Արմավիրի հ. 8 հիմնական դպրոց» ՊՈԱԿ</v>
      </c>
      <c r="E176" s="188">
        <v>0</v>
      </c>
      <c r="F176" s="188">
        <f>+'Հավելված N 3'!D138</f>
        <v>512.4</v>
      </c>
    </row>
    <row r="177" spans="2:6" s="138" customFormat="1">
      <c r="B177" s="190"/>
      <c r="C177" s="190"/>
      <c r="D177" s="191" t="s">
        <v>270</v>
      </c>
      <c r="E177" s="154">
        <f>+E178</f>
        <v>0</v>
      </c>
      <c r="F177" s="154">
        <f>+F178</f>
        <v>112813</v>
      </c>
    </row>
    <row r="178" spans="2:6" s="187" customFormat="1">
      <c r="B178" s="342"/>
      <c r="C178" s="342"/>
      <c r="D178" s="345" t="str">
        <f>+'Հավելված N 3'!C140</f>
        <v>«Ակունք գյուղի միջնակարգ դպրոց» ՊՈԱԿ</v>
      </c>
      <c r="E178" s="188">
        <v>0</v>
      </c>
      <c r="F178" s="188">
        <f>+'Հավելված N 3'!D140</f>
        <v>112813</v>
      </c>
    </row>
    <row r="179" spans="2:6" s="138" customFormat="1">
      <c r="B179" s="190"/>
      <c r="C179" s="190"/>
      <c r="D179" s="191" t="s">
        <v>178</v>
      </c>
      <c r="E179" s="154">
        <f>+E180</f>
        <v>38460.700000000004</v>
      </c>
      <c r="F179" s="154">
        <f>+F180</f>
        <v>38460.700000000004</v>
      </c>
    </row>
    <row r="180" spans="2:6" s="187" customFormat="1" ht="34.5">
      <c r="B180" s="342"/>
      <c r="C180" s="342"/>
      <c r="D180" s="345" t="str">
        <f>+'Հավելված N 3'!C142</f>
        <v>«Վանաձորի Ղևոնդ Ալիշանի անվան N 27 հիմնական դպրոց» ՊՈԱԿ</v>
      </c>
      <c r="E180" s="188">
        <f>+'Հավելված N 3'!D142</f>
        <v>38460.700000000004</v>
      </c>
      <c r="F180" s="188">
        <f>+'Հավելված N 3'!D142</f>
        <v>38460.700000000004</v>
      </c>
    </row>
    <row r="181" spans="2:6" s="138" customFormat="1">
      <c r="B181" s="190"/>
      <c r="C181" s="190"/>
      <c r="D181" s="191" t="s">
        <v>188</v>
      </c>
      <c r="E181" s="154">
        <f>+E182</f>
        <v>0</v>
      </c>
      <c r="F181" s="154">
        <f>+F182</f>
        <v>117314.7</v>
      </c>
    </row>
    <row r="182" spans="2:6" s="187" customFormat="1" ht="34.5">
      <c r="B182" s="342"/>
      <c r="C182" s="342"/>
      <c r="D182" s="345" t="str">
        <f>+'Հավելված N 3'!C144</f>
        <v>«ՀՀ Վայոց Ձորի մարզի Շատինի միջնակարգ դպրոց» ՊՈԱԿ</v>
      </c>
      <c r="E182" s="188">
        <v>0</v>
      </c>
      <c r="F182" s="188">
        <f>+'Հավելված N 3'!D144</f>
        <v>117314.7</v>
      </c>
    </row>
  </sheetData>
  <mergeCells count="43">
    <mergeCell ref="C173:C176"/>
    <mergeCell ref="B173:B176"/>
    <mergeCell ref="B125:B126"/>
    <mergeCell ref="C125:C126"/>
    <mergeCell ref="C158:C162"/>
    <mergeCell ref="B158:B162"/>
    <mergeCell ref="C152:C156"/>
    <mergeCell ref="B152:B156"/>
    <mergeCell ref="C145:C148"/>
    <mergeCell ref="B145:B148"/>
    <mergeCell ref="C131:C133"/>
    <mergeCell ref="B131:B133"/>
    <mergeCell ref="C128:C129"/>
    <mergeCell ref="B128:B129"/>
    <mergeCell ref="B170:B171"/>
    <mergeCell ref="C170:C171"/>
    <mergeCell ref="B115:B116"/>
    <mergeCell ref="B122:B123"/>
    <mergeCell ref="C122:C123"/>
    <mergeCell ref="C56:C58"/>
    <mergeCell ref="B56:B58"/>
    <mergeCell ref="C62:C63"/>
    <mergeCell ref="B62:B63"/>
    <mergeCell ref="B65:B66"/>
    <mergeCell ref="C65:C66"/>
    <mergeCell ref="C94:C95"/>
    <mergeCell ref="B94:B95"/>
    <mergeCell ref="C115:C116"/>
    <mergeCell ref="C85:C86"/>
    <mergeCell ref="B85:B86"/>
    <mergeCell ref="C118:C120"/>
    <mergeCell ref="B118:B120"/>
    <mergeCell ref="D1:F1"/>
    <mergeCell ref="B5:F5"/>
    <mergeCell ref="B9:C9"/>
    <mergeCell ref="D9:D11"/>
    <mergeCell ref="C10:C11"/>
    <mergeCell ref="B10:B11"/>
    <mergeCell ref="F10:F11"/>
    <mergeCell ref="E10:E11"/>
    <mergeCell ref="E9:F9"/>
    <mergeCell ref="D3:F3"/>
    <mergeCell ref="D2:F2"/>
  </mergeCells>
  <pageMargins left="0.2" right="0.2" top="0.25" bottom="0.25" header="0.05" footer="0.05"/>
  <pageSetup paperSize="9" scale="5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82"/>
  <sheetViews>
    <sheetView zoomScale="85" zoomScaleNormal="85" zoomScaleSheetLayoutView="100" workbookViewId="0">
      <selection activeCell="C7" sqref="C7"/>
    </sheetView>
  </sheetViews>
  <sheetFormatPr defaultColWidth="9.125" defaultRowHeight="17.25"/>
  <cols>
    <col min="1" max="1" width="5.25" style="6" customWidth="1"/>
    <col min="2" max="2" width="24.625" style="6" customWidth="1"/>
    <col min="3" max="3" width="67.875" style="6" customWidth="1"/>
    <col min="4" max="5" width="25" style="6" customWidth="1"/>
    <col min="6" max="6" width="32" style="6" customWidth="1"/>
    <col min="7" max="7" width="49.875" style="6" customWidth="1"/>
    <col min="8" max="16384" width="9.125" style="6"/>
  </cols>
  <sheetData>
    <row r="1" spans="1:5" ht="37.5" customHeight="1">
      <c r="C1" s="512" t="s">
        <v>445</v>
      </c>
      <c r="D1" s="512"/>
      <c r="E1" s="512"/>
    </row>
    <row r="2" spans="1:5" ht="17.45" customHeight="1">
      <c r="C2" s="511" t="s">
        <v>126</v>
      </c>
      <c r="D2" s="511"/>
      <c r="E2" s="511"/>
    </row>
    <row r="3" spans="1:5" ht="17.45" customHeight="1">
      <c r="C3" s="511" t="s">
        <v>7</v>
      </c>
      <c r="D3" s="511"/>
      <c r="E3" s="511"/>
    </row>
    <row r="6" spans="1:5" ht="59.45" customHeight="1">
      <c r="A6" s="45"/>
      <c r="B6" s="518" t="s">
        <v>226</v>
      </c>
      <c r="C6" s="518"/>
      <c r="D6" s="518"/>
      <c r="E6" s="518"/>
    </row>
    <row r="7" spans="1:5" ht="23.45" customHeight="1"/>
    <row r="8" spans="1:5" ht="21.95" customHeight="1">
      <c r="A8" s="517" t="s">
        <v>108</v>
      </c>
      <c r="B8" s="517"/>
      <c r="C8" s="517"/>
      <c r="D8" s="517"/>
      <c r="E8" s="517"/>
    </row>
    <row r="9" spans="1:5" ht="38.85" customHeight="1">
      <c r="C9" s="519" t="s">
        <v>102</v>
      </c>
      <c r="D9" s="519"/>
      <c r="E9" s="16"/>
    </row>
    <row r="10" spans="1:5">
      <c r="B10" s="513" t="s">
        <v>8</v>
      </c>
      <c r="C10" s="514"/>
      <c r="D10" s="515"/>
      <c r="E10" s="516"/>
    </row>
    <row r="11" spans="1:5" s="32" customFormat="1">
      <c r="B11" s="46"/>
      <c r="C11" s="46"/>
      <c r="D11" s="47"/>
      <c r="E11" s="47"/>
    </row>
    <row r="12" spans="1:5" s="32" customFormat="1">
      <c r="B12" s="46"/>
      <c r="C12" s="46"/>
    </row>
    <row r="13" spans="1:5" s="8" customFormat="1">
      <c r="B13" s="177" t="s">
        <v>1</v>
      </c>
      <c r="C13" s="177" t="s">
        <v>2</v>
      </c>
      <c r="D13" s="178"/>
      <c r="E13" s="178"/>
    </row>
    <row r="14" spans="1:5" s="8" customFormat="1" ht="34.5">
      <c r="B14" s="179">
        <v>1045</v>
      </c>
      <c r="C14" s="216" t="s">
        <v>183</v>
      </c>
      <c r="D14" s="177"/>
      <c r="E14" s="177"/>
    </row>
    <row r="15" spans="1:5" s="8" customFormat="1"/>
    <row r="16" spans="1:5" s="8" customFormat="1" ht="18" customHeight="1">
      <c r="B16" s="491" t="s">
        <v>3</v>
      </c>
      <c r="C16" s="492"/>
      <c r="D16" s="493" t="s">
        <v>106</v>
      </c>
      <c r="E16" s="494"/>
    </row>
    <row r="17" spans="2:6" s="8" customFormat="1" ht="37.15" customHeight="1">
      <c r="B17" s="157" t="s">
        <v>4</v>
      </c>
      <c r="C17" s="170">
        <v>1045</v>
      </c>
      <c r="D17" s="495"/>
      <c r="E17" s="496"/>
    </row>
    <row r="18" spans="2:6" s="8" customFormat="1">
      <c r="B18" s="157" t="s">
        <v>5</v>
      </c>
      <c r="C18" s="170">
        <v>32001</v>
      </c>
      <c r="D18" s="183" t="s">
        <v>134</v>
      </c>
      <c r="E18" s="183" t="s">
        <v>12</v>
      </c>
    </row>
    <row r="19" spans="2:6" s="8" customFormat="1" ht="51.75">
      <c r="B19" s="214" t="s">
        <v>135</v>
      </c>
      <c r="C19" s="310" t="s">
        <v>227</v>
      </c>
      <c r="D19" s="432"/>
      <c r="E19" s="432"/>
    </row>
    <row r="20" spans="2:6" s="8" customFormat="1" ht="69">
      <c r="B20" s="214" t="s">
        <v>136</v>
      </c>
      <c r="C20" s="310" t="s">
        <v>228</v>
      </c>
      <c r="D20" s="433"/>
      <c r="E20" s="433"/>
    </row>
    <row r="21" spans="2:6" s="8" customFormat="1" ht="34.5">
      <c r="B21" s="214" t="s">
        <v>137</v>
      </c>
      <c r="C21" s="310" t="s">
        <v>98</v>
      </c>
      <c r="D21" s="433"/>
      <c r="E21" s="433"/>
    </row>
    <row r="22" spans="2:6" s="8" customFormat="1" ht="51.75">
      <c r="B22" s="206" t="s">
        <v>119</v>
      </c>
      <c r="C22" s="310" t="s">
        <v>229</v>
      </c>
      <c r="D22" s="433"/>
      <c r="E22" s="433"/>
    </row>
    <row r="23" spans="2:6" s="8" customFormat="1">
      <c r="B23" s="497" t="s">
        <v>0</v>
      </c>
      <c r="C23" s="498"/>
      <c r="D23" s="424"/>
      <c r="E23" s="424"/>
    </row>
    <row r="24" spans="2:6" s="8" customFormat="1">
      <c r="B24" s="505" t="s">
        <v>233</v>
      </c>
      <c r="C24" s="506"/>
      <c r="D24" s="180">
        <v>-1</v>
      </c>
      <c r="E24" s="180">
        <v>0</v>
      </c>
    </row>
    <row r="25" spans="2:6" s="31" customFormat="1">
      <c r="B25" s="181" t="s">
        <v>6</v>
      </c>
      <c r="C25" s="181"/>
      <c r="D25" s="182">
        <f>+'Հավելված N 1'!D23</f>
        <v>-264013.5</v>
      </c>
      <c r="E25" s="182">
        <f>+'Հավելված N 1'!E23</f>
        <v>-330699.7</v>
      </c>
      <c r="F25" s="53"/>
    </row>
    <row r="26" spans="2:6" s="8" customFormat="1" ht="8.4499999999999993" customHeight="1"/>
    <row r="27" spans="2:6" s="8" customFormat="1">
      <c r="B27" s="491" t="s">
        <v>3</v>
      </c>
      <c r="C27" s="492"/>
      <c r="D27" s="493" t="s">
        <v>106</v>
      </c>
      <c r="E27" s="494"/>
    </row>
    <row r="28" spans="2:6" s="8" customFormat="1" ht="37.15" customHeight="1">
      <c r="B28" s="157" t="s">
        <v>4</v>
      </c>
      <c r="C28" s="170">
        <v>1045</v>
      </c>
      <c r="D28" s="495"/>
      <c r="E28" s="496"/>
    </row>
    <row r="29" spans="2:6" s="8" customFormat="1">
      <c r="B29" s="157" t="s">
        <v>5</v>
      </c>
      <c r="C29" s="170">
        <v>32005</v>
      </c>
      <c r="D29" s="183" t="s">
        <v>134</v>
      </c>
      <c r="E29" s="183" t="s">
        <v>12</v>
      </c>
    </row>
    <row r="30" spans="2:6" s="8" customFormat="1" ht="51.75">
      <c r="B30" s="214" t="s">
        <v>33</v>
      </c>
      <c r="C30" s="310" t="s">
        <v>231</v>
      </c>
      <c r="D30" s="432"/>
      <c r="E30" s="432"/>
    </row>
    <row r="31" spans="2:6" s="8" customFormat="1" ht="34.5">
      <c r="B31" s="214" t="s">
        <v>34</v>
      </c>
      <c r="C31" s="310" t="s">
        <v>232</v>
      </c>
      <c r="D31" s="433"/>
      <c r="E31" s="433"/>
    </row>
    <row r="32" spans="2:6" s="8" customFormat="1" ht="34.5">
      <c r="B32" s="214" t="s">
        <v>35</v>
      </c>
      <c r="C32" s="310" t="s">
        <v>98</v>
      </c>
      <c r="D32" s="433"/>
      <c r="E32" s="433"/>
    </row>
    <row r="33" spans="2:6" s="8" customFormat="1" ht="51.75">
      <c r="B33" s="206" t="s">
        <v>119</v>
      </c>
      <c r="C33" s="310" t="s">
        <v>229</v>
      </c>
      <c r="D33" s="433"/>
      <c r="E33" s="433"/>
    </row>
    <row r="34" spans="2:6" s="8" customFormat="1">
      <c r="B34" s="497" t="s">
        <v>0</v>
      </c>
      <c r="C34" s="498"/>
      <c r="D34" s="424"/>
      <c r="E34" s="424"/>
    </row>
    <row r="35" spans="2:6" s="31" customFormat="1">
      <c r="B35" s="181" t="s">
        <v>6</v>
      </c>
      <c r="C35" s="181"/>
      <c r="D35" s="182">
        <f>+'Հավելված N 1'!D29</f>
        <v>-389432.7</v>
      </c>
      <c r="E35" s="182">
        <f>+'Հավելված N 1'!E29</f>
        <v>-519865.60000000003</v>
      </c>
      <c r="F35" s="53"/>
    </row>
    <row r="36" spans="2:6" s="8" customFormat="1"/>
    <row r="37" spans="2:6" s="8" customFormat="1">
      <c r="B37" s="177" t="s">
        <v>1</v>
      </c>
      <c r="C37" s="177" t="s">
        <v>2</v>
      </c>
      <c r="D37" s="178"/>
      <c r="E37" s="178"/>
    </row>
    <row r="38" spans="2:6" s="8" customFormat="1">
      <c r="B38" s="179">
        <v>1075</v>
      </c>
      <c r="C38" s="214" t="s">
        <v>234</v>
      </c>
      <c r="D38" s="177"/>
      <c r="E38" s="177"/>
    </row>
    <row r="39" spans="2:6" s="8" customFormat="1"/>
    <row r="40" spans="2:6" s="8" customFormat="1" ht="18" customHeight="1">
      <c r="B40" s="491" t="s">
        <v>3</v>
      </c>
      <c r="C40" s="492"/>
      <c r="D40" s="493" t="s">
        <v>106</v>
      </c>
      <c r="E40" s="494"/>
    </row>
    <row r="41" spans="2:6" s="8" customFormat="1" ht="37.15" customHeight="1">
      <c r="B41" s="157" t="s">
        <v>4</v>
      </c>
      <c r="C41" s="170">
        <v>1075</v>
      </c>
      <c r="D41" s="495"/>
      <c r="E41" s="496"/>
    </row>
    <row r="42" spans="2:6" s="8" customFormat="1">
      <c r="B42" s="157" t="s">
        <v>5</v>
      </c>
      <c r="C42" s="170">
        <v>32001</v>
      </c>
      <c r="D42" s="183" t="s">
        <v>134</v>
      </c>
      <c r="E42" s="183" t="s">
        <v>12</v>
      </c>
    </row>
    <row r="43" spans="2:6" s="8" customFormat="1" ht="34.5">
      <c r="B43" s="214" t="s">
        <v>33</v>
      </c>
      <c r="C43" s="310" t="s">
        <v>235</v>
      </c>
      <c r="D43" s="432"/>
      <c r="E43" s="432"/>
    </row>
    <row r="44" spans="2:6" s="8" customFormat="1" ht="69">
      <c r="B44" s="214" t="s">
        <v>34</v>
      </c>
      <c r="C44" s="310" t="s">
        <v>236</v>
      </c>
      <c r="D44" s="433"/>
      <c r="E44" s="433"/>
    </row>
    <row r="45" spans="2:6" s="8" customFormat="1" ht="34.5">
      <c r="B45" s="214" t="s">
        <v>35</v>
      </c>
      <c r="C45" s="310" t="s">
        <v>98</v>
      </c>
      <c r="D45" s="433"/>
      <c r="E45" s="433"/>
    </row>
    <row r="46" spans="2:6" s="8" customFormat="1" ht="51.75">
      <c r="B46" s="206" t="s">
        <v>119</v>
      </c>
      <c r="C46" s="310" t="s">
        <v>237</v>
      </c>
      <c r="D46" s="433"/>
      <c r="E46" s="433"/>
    </row>
    <row r="47" spans="2:6" s="8" customFormat="1">
      <c r="B47" s="497" t="s">
        <v>0</v>
      </c>
      <c r="C47" s="498"/>
      <c r="D47" s="424"/>
      <c r="E47" s="424"/>
    </row>
    <row r="48" spans="2:6" s="8" customFormat="1">
      <c r="B48" s="505" t="s">
        <v>238</v>
      </c>
      <c r="C48" s="506"/>
      <c r="D48" s="180">
        <v>-1</v>
      </c>
      <c r="E48" s="180">
        <v>-1</v>
      </c>
    </row>
    <row r="49" spans="2:6" s="8" customFormat="1">
      <c r="B49" s="505" t="s">
        <v>446</v>
      </c>
      <c r="C49" s="506"/>
      <c r="D49" s="180">
        <v>-1</v>
      </c>
      <c r="E49" s="180">
        <v>-1</v>
      </c>
    </row>
    <row r="50" spans="2:6" s="31" customFormat="1">
      <c r="B50" s="181" t="s">
        <v>6</v>
      </c>
      <c r="C50" s="181"/>
      <c r="D50" s="182">
        <f>+'Հավելված N 1'!D42</f>
        <v>-117379.8</v>
      </c>
      <c r="E50" s="182">
        <f>+'Հավելված N 1'!E42</f>
        <v>-199482</v>
      </c>
      <c r="F50" s="53"/>
    </row>
    <row r="51" spans="2:6" s="8" customFormat="1"/>
    <row r="52" spans="2:6" s="8" customFormat="1">
      <c r="B52" s="177" t="s">
        <v>1</v>
      </c>
      <c r="C52" s="177" t="s">
        <v>2</v>
      </c>
      <c r="D52" s="178"/>
      <c r="E52" s="178"/>
    </row>
    <row r="53" spans="2:6" s="8" customFormat="1">
      <c r="B53" s="179">
        <v>1111</v>
      </c>
      <c r="C53" s="214" t="s">
        <v>447</v>
      </c>
      <c r="D53" s="177"/>
      <c r="E53" s="177"/>
    </row>
    <row r="54" spans="2:6" s="8" customFormat="1"/>
    <row r="55" spans="2:6" s="8" customFormat="1" ht="18" customHeight="1">
      <c r="B55" s="491" t="s">
        <v>3</v>
      </c>
      <c r="C55" s="492"/>
      <c r="D55" s="493" t="s">
        <v>106</v>
      </c>
      <c r="E55" s="494"/>
    </row>
    <row r="56" spans="2:6" s="8" customFormat="1" ht="37.15" customHeight="1">
      <c r="B56" s="157" t="s">
        <v>4</v>
      </c>
      <c r="C56" s="170">
        <v>1111</v>
      </c>
      <c r="D56" s="495"/>
      <c r="E56" s="496"/>
    </row>
    <row r="57" spans="2:6" s="8" customFormat="1">
      <c r="B57" s="157" t="s">
        <v>5</v>
      </c>
      <c r="C57" s="170">
        <v>32001</v>
      </c>
      <c r="D57" s="183" t="s">
        <v>134</v>
      </c>
      <c r="E57" s="183" t="s">
        <v>12</v>
      </c>
    </row>
    <row r="58" spans="2:6" s="8" customFormat="1" ht="51.75">
      <c r="B58" s="214" t="s">
        <v>33</v>
      </c>
      <c r="C58" s="310" t="s">
        <v>448</v>
      </c>
      <c r="D58" s="432"/>
      <c r="E58" s="432"/>
    </row>
    <row r="59" spans="2:6" s="8" customFormat="1" ht="51.75">
      <c r="B59" s="214" t="s">
        <v>34</v>
      </c>
      <c r="C59" s="310" t="s">
        <v>449</v>
      </c>
      <c r="D59" s="433"/>
      <c r="E59" s="433"/>
    </row>
    <row r="60" spans="2:6" s="8" customFormat="1" ht="34.5">
      <c r="B60" s="214" t="s">
        <v>35</v>
      </c>
      <c r="C60" s="310" t="s">
        <v>98</v>
      </c>
      <c r="D60" s="433"/>
      <c r="E60" s="433"/>
    </row>
    <row r="61" spans="2:6" s="8" customFormat="1" ht="51.75">
      <c r="B61" s="206" t="s">
        <v>119</v>
      </c>
      <c r="C61" s="310" t="s">
        <v>450</v>
      </c>
      <c r="D61" s="433"/>
      <c r="E61" s="433"/>
    </row>
    <row r="62" spans="2:6" s="8" customFormat="1">
      <c r="B62" s="497" t="s">
        <v>0</v>
      </c>
      <c r="C62" s="498"/>
      <c r="D62" s="424"/>
      <c r="E62" s="424"/>
    </row>
    <row r="63" spans="2:6" s="31" customFormat="1">
      <c r="B63" s="181" t="s">
        <v>6</v>
      </c>
      <c r="C63" s="181"/>
      <c r="D63" s="182">
        <f>+'Հավելված N 1'!D55</f>
        <v>-106918.2</v>
      </c>
      <c r="E63" s="182">
        <f>+'Հավելված N 1'!E55</f>
        <v>-267295.40000000002</v>
      </c>
      <c r="F63" s="53"/>
    </row>
    <row r="64" spans="2:6" s="8" customFormat="1"/>
    <row r="65" spans="2:6" s="8" customFormat="1">
      <c r="B65" s="18" t="s">
        <v>1</v>
      </c>
      <c r="C65" s="18" t="s">
        <v>2</v>
      </c>
      <c r="D65" s="50"/>
      <c r="E65" s="50"/>
    </row>
    <row r="66" spans="2:6" s="8" customFormat="1">
      <c r="B66" s="51">
        <v>1146</v>
      </c>
      <c r="C66" s="97" t="s">
        <v>115</v>
      </c>
      <c r="D66" s="18"/>
      <c r="E66" s="18"/>
    </row>
    <row r="67" spans="2:6" s="8" customFormat="1"/>
    <row r="68" spans="2:6" s="8" customFormat="1" ht="18" customHeight="1">
      <c r="B68" s="507" t="s">
        <v>3</v>
      </c>
      <c r="C68" s="508"/>
      <c r="D68" s="493" t="s">
        <v>106</v>
      </c>
      <c r="E68" s="494"/>
    </row>
    <row r="69" spans="2:6" s="8" customFormat="1" ht="37.15" customHeight="1">
      <c r="B69" s="17" t="s">
        <v>4</v>
      </c>
      <c r="C69" s="92">
        <v>1146</v>
      </c>
      <c r="D69" s="495"/>
      <c r="E69" s="496"/>
    </row>
    <row r="70" spans="2:6" s="8" customFormat="1">
      <c r="B70" s="83" t="s">
        <v>5</v>
      </c>
      <c r="C70" s="92">
        <v>12010</v>
      </c>
      <c r="D70" s="133" t="s">
        <v>122</v>
      </c>
      <c r="E70" s="105" t="s">
        <v>9</v>
      </c>
    </row>
    <row r="71" spans="2:6" s="8" customFormat="1" ht="34.5">
      <c r="B71" s="98" t="s">
        <v>33</v>
      </c>
      <c r="C71" s="106" t="s">
        <v>239</v>
      </c>
      <c r="D71" s="432"/>
      <c r="E71" s="432"/>
    </row>
    <row r="72" spans="2:6" s="8" customFormat="1" ht="34.5">
      <c r="B72" s="98" t="s">
        <v>34</v>
      </c>
      <c r="C72" s="106" t="s">
        <v>240</v>
      </c>
      <c r="D72" s="433"/>
      <c r="E72" s="433"/>
    </row>
    <row r="73" spans="2:6" s="8" customFormat="1">
      <c r="B73" s="98" t="s">
        <v>35</v>
      </c>
      <c r="C73" s="99" t="s">
        <v>241</v>
      </c>
      <c r="D73" s="433"/>
      <c r="E73" s="433"/>
    </row>
    <row r="74" spans="2:6" s="8" customFormat="1" ht="51.75">
      <c r="B74" s="98" t="s">
        <v>242</v>
      </c>
      <c r="C74" s="99" t="s">
        <v>243</v>
      </c>
      <c r="D74" s="433"/>
      <c r="E74" s="433"/>
    </row>
    <row r="75" spans="2:6" s="8" customFormat="1" ht="18" customHeight="1">
      <c r="B75" s="509" t="s">
        <v>0</v>
      </c>
      <c r="C75" s="510"/>
      <c r="D75" s="424"/>
      <c r="E75" s="424"/>
    </row>
    <row r="76" spans="2:6" s="8" customFormat="1" ht="18" customHeight="1">
      <c r="B76" s="505" t="s">
        <v>233</v>
      </c>
      <c r="C76" s="520"/>
      <c r="D76" s="325">
        <v>-5</v>
      </c>
      <c r="E76" s="325">
        <v>-2</v>
      </c>
    </row>
    <row r="77" spans="2:6" s="31" customFormat="1">
      <c r="B77" s="19" t="s">
        <v>6</v>
      </c>
      <c r="C77" s="19"/>
      <c r="D77" s="52">
        <f>+'Հավելված N 1'!D68</f>
        <v>-1249723.7</v>
      </c>
      <c r="E77" s="52">
        <f>+'Հավելված N 1'!E68</f>
        <v>-1751820.2300000002</v>
      </c>
      <c r="F77" s="53"/>
    </row>
    <row r="78" spans="2:6" s="8" customFormat="1"/>
    <row r="79" spans="2:6" s="8" customFormat="1">
      <c r="B79" s="177" t="s">
        <v>1</v>
      </c>
      <c r="C79" s="177" t="s">
        <v>2</v>
      </c>
      <c r="D79" s="178"/>
      <c r="E79" s="178"/>
    </row>
    <row r="80" spans="2:6" s="8" customFormat="1">
      <c r="B80" s="179">
        <v>1168</v>
      </c>
      <c r="C80" s="216" t="s">
        <v>244</v>
      </c>
      <c r="D80" s="177"/>
      <c r="E80" s="177"/>
    </row>
    <row r="81" spans="2:6" s="8" customFormat="1"/>
    <row r="82" spans="2:6" s="8" customFormat="1">
      <c r="B82" s="491" t="s">
        <v>3</v>
      </c>
      <c r="C82" s="492"/>
      <c r="D82" s="493" t="s">
        <v>88</v>
      </c>
      <c r="E82" s="494"/>
    </row>
    <row r="83" spans="2:6" s="8" customFormat="1" ht="37.15" customHeight="1">
      <c r="B83" s="157" t="s">
        <v>4</v>
      </c>
      <c r="C83" s="170">
        <v>1168</v>
      </c>
      <c r="D83" s="495"/>
      <c r="E83" s="496"/>
    </row>
    <row r="84" spans="2:6" s="8" customFormat="1">
      <c r="B84" s="157" t="s">
        <v>5</v>
      </c>
      <c r="C84" s="170">
        <v>32001</v>
      </c>
      <c r="D84" s="183" t="s">
        <v>134</v>
      </c>
      <c r="E84" s="183" t="s">
        <v>12</v>
      </c>
    </row>
    <row r="85" spans="2:6" s="8" customFormat="1" ht="34.5">
      <c r="B85" s="214" t="s">
        <v>33</v>
      </c>
      <c r="C85" s="310" t="s">
        <v>245</v>
      </c>
      <c r="D85" s="432"/>
      <c r="E85" s="432"/>
    </row>
    <row r="86" spans="2:6" s="8" customFormat="1" ht="69">
      <c r="B86" s="214" t="s">
        <v>34</v>
      </c>
      <c r="C86" s="310" t="s">
        <v>246</v>
      </c>
      <c r="D86" s="433"/>
      <c r="E86" s="433"/>
    </row>
    <row r="87" spans="2:6" s="8" customFormat="1" ht="34.5">
      <c r="B87" s="214" t="s">
        <v>35</v>
      </c>
      <c r="C87" s="310" t="s">
        <v>98</v>
      </c>
      <c r="D87" s="433"/>
      <c r="E87" s="433"/>
    </row>
    <row r="88" spans="2:6" s="8" customFormat="1" ht="51.75">
      <c r="B88" s="206" t="s">
        <v>119</v>
      </c>
      <c r="C88" s="310" t="s">
        <v>247</v>
      </c>
      <c r="D88" s="433"/>
      <c r="E88" s="433"/>
    </row>
    <row r="89" spans="2:6" s="8" customFormat="1">
      <c r="B89" s="497" t="s">
        <v>0</v>
      </c>
      <c r="C89" s="498"/>
      <c r="D89" s="424"/>
      <c r="E89" s="424"/>
    </row>
    <row r="90" spans="2:6" s="31" customFormat="1">
      <c r="B90" s="181" t="s">
        <v>6</v>
      </c>
      <c r="C90" s="181"/>
      <c r="D90" s="182">
        <f>+'Հավելված N 1'!D81</f>
        <v>0</v>
      </c>
      <c r="E90" s="182">
        <f>+'Հավելված N 1'!E81</f>
        <v>278954.59999999998</v>
      </c>
      <c r="F90" s="53"/>
    </row>
    <row r="92" spans="2:6">
      <c r="B92" s="21" t="s">
        <v>1</v>
      </c>
      <c r="C92" s="500" t="s">
        <v>2</v>
      </c>
      <c r="D92" s="501"/>
      <c r="E92" s="502"/>
    </row>
    <row r="93" spans="2:6">
      <c r="B93" s="51">
        <v>1183</v>
      </c>
      <c r="C93" s="20" t="s">
        <v>99</v>
      </c>
      <c r="D93" s="20"/>
      <c r="E93" s="20"/>
    </row>
    <row r="94" spans="2:6">
      <c r="B94" s="8"/>
      <c r="C94" s="8"/>
      <c r="D94" s="8"/>
      <c r="E94" s="8"/>
    </row>
    <row r="95" spans="2:6" s="91" customFormat="1" ht="18" customHeight="1">
      <c r="B95" s="503" t="s">
        <v>3</v>
      </c>
      <c r="C95" s="504"/>
      <c r="D95" s="493" t="s">
        <v>106</v>
      </c>
      <c r="E95" s="494"/>
    </row>
    <row r="96" spans="2:6" s="8" customFormat="1" ht="37.15" customHeight="1">
      <c r="B96" s="17" t="s">
        <v>32</v>
      </c>
      <c r="C96" s="92">
        <v>1183</v>
      </c>
      <c r="D96" s="495"/>
      <c r="E96" s="496"/>
    </row>
    <row r="97" spans="2:5" s="91" customFormat="1">
      <c r="B97" s="11" t="s">
        <v>120</v>
      </c>
      <c r="C97" s="39">
        <v>32001</v>
      </c>
      <c r="D97" s="133" t="s">
        <v>122</v>
      </c>
      <c r="E97" s="133" t="s">
        <v>9</v>
      </c>
    </row>
    <row r="98" spans="2:5" s="91" customFormat="1" ht="34.5">
      <c r="B98" s="11" t="s">
        <v>33</v>
      </c>
      <c r="C98" s="48" t="s">
        <v>249</v>
      </c>
      <c r="D98" s="432"/>
      <c r="E98" s="432"/>
    </row>
    <row r="99" spans="2:5" s="91" customFormat="1" ht="75" customHeight="1">
      <c r="B99" s="11" t="s">
        <v>34</v>
      </c>
      <c r="C99" s="48" t="s">
        <v>250</v>
      </c>
      <c r="D99" s="433"/>
      <c r="E99" s="433"/>
    </row>
    <row r="100" spans="2:5" s="91" customFormat="1" ht="34.5">
      <c r="B100" s="11" t="s">
        <v>35</v>
      </c>
      <c r="C100" s="114" t="s">
        <v>98</v>
      </c>
      <c r="D100" s="433"/>
      <c r="E100" s="433"/>
    </row>
    <row r="101" spans="2:5" s="91" customFormat="1" ht="72" customHeight="1">
      <c r="B101" s="11" t="s">
        <v>119</v>
      </c>
      <c r="C101" s="114" t="s">
        <v>251</v>
      </c>
      <c r="D101" s="433"/>
      <c r="E101" s="433"/>
    </row>
    <row r="102" spans="2:5" s="91" customFormat="1">
      <c r="B102" s="499" t="s">
        <v>36</v>
      </c>
      <c r="C102" s="499"/>
      <c r="D102" s="424"/>
      <c r="E102" s="424"/>
    </row>
    <row r="103" spans="2:5" s="91" customFormat="1" ht="17.45" customHeight="1">
      <c r="B103" s="489" t="s">
        <v>109</v>
      </c>
      <c r="C103" s="490"/>
      <c r="D103" s="54">
        <v>-1</v>
      </c>
      <c r="E103" s="54">
        <v>-1</v>
      </c>
    </row>
    <row r="104" spans="2:5" s="91" customFormat="1" ht="17.45" customHeight="1">
      <c r="B104" s="489" t="s">
        <v>233</v>
      </c>
      <c r="C104" s="490"/>
      <c r="D104" s="54">
        <v>0</v>
      </c>
      <c r="E104" s="54">
        <v>-1</v>
      </c>
    </row>
    <row r="105" spans="2:5" s="91" customFormat="1" ht="36.6" customHeight="1">
      <c r="B105" s="489" t="s">
        <v>230</v>
      </c>
      <c r="C105" s="490"/>
      <c r="D105" s="370"/>
      <c r="E105" s="370">
        <v>-1</v>
      </c>
    </row>
    <row r="106" spans="2:5" s="91" customFormat="1">
      <c r="B106" s="19" t="s">
        <v>37</v>
      </c>
      <c r="C106" s="19"/>
      <c r="D106" s="52">
        <f>+'Հավելված N 1'!D94</f>
        <v>-116082.1</v>
      </c>
      <c r="E106" s="52">
        <f>+'Հավելված N 1'!E94</f>
        <v>-353700.3</v>
      </c>
    </row>
    <row r="107" spans="2:5" ht="9.9499999999999993" customHeight="1"/>
    <row r="108" spans="2:5" s="91" customFormat="1" ht="18" customHeight="1">
      <c r="B108" s="503" t="s">
        <v>3</v>
      </c>
      <c r="C108" s="504"/>
      <c r="D108" s="493" t="s">
        <v>106</v>
      </c>
      <c r="E108" s="494"/>
    </row>
    <row r="109" spans="2:5" s="8" customFormat="1" ht="37.15" customHeight="1">
      <c r="B109" s="17" t="s">
        <v>32</v>
      </c>
      <c r="C109" s="92">
        <v>1183</v>
      </c>
      <c r="D109" s="495"/>
      <c r="E109" s="496"/>
    </row>
    <row r="110" spans="2:5" s="91" customFormat="1">
      <c r="B110" s="11" t="s">
        <v>120</v>
      </c>
      <c r="C110" s="39">
        <v>32002</v>
      </c>
      <c r="D110" s="362" t="s">
        <v>122</v>
      </c>
      <c r="E110" s="362" t="s">
        <v>9</v>
      </c>
    </row>
    <row r="111" spans="2:5" s="91" customFormat="1" ht="34.5">
      <c r="B111" s="11" t="s">
        <v>33</v>
      </c>
      <c r="C111" s="48" t="s">
        <v>451</v>
      </c>
      <c r="D111" s="432"/>
      <c r="E111" s="432"/>
    </row>
    <row r="112" spans="2:5" s="91" customFormat="1" ht="75" customHeight="1">
      <c r="B112" s="11" t="s">
        <v>34</v>
      </c>
      <c r="C112" s="48" t="s">
        <v>452</v>
      </c>
      <c r="D112" s="433"/>
      <c r="E112" s="433"/>
    </row>
    <row r="113" spans="2:5" s="91" customFormat="1" ht="34.5">
      <c r="B113" s="11" t="s">
        <v>35</v>
      </c>
      <c r="C113" s="114" t="s">
        <v>98</v>
      </c>
      <c r="D113" s="433"/>
      <c r="E113" s="433"/>
    </row>
    <row r="114" spans="2:5" s="91" customFormat="1" ht="72" customHeight="1">
      <c r="B114" s="11" t="s">
        <v>119</v>
      </c>
      <c r="C114" s="114" t="s">
        <v>100</v>
      </c>
      <c r="D114" s="433"/>
      <c r="E114" s="433"/>
    </row>
    <row r="115" spans="2:5" s="91" customFormat="1">
      <c r="B115" s="499" t="s">
        <v>36</v>
      </c>
      <c r="C115" s="499"/>
      <c r="D115" s="424"/>
      <c r="E115" s="424"/>
    </row>
    <row r="116" spans="2:5" s="91" customFormat="1" ht="17.45" customHeight="1">
      <c r="B116" s="489" t="s">
        <v>233</v>
      </c>
      <c r="C116" s="490"/>
      <c r="D116" s="54">
        <v>0</v>
      </c>
      <c r="E116" s="54">
        <v>-1</v>
      </c>
    </row>
    <row r="117" spans="2:5" s="91" customFormat="1">
      <c r="B117" s="19" t="s">
        <v>37</v>
      </c>
      <c r="C117" s="19"/>
      <c r="D117" s="52">
        <f>+'Հավելված N 1'!D100</f>
        <v>-942437.2</v>
      </c>
      <c r="E117" s="52">
        <f>+'Հավելված N 1'!E100</f>
        <v>-1259302.9000000001</v>
      </c>
    </row>
    <row r="118" spans="2:5" ht="9.9499999999999993" customHeight="1"/>
    <row r="119" spans="2:5" s="91" customFormat="1" ht="18" customHeight="1">
      <c r="B119" s="503" t="s">
        <v>3</v>
      </c>
      <c r="C119" s="504"/>
      <c r="D119" s="493" t="s">
        <v>103</v>
      </c>
      <c r="E119" s="494"/>
    </row>
    <row r="120" spans="2:5" s="8" customFormat="1" ht="37.15" customHeight="1">
      <c r="B120" s="17" t="s">
        <v>32</v>
      </c>
      <c r="C120" s="92">
        <v>1183</v>
      </c>
      <c r="D120" s="495"/>
      <c r="E120" s="496"/>
    </row>
    <row r="121" spans="2:5" s="91" customFormat="1">
      <c r="B121" s="11" t="s">
        <v>120</v>
      </c>
      <c r="C121" s="39">
        <v>32003</v>
      </c>
      <c r="D121" s="185" t="s">
        <v>122</v>
      </c>
      <c r="E121" s="185" t="s">
        <v>9</v>
      </c>
    </row>
    <row r="122" spans="2:5" s="91" customFormat="1" ht="34.5">
      <c r="B122" s="225" t="s">
        <v>33</v>
      </c>
      <c r="C122" s="217" t="s">
        <v>146</v>
      </c>
      <c r="D122" s="432"/>
      <c r="E122" s="432"/>
    </row>
    <row r="123" spans="2:5" s="91" customFormat="1" ht="75" customHeight="1">
      <c r="B123" s="225" t="s">
        <v>34</v>
      </c>
      <c r="C123" s="217" t="s">
        <v>147</v>
      </c>
      <c r="D123" s="433"/>
      <c r="E123" s="433"/>
    </row>
    <row r="124" spans="2:5" s="91" customFormat="1" ht="34.5">
      <c r="B124" s="225" t="s">
        <v>35</v>
      </c>
      <c r="C124" s="226" t="s">
        <v>98</v>
      </c>
      <c r="D124" s="433"/>
      <c r="E124" s="433"/>
    </row>
    <row r="125" spans="2:5" s="91" customFormat="1" ht="72" customHeight="1">
      <c r="B125" s="225" t="s">
        <v>101</v>
      </c>
      <c r="C125" s="226" t="s">
        <v>148</v>
      </c>
      <c r="D125" s="433"/>
      <c r="E125" s="433"/>
    </row>
    <row r="126" spans="2:5" s="91" customFormat="1">
      <c r="B126" s="499" t="s">
        <v>36</v>
      </c>
      <c r="C126" s="499"/>
      <c r="D126" s="424"/>
      <c r="E126" s="424"/>
    </row>
    <row r="127" spans="2:5" s="91" customFormat="1">
      <c r="B127" s="489" t="s">
        <v>233</v>
      </c>
      <c r="C127" s="490"/>
      <c r="D127" s="54">
        <v>-8</v>
      </c>
      <c r="E127" s="350"/>
    </row>
    <row r="128" spans="2:5" s="91" customFormat="1">
      <c r="B128" s="19" t="s">
        <v>37</v>
      </c>
      <c r="C128" s="19"/>
      <c r="D128" s="52">
        <f>+'Հավելված N 1'!D106</f>
        <v>1002513.7999999999</v>
      </c>
      <c r="E128" s="52">
        <f>+'Հավելված N 1'!E106</f>
        <v>1442123.2999999998</v>
      </c>
    </row>
    <row r="129" spans="2:5" ht="9.9499999999999993" customHeight="1"/>
    <row r="130" spans="2:5" s="91" customFormat="1">
      <c r="B130" s="503" t="s">
        <v>3</v>
      </c>
      <c r="C130" s="504"/>
      <c r="D130" s="493" t="s">
        <v>106</v>
      </c>
      <c r="E130" s="494"/>
    </row>
    <row r="131" spans="2:5" s="8" customFormat="1" ht="37.15" customHeight="1">
      <c r="B131" s="17" t="s">
        <v>32</v>
      </c>
      <c r="C131" s="92">
        <v>1183</v>
      </c>
      <c r="D131" s="495"/>
      <c r="E131" s="496"/>
    </row>
    <row r="132" spans="2:5" s="91" customFormat="1">
      <c r="B132" s="11" t="s">
        <v>120</v>
      </c>
      <c r="C132" s="39">
        <v>32004</v>
      </c>
      <c r="D132" s="269" t="s">
        <v>122</v>
      </c>
      <c r="E132" s="269" t="s">
        <v>9</v>
      </c>
    </row>
    <row r="133" spans="2:5" s="91" customFormat="1" ht="34.5">
      <c r="B133" s="11" t="s">
        <v>33</v>
      </c>
      <c r="C133" s="48" t="s">
        <v>252</v>
      </c>
      <c r="D133" s="432"/>
      <c r="E133" s="432"/>
    </row>
    <row r="134" spans="2:5" s="91" customFormat="1">
      <c r="B134" s="11" t="s">
        <v>34</v>
      </c>
      <c r="C134" s="48" t="s">
        <v>253</v>
      </c>
      <c r="D134" s="433"/>
      <c r="E134" s="433"/>
    </row>
    <row r="135" spans="2:5" s="91" customFormat="1" ht="34.5">
      <c r="B135" s="11" t="s">
        <v>35</v>
      </c>
      <c r="C135" s="114" t="s">
        <v>98</v>
      </c>
      <c r="D135" s="433"/>
      <c r="E135" s="433"/>
    </row>
    <row r="136" spans="2:5" s="91" customFormat="1" ht="72" customHeight="1">
      <c r="B136" s="11" t="s">
        <v>119</v>
      </c>
      <c r="C136" s="114" t="s">
        <v>254</v>
      </c>
      <c r="D136" s="433"/>
      <c r="E136" s="433"/>
    </row>
    <row r="137" spans="2:5" s="91" customFormat="1">
      <c r="B137" s="499" t="s">
        <v>36</v>
      </c>
      <c r="C137" s="499"/>
      <c r="D137" s="424"/>
      <c r="E137" s="424"/>
    </row>
    <row r="138" spans="2:5" s="91" customFormat="1" ht="17.45" customHeight="1">
      <c r="B138" s="489" t="s">
        <v>248</v>
      </c>
      <c r="C138" s="490"/>
      <c r="D138" s="54">
        <v>-1</v>
      </c>
      <c r="E138" s="54">
        <v>-1</v>
      </c>
    </row>
    <row r="139" spans="2:5" s="91" customFormat="1">
      <c r="B139" s="19" t="s">
        <v>37</v>
      </c>
      <c r="C139" s="19"/>
      <c r="D139" s="52">
        <f>+'Հավելված N 1'!D112</f>
        <v>-20003</v>
      </c>
      <c r="E139" s="52">
        <f>+'Հավելված N 1'!E112</f>
        <v>-20003</v>
      </c>
    </row>
    <row r="140" spans="2:5" ht="9.9499999999999993" customHeight="1"/>
    <row r="141" spans="2:5" s="91" customFormat="1">
      <c r="B141" s="503" t="s">
        <v>3</v>
      </c>
      <c r="C141" s="504"/>
      <c r="D141" s="493" t="s">
        <v>88</v>
      </c>
      <c r="E141" s="494"/>
    </row>
    <row r="142" spans="2:5" s="8" customFormat="1" ht="37.15" customHeight="1">
      <c r="B142" s="17" t="s">
        <v>32</v>
      </c>
      <c r="C142" s="92">
        <v>1183</v>
      </c>
      <c r="D142" s="495"/>
      <c r="E142" s="496"/>
    </row>
    <row r="143" spans="2:5" s="91" customFormat="1">
      <c r="B143" s="11" t="s">
        <v>120</v>
      </c>
      <c r="C143" s="39">
        <v>32007</v>
      </c>
      <c r="D143" s="269" t="s">
        <v>122</v>
      </c>
      <c r="E143" s="269" t="s">
        <v>9</v>
      </c>
    </row>
    <row r="144" spans="2:5" s="91" customFormat="1" ht="34.5">
      <c r="B144" s="11" t="s">
        <v>33</v>
      </c>
      <c r="C144" s="48" t="s">
        <v>255</v>
      </c>
      <c r="D144" s="432"/>
      <c r="E144" s="432"/>
    </row>
    <row r="145" spans="2:5" s="91" customFormat="1" ht="51.75">
      <c r="B145" s="11" t="s">
        <v>34</v>
      </c>
      <c r="C145" s="48" t="s">
        <v>256</v>
      </c>
      <c r="D145" s="433"/>
      <c r="E145" s="433"/>
    </row>
    <row r="146" spans="2:5" s="91" customFormat="1" ht="34.5">
      <c r="B146" s="11" t="s">
        <v>35</v>
      </c>
      <c r="C146" s="114" t="s">
        <v>98</v>
      </c>
      <c r="D146" s="433"/>
      <c r="E146" s="433"/>
    </row>
    <row r="147" spans="2:5" s="91" customFormat="1" ht="72" customHeight="1">
      <c r="B147" s="11" t="s">
        <v>119</v>
      </c>
      <c r="C147" s="114" t="s">
        <v>251</v>
      </c>
      <c r="D147" s="433"/>
      <c r="E147" s="433"/>
    </row>
    <row r="148" spans="2:5" s="91" customFormat="1">
      <c r="B148" s="499" t="s">
        <v>36</v>
      </c>
      <c r="C148" s="499"/>
      <c r="D148" s="424"/>
      <c r="E148" s="424"/>
    </row>
    <row r="149" spans="2:5" s="91" customFormat="1">
      <c r="B149" s="19" t="s">
        <v>37</v>
      </c>
      <c r="C149" s="19"/>
      <c r="D149" s="52">
        <f>+'Հավելված N 1'!D118</f>
        <v>708989.00000000012</v>
      </c>
      <c r="E149" s="52">
        <f>+'Հավելված N 1'!E118</f>
        <v>798147.79999999993</v>
      </c>
    </row>
    <row r="150" spans="2:5" ht="9.9499999999999993" customHeight="1"/>
    <row r="151" spans="2:5" s="91" customFormat="1">
      <c r="B151" s="503" t="s">
        <v>3</v>
      </c>
      <c r="C151" s="504"/>
      <c r="D151" s="493" t="s">
        <v>88</v>
      </c>
      <c r="E151" s="494"/>
    </row>
    <row r="152" spans="2:5" s="8" customFormat="1" ht="37.15" customHeight="1">
      <c r="B152" s="17" t="s">
        <v>32</v>
      </c>
      <c r="C152" s="92">
        <v>1183</v>
      </c>
      <c r="D152" s="495"/>
      <c r="E152" s="496"/>
    </row>
    <row r="153" spans="2:5" s="91" customFormat="1">
      <c r="B153" s="11" t="s">
        <v>120</v>
      </c>
      <c r="C153" s="39">
        <v>32009</v>
      </c>
      <c r="D153" s="362" t="s">
        <v>122</v>
      </c>
      <c r="E153" s="362" t="s">
        <v>9</v>
      </c>
    </row>
    <row r="154" spans="2:5" s="91" customFormat="1" ht="34.5">
      <c r="B154" s="11" t="s">
        <v>33</v>
      </c>
      <c r="C154" s="48" t="s">
        <v>453</v>
      </c>
      <c r="D154" s="432"/>
      <c r="E154" s="432"/>
    </row>
    <row r="155" spans="2:5" s="91" customFormat="1" ht="51.75">
      <c r="B155" s="11" t="s">
        <v>34</v>
      </c>
      <c r="C155" s="48" t="s">
        <v>454</v>
      </c>
      <c r="D155" s="433"/>
      <c r="E155" s="433"/>
    </row>
    <row r="156" spans="2:5" s="91" customFormat="1" ht="34.5">
      <c r="B156" s="11" t="s">
        <v>35</v>
      </c>
      <c r="C156" s="114" t="s">
        <v>98</v>
      </c>
      <c r="D156" s="433"/>
      <c r="E156" s="433"/>
    </row>
    <row r="157" spans="2:5" s="91" customFormat="1" ht="72" customHeight="1">
      <c r="B157" s="11" t="s">
        <v>119</v>
      </c>
      <c r="C157" s="114" t="s">
        <v>251</v>
      </c>
      <c r="D157" s="433"/>
      <c r="E157" s="433"/>
    </row>
    <row r="158" spans="2:5" s="91" customFormat="1">
      <c r="B158" s="499" t="s">
        <v>36</v>
      </c>
      <c r="C158" s="499"/>
      <c r="D158" s="424"/>
      <c r="E158" s="424"/>
    </row>
    <row r="159" spans="2:5" s="91" customFormat="1">
      <c r="B159" s="19" t="s">
        <v>37</v>
      </c>
      <c r="C159" s="19"/>
      <c r="D159" s="52">
        <f>+'Հավելված N 1'!D124</f>
        <v>63076.900000000009</v>
      </c>
      <c r="E159" s="52">
        <f>+'Հավելված N 1'!E124</f>
        <v>314836.60000000003</v>
      </c>
    </row>
    <row r="160" spans="2:5">
      <c r="B160" s="313"/>
      <c r="C160" s="313"/>
      <c r="D160" s="184"/>
      <c r="E160" s="184"/>
    </row>
    <row r="161" spans="1:5">
      <c r="B161" s="313"/>
      <c r="C161" s="313"/>
      <c r="D161" s="184"/>
      <c r="E161" s="184"/>
    </row>
    <row r="162" spans="1:5">
      <c r="B162" s="313"/>
      <c r="C162" s="313"/>
      <c r="D162" s="184"/>
      <c r="E162" s="184"/>
    </row>
    <row r="163" spans="1:5">
      <c r="B163" s="313"/>
      <c r="C163" s="313"/>
      <c r="D163" s="184"/>
      <c r="E163" s="184"/>
    </row>
    <row r="164" spans="1:5">
      <c r="B164" s="313"/>
      <c r="C164" s="313"/>
      <c r="D164" s="184"/>
      <c r="E164" s="184"/>
    </row>
    <row r="165" spans="1:5">
      <c r="B165" s="313"/>
      <c r="C165" s="313"/>
      <c r="D165" s="184"/>
      <c r="E165" s="184"/>
    </row>
    <row r="166" spans="1:5" ht="21.95" customHeight="1">
      <c r="A166" s="517" t="s">
        <v>257</v>
      </c>
      <c r="B166" s="517"/>
      <c r="C166" s="517"/>
      <c r="D166" s="517"/>
      <c r="E166" s="517"/>
    </row>
    <row r="167" spans="1:5" ht="38.85" customHeight="1">
      <c r="C167" s="519" t="s">
        <v>141</v>
      </c>
      <c r="D167" s="519"/>
      <c r="E167" s="16"/>
    </row>
    <row r="168" spans="1:5">
      <c r="B168" s="513" t="s">
        <v>8</v>
      </c>
      <c r="C168" s="514"/>
      <c r="D168" s="515"/>
      <c r="E168" s="516"/>
    </row>
    <row r="169" spans="1:5" s="32" customFormat="1">
      <c r="B169" s="46"/>
      <c r="C169" s="46"/>
      <c r="D169" s="47"/>
      <c r="E169" s="47"/>
    </row>
    <row r="170" spans="1:5" s="32" customFormat="1">
      <c r="B170" s="46"/>
      <c r="C170" s="46"/>
    </row>
    <row r="171" spans="1:5">
      <c r="B171" s="307" t="s">
        <v>1</v>
      </c>
      <c r="C171" s="307" t="s">
        <v>2</v>
      </c>
      <c r="D171" s="255"/>
      <c r="E171" s="255"/>
    </row>
    <row r="172" spans="1:5">
      <c r="B172" s="179">
        <v>1139</v>
      </c>
      <c r="C172" s="216" t="s">
        <v>203</v>
      </c>
      <c r="D172" s="255"/>
      <c r="E172" s="255"/>
    </row>
    <row r="174" spans="1:5">
      <c r="B174" s="521" t="s">
        <v>3</v>
      </c>
      <c r="C174" s="522"/>
      <c r="D174" s="493" t="s">
        <v>88</v>
      </c>
      <c r="E174" s="494"/>
    </row>
    <row r="175" spans="1:5" ht="37.15" customHeight="1">
      <c r="B175" s="214" t="s">
        <v>4</v>
      </c>
      <c r="C175" s="284">
        <v>1139</v>
      </c>
      <c r="D175" s="495"/>
      <c r="E175" s="496"/>
    </row>
    <row r="176" spans="1:5">
      <c r="B176" s="239" t="s">
        <v>5</v>
      </c>
      <c r="C176" s="314">
        <v>11001</v>
      </c>
      <c r="D176" s="311" t="s">
        <v>122</v>
      </c>
      <c r="E176" s="311" t="s">
        <v>9</v>
      </c>
    </row>
    <row r="177" spans="2:5" ht="34.5">
      <c r="B177" s="239" t="s">
        <v>135</v>
      </c>
      <c r="C177" s="310" t="s">
        <v>203</v>
      </c>
      <c r="D177" s="255"/>
      <c r="E177" s="255"/>
    </row>
    <row r="178" spans="2:5" ht="69">
      <c r="B178" s="239" t="s">
        <v>136</v>
      </c>
      <c r="C178" s="310" t="s">
        <v>258</v>
      </c>
      <c r="D178" s="255"/>
      <c r="E178" s="255"/>
    </row>
    <row r="179" spans="2:5">
      <c r="B179" s="239" t="s">
        <v>137</v>
      </c>
      <c r="C179" s="310" t="s">
        <v>259</v>
      </c>
      <c r="D179" s="255"/>
      <c r="E179" s="255"/>
    </row>
    <row r="180" spans="2:5" ht="51.75">
      <c r="B180" s="312" t="s">
        <v>260</v>
      </c>
      <c r="C180" s="310" t="s">
        <v>141</v>
      </c>
      <c r="D180" s="255"/>
      <c r="E180" s="255"/>
    </row>
    <row r="181" spans="2:5">
      <c r="B181" s="315"/>
      <c r="C181" s="316" t="s">
        <v>0</v>
      </c>
      <c r="D181" s="255"/>
      <c r="E181" s="255"/>
    </row>
    <row r="182" spans="2:5">
      <c r="B182" s="523" t="s">
        <v>6</v>
      </c>
      <c r="C182" s="523"/>
      <c r="D182" s="317">
        <f>+'Հավելված N 1'!D139</f>
        <v>1431410.4999999998</v>
      </c>
      <c r="E182" s="317">
        <f>+'Հավելված N 1'!E139</f>
        <v>1868106.830000001</v>
      </c>
    </row>
  </sheetData>
  <mergeCells count="84">
    <mergeCell ref="A166:E166"/>
    <mergeCell ref="C167:D167"/>
    <mergeCell ref="B168:E168"/>
    <mergeCell ref="B174:C174"/>
    <mergeCell ref="B182:C182"/>
    <mergeCell ref="D174:E175"/>
    <mergeCell ref="B130:C130"/>
    <mergeCell ref="D130:E131"/>
    <mergeCell ref="D133:D137"/>
    <mergeCell ref="E133:E137"/>
    <mergeCell ref="B137:C137"/>
    <mergeCell ref="B116:C116"/>
    <mergeCell ref="D95:E96"/>
    <mergeCell ref="D119:E120"/>
    <mergeCell ref="B104:C104"/>
    <mergeCell ref="B102:C102"/>
    <mergeCell ref="B119:C119"/>
    <mergeCell ref="D151:E152"/>
    <mergeCell ref="D144:D148"/>
    <mergeCell ref="E144:E148"/>
    <mergeCell ref="B148:C148"/>
    <mergeCell ref="B138:C138"/>
    <mergeCell ref="B141:C141"/>
    <mergeCell ref="D141:E142"/>
    <mergeCell ref="B151:C151"/>
    <mergeCell ref="E154:E158"/>
    <mergeCell ref="B158:C158"/>
    <mergeCell ref="D154:D158"/>
    <mergeCell ref="B48:C48"/>
    <mergeCell ref="B49:C49"/>
    <mergeCell ref="B76:C76"/>
    <mergeCell ref="D68:E69"/>
    <mergeCell ref="D98:D102"/>
    <mergeCell ref="B95:C95"/>
    <mergeCell ref="E98:E102"/>
    <mergeCell ref="B82:C82"/>
    <mergeCell ref="D82:E83"/>
    <mergeCell ref="B89:C89"/>
    <mergeCell ref="D85:D89"/>
    <mergeCell ref="E85:E89"/>
    <mergeCell ref="B103:C103"/>
    <mergeCell ref="C2:E2"/>
    <mergeCell ref="C1:E1"/>
    <mergeCell ref="B10:E10"/>
    <mergeCell ref="A8:E8"/>
    <mergeCell ref="B6:E6"/>
    <mergeCell ref="C3:E3"/>
    <mergeCell ref="C9:D9"/>
    <mergeCell ref="B16:C16"/>
    <mergeCell ref="D19:D23"/>
    <mergeCell ref="E19:E23"/>
    <mergeCell ref="B23:C23"/>
    <mergeCell ref="D16:E17"/>
    <mergeCell ref="B24:C24"/>
    <mergeCell ref="B68:C68"/>
    <mergeCell ref="B75:C75"/>
    <mergeCell ref="B27:C27"/>
    <mergeCell ref="D27:E28"/>
    <mergeCell ref="D30:D34"/>
    <mergeCell ref="E30:E34"/>
    <mergeCell ref="B34:C34"/>
    <mergeCell ref="B40:C40"/>
    <mergeCell ref="D40:E41"/>
    <mergeCell ref="D43:D47"/>
    <mergeCell ref="E43:E47"/>
    <mergeCell ref="B47:C47"/>
    <mergeCell ref="D71:D75"/>
    <mergeCell ref="E71:E75"/>
    <mergeCell ref="B127:C127"/>
    <mergeCell ref="B55:C55"/>
    <mergeCell ref="D55:E56"/>
    <mergeCell ref="D58:D62"/>
    <mergeCell ref="E58:E62"/>
    <mergeCell ref="B62:C62"/>
    <mergeCell ref="D122:D126"/>
    <mergeCell ref="E122:E126"/>
    <mergeCell ref="B126:C126"/>
    <mergeCell ref="C92:E92"/>
    <mergeCell ref="B105:C105"/>
    <mergeCell ref="B108:C108"/>
    <mergeCell ref="D108:E109"/>
    <mergeCell ref="D111:D115"/>
    <mergeCell ref="E111:E115"/>
    <mergeCell ref="B115:C11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95"/>
  <sheetViews>
    <sheetView zoomScale="85" zoomScaleNormal="85" zoomScaleSheetLayoutView="100" workbookViewId="0">
      <selection activeCell="F5" sqref="F5"/>
    </sheetView>
  </sheetViews>
  <sheetFormatPr defaultColWidth="9.125" defaultRowHeight="17.25"/>
  <cols>
    <col min="1" max="1" width="5.25" style="6" customWidth="1"/>
    <col min="2" max="2" width="24.625" style="6" customWidth="1"/>
    <col min="3" max="3" width="67.875" style="6" customWidth="1"/>
    <col min="4" max="5" width="25" style="6" customWidth="1"/>
    <col min="6" max="6" width="32" style="6" customWidth="1"/>
    <col min="7" max="7" width="49.875" style="6" customWidth="1"/>
    <col min="8" max="16384" width="9.125" style="6"/>
  </cols>
  <sheetData>
    <row r="1" spans="1:5" ht="37.5" customHeight="1">
      <c r="C1" s="512" t="s">
        <v>83</v>
      </c>
      <c r="D1" s="512"/>
      <c r="E1" s="512"/>
    </row>
    <row r="2" spans="1:5" ht="17.45" customHeight="1">
      <c r="C2" s="511" t="s">
        <v>126</v>
      </c>
      <c r="D2" s="511"/>
      <c r="E2" s="511"/>
    </row>
    <row r="3" spans="1:5" ht="17.45" customHeight="1">
      <c r="C3" s="511" t="s">
        <v>7</v>
      </c>
      <c r="D3" s="511"/>
      <c r="E3" s="511"/>
    </row>
    <row r="6" spans="1:5" ht="59.45" customHeight="1">
      <c r="A6" s="45"/>
      <c r="B6" s="518" t="s">
        <v>455</v>
      </c>
      <c r="C6" s="518"/>
      <c r="D6" s="518"/>
      <c r="E6" s="518"/>
    </row>
    <row r="7" spans="1:5" ht="23.45" customHeight="1"/>
    <row r="8" spans="1:5" ht="21.95" customHeight="1">
      <c r="A8" s="517" t="s">
        <v>150</v>
      </c>
      <c r="B8" s="517"/>
      <c r="C8" s="517"/>
      <c r="D8" s="517"/>
      <c r="E8" s="517"/>
    </row>
    <row r="9" spans="1:5" ht="38.85" customHeight="1">
      <c r="C9" s="519" t="s">
        <v>139</v>
      </c>
      <c r="D9" s="519"/>
      <c r="E9" s="16"/>
    </row>
    <row r="10" spans="1:5">
      <c r="B10" s="513" t="s">
        <v>107</v>
      </c>
      <c r="C10" s="514"/>
      <c r="D10" s="515"/>
      <c r="E10" s="516"/>
    </row>
    <row r="11" spans="1:5" s="32" customFormat="1">
      <c r="B11" s="46"/>
      <c r="C11" s="46"/>
      <c r="D11" s="47"/>
      <c r="E11" s="47"/>
    </row>
    <row r="12" spans="1:5" s="32" customFormat="1">
      <c r="B12" s="46"/>
      <c r="C12" s="46"/>
    </row>
    <row r="13" spans="1:5" s="8" customFormat="1">
      <c r="B13" s="177" t="s">
        <v>1</v>
      </c>
      <c r="C13" s="177" t="s">
        <v>2</v>
      </c>
      <c r="D13" s="178"/>
      <c r="E13" s="178"/>
    </row>
    <row r="14" spans="1:5" s="8" customFormat="1" ht="34.5">
      <c r="B14" s="179">
        <v>1045</v>
      </c>
      <c r="C14" s="216" t="s">
        <v>183</v>
      </c>
      <c r="D14" s="177"/>
      <c r="E14" s="177"/>
    </row>
    <row r="15" spans="1:5" s="8" customFormat="1"/>
    <row r="16" spans="1:5" s="8" customFormat="1" ht="18" customHeight="1">
      <c r="B16" s="491" t="s">
        <v>3</v>
      </c>
      <c r="C16" s="492"/>
      <c r="D16" s="493" t="s">
        <v>106</v>
      </c>
      <c r="E16" s="494"/>
    </row>
    <row r="17" spans="2:6" s="8" customFormat="1" ht="37.15" customHeight="1">
      <c r="B17" s="157" t="s">
        <v>4</v>
      </c>
      <c r="C17" s="170">
        <v>1045</v>
      </c>
      <c r="D17" s="495"/>
      <c r="E17" s="496"/>
    </row>
    <row r="18" spans="2:6" s="8" customFormat="1">
      <c r="B18" s="157" t="s">
        <v>5</v>
      </c>
      <c r="C18" s="170">
        <v>32001</v>
      </c>
      <c r="D18" s="183" t="s">
        <v>134</v>
      </c>
      <c r="E18" s="183" t="s">
        <v>12</v>
      </c>
    </row>
    <row r="19" spans="2:6" s="8" customFormat="1" ht="51.75">
      <c r="B19" s="214" t="s">
        <v>135</v>
      </c>
      <c r="C19" s="310" t="s">
        <v>227</v>
      </c>
      <c r="D19" s="432"/>
      <c r="E19" s="432"/>
    </row>
    <row r="20" spans="2:6" s="8" customFormat="1" ht="69">
      <c r="B20" s="214" t="s">
        <v>136</v>
      </c>
      <c r="C20" s="310" t="s">
        <v>228</v>
      </c>
      <c r="D20" s="433"/>
      <c r="E20" s="433"/>
    </row>
    <row r="21" spans="2:6" s="8" customFormat="1" ht="34.5">
      <c r="B21" s="214" t="s">
        <v>137</v>
      </c>
      <c r="C21" s="310" t="s">
        <v>98</v>
      </c>
      <c r="D21" s="433"/>
      <c r="E21" s="433"/>
    </row>
    <row r="22" spans="2:6" s="8" customFormat="1" ht="51.75">
      <c r="B22" s="206" t="s">
        <v>119</v>
      </c>
      <c r="C22" s="310" t="s">
        <v>229</v>
      </c>
      <c r="D22" s="433"/>
      <c r="E22" s="433"/>
    </row>
    <row r="23" spans="2:6" s="8" customFormat="1">
      <c r="B23" s="497" t="s">
        <v>0</v>
      </c>
      <c r="C23" s="498"/>
      <c r="D23" s="424"/>
      <c r="E23" s="424"/>
    </row>
    <row r="24" spans="2:6" s="8" customFormat="1">
      <c r="B24" s="505" t="s">
        <v>233</v>
      </c>
      <c r="C24" s="506"/>
      <c r="D24" s="180">
        <v>-1</v>
      </c>
      <c r="E24" s="180">
        <v>0</v>
      </c>
    </row>
    <row r="25" spans="2:6" s="31" customFormat="1">
      <c r="B25" s="181" t="s">
        <v>6</v>
      </c>
      <c r="C25" s="181"/>
      <c r="D25" s="182">
        <f>+'Հավելված N 2'!G69</f>
        <v>-264013.5</v>
      </c>
      <c r="E25" s="182">
        <f>+'Հավելված N 2'!H69</f>
        <v>-330699.7</v>
      </c>
      <c r="F25" s="53"/>
    </row>
    <row r="26" spans="2:6" s="8" customFormat="1" ht="8.4499999999999993" customHeight="1"/>
    <row r="27" spans="2:6" s="8" customFormat="1">
      <c r="B27" s="491" t="s">
        <v>3</v>
      </c>
      <c r="C27" s="492"/>
      <c r="D27" s="493" t="s">
        <v>106</v>
      </c>
      <c r="E27" s="494"/>
    </row>
    <row r="28" spans="2:6" s="8" customFormat="1" ht="37.15" customHeight="1">
      <c r="B28" s="157" t="s">
        <v>4</v>
      </c>
      <c r="C28" s="170">
        <v>1045</v>
      </c>
      <c r="D28" s="495"/>
      <c r="E28" s="496"/>
    </row>
    <row r="29" spans="2:6" s="8" customFormat="1">
      <c r="B29" s="157" t="s">
        <v>5</v>
      </c>
      <c r="C29" s="170">
        <v>32005</v>
      </c>
      <c r="D29" s="183" t="s">
        <v>134</v>
      </c>
      <c r="E29" s="183" t="s">
        <v>12</v>
      </c>
    </row>
    <row r="30" spans="2:6" s="8" customFormat="1" ht="51.75">
      <c r="B30" s="214" t="s">
        <v>33</v>
      </c>
      <c r="C30" s="310" t="s">
        <v>231</v>
      </c>
      <c r="D30" s="432"/>
      <c r="E30" s="432"/>
    </row>
    <row r="31" spans="2:6" s="8" customFormat="1" ht="34.5">
      <c r="B31" s="214" t="s">
        <v>34</v>
      </c>
      <c r="C31" s="310" t="s">
        <v>232</v>
      </c>
      <c r="D31" s="433"/>
      <c r="E31" s="433"/>
    </row>
    <row r="32" spans="2:6" s="8" customFormat="1" ht="34.5">
      <c r="B32" s="214" t="s">
        <v>35</v>
      </c>
      <c r="C32" s="310" t="s">
        <v>98</v>
      </c>
      <c r="D32" s="433"/>
      <c r="E32" s="433"/>
    </row>
    <row r="33" spans="2:6" s="8" customFormat="1" ht="51.75">
      <c r="B33" s="206" t="s">
        <v>119</v>
      </c>
      <c r="C33" s="310" t="s">
        <v>229</v>
      </c>
      <c r="D33" s="433"/>
      <c r="E33" s="433"/>
    </row>
    <row r="34" spans="2:6" s="8" customFormat="1">
      <c r="B34" s="497" t="s">
        <v>0</v>
      </c>
      <c r="C34" s="498"/>
      <c r="D34" s="424"/>
      <c r="E34" s="424"/>
    </row>
    <row r="35" spans="2:6" s="31" customFormat="1">
      <c r="B35" s="181" t="s">
        <v>6</v>
      </c>
      <c r="C35" s="181"/>
      <c r="D35" s="182">
        <f>+'Հավելված N 2'!G80</f>
        <v>-389432.7</v>
      </c>
      <c r="E35" s="182">
        <f>+'Հավելված N 2'!H80</f>
        <v>-519865.60000000003</v>
      </c>
      <c r="F35" s="53"/>
    </row>
    <row r="36" spans="2:6" s="8" customFormat="1"/>
    <row r="37" spans="2:6" s="8" customFormat="1">
      <c r="B37" s="177" t="s">
        <v>1</v>
      </c>
      <c r="C37" s="177" t="s">
        <v>2</v>
      </c>
      <c r="D37" s="178"/>
      <c r="E37" s="178"/>
    </row>
    <row r="38" spans="2:6" s="8" customFormat="1">
      <c r="B38" s="179">
        <v>1075</v>
      </c>
      <c r="C38" s="214" t="s">
        <v>234</v>
      </c>
      <c r="D38" s="177"/>
      <c r="E38" s="177"/>
    </row>
    <row r="39" spans="2:6" s="8" customFormat="1"/>
    <row r="40" spans="2:6" s="8" customFormat="1" ht="18" customHeight="1">
      <c r="B40" s="491" t="s">
        <v>3</v>
      </c>
      <c r="C40" s="492"/>
      <c r="D40" s="493" t="s">
        <v>106</v>
      </c>
      <c r="E40" s="494"/>
    </row>
    <row r="41" spans="2:6" s="8" customFormat="1" ht="37.15" customHeight="1">
      <c r="B41" s="157" t="s">
        <v>4</v>
      </c>
      <c r="C41" s="170">
        <v>1075</v>
      </c>
      <c r="D41" s="495"/>
      <c r="E41" s="496"/>
    </row>
    <row r="42" spans="2:6" s="8" customFormat="1">
      <c r="B42" s="157" t="s">
        <v>5</v>
      </c>
      <c r="C42" s="170">
        <v>32001</v>
      </c>
      <c r="D42" s="183" t="s">
        <v>134</v>
      </c>
      <c r="E42" s="183" t="s">
        <v>12</v>
      </c>
    </row>
    <row r="43" spans="2:6" s="8" customFormat="1" ht="34.5">
      <c r="B43" s="214" t="s">
        <v>33</v>
      </c>
      <c r="C43" s="310" t="s">
        <v>235</v>
      </c>
      <c r="D43" s="432"/>
      <c r="E43" s="432"/>
    </row>
    <row r="44" spans="2:6" s="8" customFormat="1" ht="69">
      <c r="B44" s="214" t="s">
        <v>34</v>
      </c>
      <c r="C44" s="310" t="s">
        <v>236</v>
      </c>
      <c r="D44" s="433"/>
      <c r="E44" s="433"/>
    </row>
    <row r="45" spans="2:6" s="8" customFormat="1" ht="34.5">
      <c r="B45" s="214" t="s">
        <v>35</v>
      </c>
      <c r="C45" s="310" t="s">
        <v>98</v>
      </c>
      <c r="D45" s="433"/>
      <c r="E45" s="433"/>
    </row>
    <row r="46" spans="2:6" s="8" customFormat="1" ht="51.75">
      <c r="B46" s="206" t="s">
        <v>119</v>
      </c>
      <c r="C46" s="310" t="s">
        <v>237</v>
      </c>
      <c r="D46" s="433"/>
      <c r="E46" s="433"/>
    </row>
    <row r="47" spans="2:6" s="8" customFormat="1">
      <c r="B47" s="497" t="s">
        <v>0</v>
      </c>
      <c r="C47" s="498"/>
      <c r="D47" s="424"/>
      <c r="E47" s="424"/>
    </row>
    <row r="48" spans="2:6" s="8" customFormat="1">
      <c r="B48" s="505" t="s">
        <v>238</v>
      </c>
      <c r="C48" s="506"/>
      <c r="D48" s="180">
        <v>-1</v>
      </c>
      <c r="E48" s="180">
        <v>-1</v>
      </c>
    </row>
    <row r="49" spans="2:6" s="8" customFormat="1">
      <c r="B49" s="505" t="s">
        <v>446</v>
      </c>
      <c r="C49" s="506"/>
      <c r="D49" s="180">
        <v>-1</v>
      </c>
      <c r="E49" s="180">
        <v>-1</v>
      </c>
    </row>
    <row r="50" spans="2:6" s="31" customFormat="1">
      <c r="B50" s="181" t="s">
        <v>6</v>
      </c>
      <c r="C50" s="181"/>
      <c r="D50" s="182">
        <f>+'Հավելված N 2'!G26</f>
        <v>-117379.8</v>
      </c>
      <c r="E50" s="182">
        <f>+'Հավելված N 2'!H26</f>
        <v>-199482</v>
      </c>
      <c r="F50" s="53"/>
    </row>
    <row r="51" spans="2:6" s="8" customFormat="1"/>
    <row r="52" spans="2:6" s="8" customFormat="1">
      <c r="B52" s="177" t="s">
        <v>1</v>
      </c>
      <c r="C52" s="177" t="s">
        <v>2</v>
      </c>
      <c r="D52" s="178"/>
      <c r="E52" s="178"/>
    </row>
    <row r="53" spans="2:6" s="8" customFormat="1">
      <c r="B53" s="179">
        <v>1111</v>
      </c>
      <c r="C53" s="214" t="s">
        <v>447</v>
      </c>
      <c r="D53" s="177"/>
      <c r="E53" s="177"/>
    </row>
    <row r="54" spans="2:6" s="8" customFormat="1"/>
    <row r="55" spans="2:6" s="8" customFormat="1" ht="18" customHeight="1">
      <c r="B55" s="491" t="s">
        <v>3</v>
      </c>
      <c r="C55" s="492"/>
      <c r="D55" s="493" t="s">
        <v>106</v>
      </c>
      <c r="E55" s="494"/>
    </row>
    <row r="56" spans="2:6" s="8" customFormat="1" ht="37.15" customHeight="1">
      <c r="B56" s="157" t="s">
        <v>4</v>
      </c>
      <c r="C56" s="170">
        <v>1111</v>
      </c>
      <c r="D56" s="495"/>
      <c r="E56" s="496"/>
    </row>
    <row r="57" spans="2:6" s="8" customFormat="1">
      <c r="B57" s="157" t="s">
        <v>5</v>
      </c>
      <c r="C57" s="170">
        <v>32001</v>
      </c>
      <c r="D57" s="183" t="s">
        <v>134</v>
      </c>
      <c r="E57" s="183" t="s">
        <v>12</v>
      </c>
    </row>
    <row r="58" spans="2:6" s="8" customFormat="1" ht="51.75">
      <c r="B58" s="214" t="s">
        <v>33</v>
      </c>
      <c r="C58" s="310" t="s">
        <v>448</v>
      </c>
      <c r="D58" s="432"/>
      <c r="E58" s="432"/>
    </row>
    <row r="59" spans="2:6" s="8" customFormat="1" ht="51.75">
      <c r="B59" s="214" t="s">
        <v>34</v>
      </c>
      <c r="C59" s="310" t="s">
        <v>449</v>
      </c>
      <c r="D59" s="433"/>
      <c r="E59" s="433"/>
    </row>
    <row r="60" spans="2:6" s="8" customFormat="1" ht="34.5">
      <c r="B60" s="214" t="s">
        <v>35</v>
      </c>
      <c r="C60" s="310" t="s">
        <v>98</v>
      </c>
      <c r="D60" s="433"/>
      <c r="E60" s="433"/>
    </row>
    <row r="61" spans="2:6" s="8" customFormat="1" ht="51.75">
      <c r="B61" s="206" t="s">
        <v>119</v>
      </c>
      <c r="C61" s="310" t="s">
        <v>450</v>
      </c>
      <c r="D61" s="433"/>
      <c r="E61" s="433"/>
    </row>
    <row r="62" spans="2:6" s="8" customFormat="1">
      <c r="B62" s="497" t="s">
        <v>0</v>
      </c>
      <c r="C62" s="498"/>
      <c r="D62" s="424"/>
      <c r="E62" s="424"/>
    </row>
    <row r="63" spans="2:6" s="31" customFormat="1">
      <c r="B63" s="181" t="s">
        <v>6</v>
      </c>
      <c r="C63" s="181"/>
      <c r="D63" s="182">
        <f>+'Հավելված N 2'!G91</f>
        <v>-106918.2</v>
      </c>
      <c r="E63" s="182">
        <f>+'Հավելված N 2'!H91</f>
        <v>-267295.40000000002</v>
      </c>
      <c r="F63" s="53"/>
    </row>
    <row r="64" spans="2:6" s="8" customFormat="1"/>
    <row r="65" spans="2:6" s="8" customFormat="1">
      <c r="B65" s="18" t="s">
        <v>1</v>
      </c>
      <c r="C65" s="18" t="s">
        <v>2</v>
      </c>
      <c r="D65" s="50"/>
      <c r="E65" s="50"/>
    </row>
    <row r="66" spans="2:6" s="8" customFormat="1">
      <c r="B66" s="51">
        <v>1146</v>
      </c>
      <c r="C66" s="97" t="s">
        <v>115</v>
      </c>
      <c r="D66" s="18"/>
      <c r="E66" s="18"/>
    </row>
    <row r="67" spans="2:6" s="8" customFormat="1"/>
    <row r="68" spans="2:6" s="8" customFormat="1" ht="18" customHeight="1">
      <c r="B68" s="507" t="s">
        <v>3</v>
      </c>
      <c r="C68" s="508"/>
      <c r="D68" s="493" t="s">
        <v>106</v>
      </c>
      <c r="E68" s="494"/>
    </row>
    <row r="69" spans="2:6" s="8" customFormat="1" ht="37.15" customHeight="1">
      <c r="B69" s="17" t="s">
        <v>4</v>
      </c>
      <c r="C69" s="92">
        <v>1146</v>
      </c>
      <c r="D69" s="495"/>
      <c r="E69" s="496"/>
    </row>
    <row r="70" spans="2:6" s="8" customFormat="1">
      <c r="B70" s="83" t="s">
        <v>5</v>
      </c>
      <c r="C70" s="92">
        <v>12010</v>
      </c>
      <c r="D70" s="362" t="s">
        <v>122</v>
      </c>
      <c r="E70" s="362" t="s">
        <v>9</v>
      </c>
    </row>
    <row r="71" spans="2:6" s="8" customFormat="1" ht="34.5">
      <c r="B71" s="98" t="s">
        <v>33</v>
      </c>
      <c r="C71" s="363" t="s">
        <v>239</v>
      </c>
      <c r="D71" s="432"/>
      <c r="E71" s="432"/>
    </row>
    <row r="72" spans="2:6" s="8" customFormat="1" ht="34.5">
      <c r="B72" s="98" t="s">
        <v>34</v>
      </c>
      <c r="C72" s="363" t="s">
        <v>240</v>
      </c>
      <c r="D72" s="433"/>
      <c r="E72" s="433"/>
    </row>
    <row r="73" spans="2:6" s="8" customFormat="1">
      <c r="B73" s="98" t="s">
        <v>35</v>
      </c>
      <c r="C73" s="99" t="s">
        <v>241</v>
      </c>
      <c r="D73" s="433"/>
      <c r="E73" s="433"/>
    </row>
    <row r="74" spans="2:6" s="8" customFormat="1" ht="51.75">
      <c r="B74" s="98" t="s">
        <v>242</v>
      </c>
      <c r="C74" s="99" t="s">
        <v>243</v>
      </c>
      <c r="D74" s="433"/>
      <c r="E74" s="433"/>
    </row>
    <row r="75" spans="2:6" s="8" customFormat="1" ht="18" customHeight="1">
      <c r="B75" s="509" t="s">
        <v>0</v>
      </c>
      <c r="C75" s="510"/>
      <c r="D75" s="424"/>
      <c r="E75" s="424"/>
    </row>
    <row r="76" spans="2:6" s="8" customFormat="1" ht="18" customHeight="1">
      <c r="B76" s="505" t="s">
        <v>233</v>
      </c>
      <c r="C76" s="520"/>
      <c r="D76" s="325">
        <v>-5</v>
      </c>
      <c r="E76" s="325">
        <v>-2</v>
      </c>
    </row>
    <row r="77" spans="2:6" s="31" customFormat="1">
      <c r="B77" s="19" t="s">
        <v>6</v>
      </c>
      <c r="C77" s="19"/>
      <c r="D77" s="52">
        <f>+'Հավելված N 2'!G102</f>
        <v>-1249723.7</v>
      </c>
      <c r="E77" s="52">
        <f>+'Հավելված N 2'!H102</f>
        <v>-1751820.2300000002</v>
      </c>
      <c r="F77" s="53"/>
    </row>
    <row r="78" spans="2:6" s="8" customFormat="1"/>
    <row r="79" spans="2:6" s="8" customFormat="1">
      <c r="B79" s="177" t="s">
        <v>1</v>
      </c>
      <c r="C79" s="177" t="s">
        <v>2</v>
      </c>
      <c r="D79" s="178"/>
      <c r="E79" s="178"/>
    </row>
    <row r="80" spans="2:6" s="8" customFormat="1">
      <c r="B80" s="179">
        <v>1168</v>
      </c>
      <c r="C80" s="216" t="s">
        <v>244</v>
      </c>
      <c r="D80" s="177"/>
      <c r="E80" s="177"/>
    </row>
    <row r="81" spans="2:6" s="8" customFormat="1"/>
    <row r="82" spans="2:6" s="8" customFormat="1">
      <c r="B82" s="491" t="s">
        <v>3</v>
      </c>
      <c r="C82" s="492"/>
      <c r="D82" s="493" t="s">
        <v>88</v>
      </c>
      <c r="E82" s="494"/>
    </row>
    <row r="83" spans="2:6" s="8" customFormat="1" ht="37.15" customHeight="1">
      <c r="B83" s="157" t="s">
        <v>4</v>
      </c>
      <c r="C83" s="170">
        <v>1168</v>
      </c>
      <c r="D83" s="495"/>
      <c r="E83" s="496"/>
    </row>
    <row r="84" spans="2:6" s="8" customFormat="1">
      <c r="B84" s="157" t="s">
        <v>5</v>
      </c>
      <c r="C84" s="170">
        <v>32001</v>
      </c>
      <c r="D84" s="183" t="s">
        <v>134</v>
      </c>
      <c r="E84" s="183" t="s">
        <v>12</v>
      </c>
    </row>
    <row r="85" spans="2:6" s="8" customFormat="1" ht="34.5">
      <c r="B85" s="214" t="s">
        <v>33</v>
      </c>
      <c r="C85" s="310" t="s">
        <v>245</v>
      </c>
      <c r="D85" s="432"/>
      <c r="E85" s="432"/>
    </row>
    <row r="86" spans="2:6" s="8" customFormat="1" ht="69">
      <c r="B86" s="214" t="s">
        <v>34</v>
      </c>
      <c r="C86" s="310" t="s">
        <v>246</v>
      </c>
      <c r="D86" s="433"/>
      <c r="E86" s="433"/>
    </row>
    <row r="87" spans="2:6" s="8" customFormat="1" ht="34.5">
      <c r="B87" s="214" t="s">
        <v>35</v>
      </c>
      <c r="C87" s="310" t="s">
        <v>98</v>
      </c>
      <c r="D87" s="433"/>
      <c r="E87" s="433"/>
    </row>
    <row r="88" spans="2:6" s="8" customFormat="1" ht="51.75">
      <c r="B88" s="206" t="s">
        <v>119</v>
      </c>
      <c r="C88" s="310" t="s">
        <v>247</v>
      </c>
      <c r="D88" s="433"/>
      <c r="E88" s="433"/>
    </row>
    <row r="89" spans="2:6" s="8" customFormat="1">
      <c r="B89" s="497" t="s">
        <v>0</v>
      </c>
      <c r="C89" s="498"/>
      <c r="D89" s="424"/>
      <c r="E89" s="424"/>
    </row>
    <row r="90" spans="2:6" s="31" customFormat="1">
      <c r="B90" s="181" t="s">
        <v>6</v>
      </c>
      <c r="C90" s="181"/>
      <c r="D90" s="182">
        <f>+'Հավելված N 2'!G43</f>
        <v>0</v>
      </c>
      <c r="E90" s="182">
        <f>+'Հավելված N 2'!H43</f>
        <v>79472.600000000006</v>
      </c>
      <c r="F90" s="53"/>
    </row>
    <row r="92" spans="2:6">
      <c r="B92" s="21" t="s">
        <v>1</v>
      </c>
      <c r="C92" s="500" t="s">
        <v>2</v>
      </c>
      <c r="D92" s="501"/>
      <c r="E92" s="502"/>
    </row>
    <row r="93" spans="2:6">
      <c r="B93" s="51">
        <v>1183</v>
      </c>
      <c r="C93" s="20" t="s">
        <v>99</v>
      </c>
      <c r="D93" s="20"/>
      <c r="E93" s="20"/>
    </row>
    <row r="94" spans="2:6">
      <c r="B94" s="8"/>
      <c r="C94" s="8"/>
      <c r="D94" s="8"/>
      <c r="E94" s="8"/>
    </row>
    <row r="95" spans="2:6" s="91" customFormat="1" ht="18" customHeight="1">
      <c r="B95" s="503" t="s">
        <v>3</v>
      </c>
      <c r="C95" s="504"/>
      <c r="D95" s="493" t="s">
        <v>106</v>
      </c>
      <c r="E95" s="494"/>
    </row>
    <row r="96" spans="2:6" s="8" customFormat="1" ht="37.15" customHeight="1">
      <c r="B96" s="17" t="s">
        <v>32</v>
      </c>
      <c r="C96" s="92">
        <v>1183</v>
      </c>
      <c r="D96" s="495"/>
      <c r="E96" s="496"/>
    </row>
    <row r="97" spans="2:5" s="91" customFormat="1">
      <c r="B97" s="11" t="s">
        <v>120</v>
      </c>
      <c r="C97" s="39">
        <v>32001</v>
      </c>
      <c r="D97" s="362" t="s">
        <v>122</v>
      </c>
      <c r="E97" s="362" t="s">
        <v>9</v>
      </c>
    </row>
    <row r="98" spans="2:5" s="91" customFormat="1" ht="34.5">
      <c r="B98" s="11" t="s">
        <v>33</v>
      </c>
      <c r="C98" s="48" t="s">
        <v>249</v>
      </c>
      <c r="D98" s="432"/>
      <c r="E98" s="432"/>
    </row>
    <row r="99" spans="2:5" s="91" customFormat="1" ht="75" customHeight="1">
      <c r="B99" s="11" t="s">
        <v>34</v>
      </c>
      <c r="C99" s="48" t="s">
        <v>250</v>
      </c>
      <c r="D99" s="433"/>
      <c r="E99" s="433"/>
    </row>
    <row r="100" spans="2:5" s="91" customFormat="1" ht="34.5">
      <c r="B100" s="11" t="s">
        <v>35</v>
      </c>
      <c r="C100" s="114" t="s">
        <v>98</v>
      </c>
      <c r="D100" s="433"/>
      <c r="E100" s="433"/>
    </row>
    <row r="101" spans="2:5" s="91" customFormat="1" ht="72" customHeight="1">
      <c r="B101" s="11" t="s">
        <v>119</v>
      </c>
      <c r="C101" s="114" t="s">
        <v>251</v>
      </c>
      <c r="D101" s="433"/>
      <c r="E101" s="433"/>
    </row>
    <row r="102" spans="2:5" s="91" customFormat="1">
      <c r="B102" s="499" t="s">
        <v>36</v>
      </c>
      <c r="C102" s="499"/>
      <c r="D102" s="424"/>
      <c r="E102" s="424"/>
    </row>
    <row r="103" spans="2:5" s="91" customFormat="1" ht="17.45" customHeight="1">
      <c r="B103" s="489" t="s">
        <v>109</v>
      </c>
      <c r="C103" s="490"/>
      <c r="D103" s="54">
        <v>-1</v>
      </c>
      <c r="E103" s="54">
        <v>-1</v>
      </c>
    </row>
    <row r="104" spans="2:5" s="91" customFormat="1" ht="17.45" customHeight="1">
      <c r="B104" s="489" t="s">
        <v>233</v>
      </c>
      <c r="C104" s="490"/>
      <c r="D104" s="54">
        <v>0</v>
      </c>
      <c r="E104" s="54">
        <v>-1</v>
      </c>
    </row>
    <row r="105" spans="2:5" s="91" customFormat="1" ht="36.6" customHeight="1">
      <c r="B105" s="489" t="s">
        <v>230</v>
      </c>
      <c r="C105" s="490"/>
      <c r="D105" s="370"/>
      <c r="E105" s="370">
        <v>-1</v>
      </c>
    </row>
    <row r="106" spans="2:5" s="91" customFormat="1">
      <c r="B106" s="19" t="s">
        <v>37</v>
      </c>
      <c r="C106" s="19"/>
      <c r="D106" s="52">
        <f>+'Հավելված N 2'!G115</f>
        <v>-116082.1</v>
      </c>
      <c r="E106" s="52">
        <f>+'Հավելված N 2'!H115</f>
        <v>-353700.3</v>
      </c>
    </row>
    <row r="107" spans="2:5" ht="9.9499999999999993" customHeight="1"/>
    <row r="108" spans="2:5" s="91" customFormat="1" ht="18" customHeight="1">
      <c r="B108" s="503" t="s">
        <v>3</v>
      </c>
      <c r="C108" s="504"/>
      <c r="D108" s="493" t="s">
        <v>106</v>
      </c>
      <c r="E108" s="494"/>
    </row>
    <row r="109" spans="2:5" s="8" customFormat="1" ht="37.15" customHeight="1">
      <c r="B109" s="17" t="s">
        <v>32</v>
      </c>
      <c r="C109" s="92">
        <v>1183</v>
      </c>
      <c r="D109" s="495"/>
      <c r="E109" s="496"/>
    </row>
    <row r="110" spans="2:5" s="91" customFormat="1">
      <c r="B110" s="11" t="s">
        <v>120</v>
      </c>
      <c r="C110" s="39">
        <v>32002</v>
      </c>
      <c r="D110" s="362" t="s">
        <v>122</v>
      </c>
      <c r="E110" s="362" t="s">
        <v>9</v>
      </c>
    </row>
    <row r="111" spans="2:5" s="91" customFormat="1" ht="34.5">
      <c r="B111" s="11" t="s">
        <v>33</v>
      </c>
      <c r="C111" s="48" t="s">
        <v>451</v>
      </c>
      <c r="D111" s="432"/>
      <c r="E111" s="432"/>
    </row>
    <row r="112" spans="2:5" s="91" customFormat="1" ht="75" customHeight="1">
      <c r="B112" s="11" t="s">
        <v>34</v>
      </c>
      <c r="C112" s="48" t="s">
        <v>452</v>
      </c>
      <c r="D112" s="433"/>
      <c r="E112" s="433"/>
    </row>
    <row r="113" spans="2:5" s="91" customFormat="1" ht="34.5">
      <c r="B113" s="11" t="s">
        <v>35</v>
      </c>
      <c r="C113" s="114" t="s">
        <v>98</v>
      </c>
      <c r="D113" s="433"/>
      <c r="E113" s="433"/>
    </row>
    <row r="114" spans="2:5" s="91" customFormat="1" ht="72" customHeight="1">
      <c r="B114" s="11" t="s">
        <v>119</v>
      </c>
      <c r="C114" s="114" t="s">
        <v>100</v>
      </c>
      <c r="D114" s="433"/>
      <c r="E114" s="433"/>
    </row>
    <row r="115" spans="2:5" s="91" customFormat="1">
      <c r="B115" s="499" t="s">
        <v>36</v>
      </c>
      <c r="C115" s="499"/>
      <c r="D115" s="424"/>
      <c r="E115" s="424"/>
    </row>
    <row r="116" spans="2:5" s="91" customFormat="1" ht="17.45" customHeight="1">
      <c r="B116" s="489" t="s">
        <v>233</v>
      </c>
      <c r="C116" s="490"/>
      <c r="D116" s="54">
        <v>0</v>
      </c>
      <c r="E116" s="54">
        <v>-1</v>
      </c>
    </row>
    <row r="117" spans="2:5" s="91" customFormat="1">
      <c r="B117" s="19" t="s">
        <v>37</v>
      </c>
      <c r="C117" s="19"/>
      <c r="D117" s="52">
        <f>+'Հավելված N 2'!G126</f>
        <v>-942437.2</v>
      </c>
      <c r="E117" s="52">
        <f>+'Հավելված N 2'!H126</f>
        <v>-1259302.9000000001</v>
      </c>
    </row>
    <row r="118" spans="2:5" ht="9.9499999999999993" customHeight="1"/>
    <row r="119" spans="2:5" s="91" customFormat="1" ht="18" customHeight="1">
      <c r="B119" s="503" t="s">
        <v>3</v>
      </c>
      <c r="C119" s="504"/>
      <c r="D119" s="493" t="s">
        <v>103</v>
      </c>
      <c r="E119" s="494"/>
    </row>
    <row r="120" spans="2:5" s="8" customFormat="1" ht="37.15" customHeight="1">
      <c r="B120" s="17" t="s">
        <v>32</v>
      </c>
      <c r="C120" s="92">
        <v>1183</v>
      </c>
      <c r="D120" s="495"/>
      <c r="E120" s="496"/>
    </row>
    <row r="121" spans="2:5" s="91" customFormat="1">
      <c r="B121" s="11" t="s">
        <v>120</v>
      </c>
      <c r="C121" s="39">
        <v>32003</v>
      </c>
      <c r="D121" s="362" t="s">
        <v>122</v>
      </c>
      <c r="E121" s="362" t="s">
        <v>9</v>
      </c>
    </row>
    <row r="122" spans="2:5" s="91" customFormat="1" ht="34.5">
      <c r="B122" s="225" t="s">
        <v>33</v>
      </c>
      <c r="C122" s="217" t="s">
        <v>146</v>
      </c>
      <c r="D122" s="432"/>
      <c r="E122" s="432"/>
    </row>
    <row r="123" spans="2:5" s="91" customFormat="1" ht="75" customHeight="1">
      <c r="B123" s="225" t="s">
        <v>34</v>
      </c>
      <c r="C123" s="217" t="s">
        <v>147</v>
      </c>
      <c r="D123" s="433"/>
      <c r="E123" s="433"/>
    </row>
    <row r="124" spans="2:5" s="91" customFormat="1" ht="34.5">
      <c r="B124" s="225" t="s">
        <v>35</v>
      </c>
      <c r="C124" s="226" t="s">
        <v>98</v>
      </c>
      <c r="D124" s="433"/>
      <c r="E124" s="433"/>
    </row>
    <row r="125" spans="2:5" s="91" customFormat="1" ht="72" customHeight="1">
      <c r="B125" s="225" t="s">
        <v>101</v>
      </c>
      <c r="C125" s="226" t="s">
        <v>148</v>
      </c>
      <c r="D125" s="433"/>
      <c r="E125" s="433"/>
    </row>
    <row r="126" spans="2:5" s="91" customFormat="1">
      <c r="B126" s="499" t="s">
        <v>36</v>
      </c>
      <c r="C126" s="499"/>
      <c r="D126" s="424"/>
      <c r="E126" s="424"/>
    </row>
    <row r="127" spans="2:5" s="91" customFormat="1">
      <c r="B127" s="489" t="s">
        <v>233</v>
      </c>
      <c r="C127" s="490"/>
      <c r="D127" s="54">
        <v>-8</v>
      </c>
      <c r="E127" s="350"/>
    </row>
    <row r="128" spans="2:5" s="91" customFormat="1">
      <c r="B128" s="19" t="s">
        <v>37</v>
      </c>
      <c r="C128" s="19"/>
      <c r="D128" s="52">
        <f>+'Հավելված N 2'!G137</f>
        <v>1002513.7999999999</v>
      </c>
      <c r="E128" s="52">
        <f>+'Հավելված N 2'!H137</f>
        <v>1442123.2999999998</v>
      </c>
    </row>
    <row r="129" spans="2:5" ht="9.9499999999999993" customHeight="1"/>
    <row r="130" spans="2:5" s="91" customFormat="1">
      <c r="B130" s="503" t="s">
        <v>3</v>
      </c>
      <c r="C130" s="504"/>
      <c r="D130" s="493" t="s">
        <v>106</v>
      </c>
      <c r="E130" s="494"/>
    </row>
    <row r="131" spans="2:5" s="8" customFormat="1" ht="37.15" customHeight="1">
      <c r="B131" s="17" t="s">
        <v>32</v>
      </c>
      <c r="C131" s="92">
        <v>1183</v>
      </c>
      <c r="D131" s="495"/>
      <c r="E131" s="496"/>
    </row>
    <row r="132" spans="2:5" s="91" customFormat="1">
      <c r="B132" s="11" t="s">
        <v>120</v>
      </c>
      <c r="C132" s="39">
        <v>32004</v>
      </c>
      <c r="D132" s="362" t="s">
        <v>122</v>
      </c>
      <c r="E132" s="362" t="s">
        <v>9</v>
      </c>
    </row>
    <row r="133" spans="2:5" s="91" customFormat="1" ht="34.5">
      <c r="B133" s="11" t="s">
        <v>33</v>
      </c>
      <c r="C133" s="48" t="s">
        <v>252</v>
      </c>
      <c r="D133" s="432"/>
      <c r="E133" s="432"/>
    </row>
    <row r="134" spans="2:5" s="91" customFormat="1">
      <c r="B134" s="11" t="s">
        <v>34</v>
      </c>
      <c r="C134" s="48" t="s">
        <v>253</v>
      </c>
      <c r="D134" s="433"/>
      <c r="E134" s="433"/>
    </row>
    <row r="135" spans="2:5" s="91" customFormat="1" ht="34.5">
      <c r="B135" s="11" t="s">
        <v>35</v>
      </c>
      <c r="C135" s="114" t="s">
        <v>98</v>
      </c>
      <c r="D135" s="433"/>
      <c r="E135" s="433"/>
    </row>
    <row r="136" spans="2:5" s="91" customFormat="1" ht="72" customHeight="1">
      <c r="B136" s="11" t="s">
        <v>119</v>
      </c>
      <c r="C136" s="114" t="s">
        <v>254</v>
      </c>
      <c r="D136" s="433"/>
      <c r="E136" s="433"/>
    </row>
    <row r="137" spans="2:5" s="91" customFormat="1">
      <c r="B137" s="499" t="s">
        <v>36</v>
      </c>
      <c r="C137" s="499"/>
      <c r="D137" s="424"/>
      <c r="E137" s="424"/>
    </row>
    <row r="138" spans="2:5" s="91" customFormat="1" ht="17.45" customHeight="1">
      <c r="B138" s="489" t="s">
        <v>248</v>
      </c>
      <c r="C138" s="490"/>
      <c r="D138" s="54">
        <v>-1</v>
      </c>
      <c r="E138" s="54">
        <v>-1</v>
      </c>
    </row>
    <row r="139" spans="2:5" s="91" customFormat="1">
      <c r="B139" s="19" t="s">
        <v>37</v>
      </c>
      <c r="C139" s="19"/>
      <c r="D139" s="52">
        <f>+'Հավելված N 2'!G148</f>
        <v>-20003</v>
      </c>
      <c r="E139" s="52">
        <f>+'Հավելված N 2'!H148</f>
        <v>-20003</v>
      </c>
    </row>
    <row r="140" spans="2:5" ht="9.9499999999999993" customHeight="1"/>
    <row r="141" spans="2:5" s="91" customFormat="1">
      <c r="B141" s="503" t="s">
        <v>3</v>
      </c>
      <c r="C141" s="504"/>
      <c r="D141" s="493" t="s">
        <v>88</v>
      </c>
      <c r="E141" s="494"/>
    </row>
    <row r="142" spans="2:5" s="8" customFormat="1" ht="37.15" customHeight="1">
      <c r="B142" s="17" t="s">
        <v>32</v>
      </c>
      <c r="C142" s="92">
        <v>1183</v>
      </c>
      <c r="D142" s="495"/>
      <c r="E142" s="496"/>
    </row>
    <row r="143" spans="2:5" s="91" customFormat="1">
      <c r="B143" s="11" t="s">
        <v>120</v>
      </c>
      <c r="C143" s="39">
        <v>32007</v>
      </c>
      <c r="D143" s="362" t="s">
        <v>122</v>
      </c>
      <c r="E143" s="362" t="s">
        <v>9</v>
      </c>
    </row>
    <row r="144" spans="2:5" s="91" customFormat="1" ht="34.5">
      <c r="B144" s="11" t="s">
        <v>33</v>
      </c>
      <c r="C144" s="48" t="s">
        <v>255</v>
      </c>
      <c r="D144" s="432"/>
      <c r="E144" s="432"/>
    </row>
    <row r="145" spans="2:5" s="91" customFormat="1" ht="51.75">
      <c r="B145" s="11" t="s">
        <v>34</v>
      </c>
      <c r="C145" s="48" t="s">
        <v>256</v>
      </c>
      <c r="D145" s="433"/>
      <c r="E145" s="433"/>
    </row>
    <row r="146" spans="2:5" s="91" customFormat="1" ht="34.5">
      <c r="B146" s="11" t="s">
        <v>35</v>
      </c>
      <c r="C146" s="114" t="s">
        <v>98</v>
      </c>
      <c r="D146" s="433"/>
      <c r="E146" s="433"/>
    </row>
    <row r="147" spans="2:5" s="91" customFormat="1" ht="72" customHeight="1">
      <c r="B147" s="11" t="s">
        <v>119</v>
      </c>
      <c r="C147" s="114" t="s">
        <v>251</v>
      </c>
      <c r="D147" s="433"/>
      <c r="E147" s="433"/>
    </row>
    <row r="148" spans="2:5" s="91" customFormat="1">
      <c r="B148" s="499" t="s">
        <v>36</v>
      </c>
      <c r="C148" s="499"/>
      <c r="D148" s="424"/>
      <c r="E148" s="424"/>
    </row>
    <row r="149" spans="2:5" s="91" customFormat="1">
      <c r="B149" s="19" t="s">
        <v>37</v>
      </c>
      <c r="C149" s="19"/>
      <c r="D149" s="52">
        <f>+'Հավելված N 2'!G157</f>
        <v>708989.00000000012</v>
      </c>
      <c r="E149" s="52">
        <f>+'Հավելված N 2'!H157</f>
        <v>798147.79999999993</v>
      </c>
    </row>
    <row r="150" spans="2:5" ht="9.9499999999999993" customHeight="1"/>
    <row r="151" spans="2:5" s="91" customFormat="1">
      <c r="B151" s="503" t="s">
        <v>3</v>
      </c>
      <c r="C151" s="504"/>
      <c r="D151" s="493" t="s">
        <v>88</v>
      </c>
      <c r="E151" s="494"/>
    </row>
    <row r="152" spans="2:5" s="8" customFormat="1" ht="37.15" customHeight="1">
      <c r="B152" s="17" t="s">
        <v>32</v>
      </c>
      <c r="C152" s="92">
        <v>1183</v>
      </c>
      <c r="D152" s="495"/>
      <c r="E152" s="496"/>
    </row>
    <row r="153" spans="2:5" s="91" customFormat="1">
      <c r="B153" s="11" t="s">
        <v>120</v>
      </c>
      <c r="C153" s="39">
        <v>32009</v>
      </c>
      <c r="D153" s="362" t="s">
        <v>122</v>
      </c>
      <c r="E153" s="362" t="s">
        <v>9</v>
      </c>
    </row>
    <row r="154" spans="2:5" s="91" customFormat="1" ht="34.5">
      <c r="B154" s="11" t="s">
        <v>33</v>
      </c>
      <c r="C154" s="48" t="s">
        <v>453</v>
      </c>
      <c r="D154" s="432"/>
      <c r="E154" s="432"/>
    </row>
    <row r="155" spans="2:5" s="91" customFormat="1" ht="51.75">
      <c r="B155" s="11" t="s">
        <v>34</v>
      </c>
      <c r="C155" s="48" t="s">
        <v>454</v>
      </c>
      <c r="D155" s="433"/>
      <c r="E155" s="433"/>
    </row>
    <row r="156" spans="2:5" s="91" customFormat="1" ht="34.5">
      <c r="B156" s="11" t="s">
        <v>35</v>
      </c>
      <c r="C156" s="114" t="s">
        <v>98</v>
      </c>
      <c r="D156" s="433"/>
      <c r="E156" s="433"/>
    </row>
    <row r="157" spans="2:5" s="91" customFormat="1" ht="72" customHeight="1">
      <c r="B157" s="11" t="s">
        <v>119</v>
      </c>
      <c r="C157" s="114" t="s">
        <v>251</v>
      </c>
      <c r="D157" s="433"/>
      <c r="E157" s="433"/>
    </row>
    <row r="158" spans="2:5" s="91" customFormat="1">
      <c r="B158" s="499" t="s">
        <v>36</v>
      </c>
      <c r="C158" s="499"/>
      <c r="D158" s="424"/>
      <c r="E158" s="424"/>
    </row>
    <row r="159" spans="2:5" s="91" customFormat="1">
      <c r="B159" s="19" t="s">
        <v>37</v>
      </c>
      <c r="C159" s="19"/>
      <c r="D159" s="52">
        <f>+'Հավելված N 2'!G166</f>
        <v>63076.900000000009</v>
      </c>
      <c r="E159" s="52">
        <f>+'Հավելված N 2'!H166</f>
        <v>314836.60000000003</v>
      </c>
    </row>
    <row r="160" spans="2:5">
      <c r="B160" s="313"/>
      <c r="C160" s="313"/>
      <c r="D160" s="184"/>
      <c r="E160" s="184"/>
    </row>
    <row r="161" spans="1:5">
      <c r="B161" s="313"/>
      <c r="C161" s="313"/>
      <c r="D161" s="184"/>
      <c r="E161" s="184"/>
    </row>
    <row r="162" spans="1:5">
      <c r="B162" s="313"/>
      <c r="C162" s="313"/>
      <c r="D162" s="184"/>
      <c r="E162" s="184"/>
    </row>
    <row r="163" spans="1:5">
      <c r="B163" s="313"/>
      <c r="C163" s="313"/>
      <c r="D163" s="184"/>
      <c r="E163" s="184"/>
    </row>
    <row r="164" spans="1:5">
      <c r="B164" s="313"/>
      <c r="C164" s="313"/>
      <c r="D164" s="184"/>
      <c r="E164" s="184"/>
    </row>
    <row r="165" spans="1:5">
      <c r="B165" s="313"/>
      <c r="C165" s="313"/>
      <c r="D165" s="184"/>
      <c r="E165" s="184"/>
    </row>
    <row r="166" spans="1:5" ht="21.95" customHeight="1">
      <c r="A166" s="517" t="s">
        <v>149</v>
      </c>
      <c r="B166" s="517"/>
      <c r="C166" s="517"/>
      <c r="D166" s="517"/>
      <c r="E166" s="517"/>
    </row>
    <row r="167" spans="1:5" ht="38.85" customHeight="1">
      <c r="C167" s="519" t="s">
        <v>141</v>
      </c>
      <c r="D167" s="519"/>
      <c r="E167" s="16"/>
    </row>
    <row r="168" spans="1:5">
      <c r="B168" s="513" t="s">
        <v>107</v>
      </c>
      <c r="C168" s="514"/>
      <c r="D168" s="515"/>
      <c r="E168" s="516"/>
    </row>
    <row r="169" spans="1:5" s="32" customFormat="1">
      <c r="B169" s="46"/>
      <c r="C169" s="46"/>
      <c r="D169" s="47"/>
      <c r="E169" s="47"/>
    </row>
    <row r="170" spans="1:5" s="32" customFormat="1">
      <c r="B170" s="46"/>
      <c r="C170" s="46"/>
    </row>
    <row r="171" spans="1:5">
      <c r="B171" s="307" t="s">
        <v>1</v>
      </c>
      <c r="C171" s="307" t="s">
        <v>2</v>
      </c>
      <c r="D171" s="255"/>
      <c r="E171" s="255"/>
    </row>
    <row r="172" spans="1:5">
      <c r="B172" s="179">
        <v>1139</v>
      </c>
      <c r="C172" s="216" t="s">
        <v>203</v>
      </c>
      <c r="D172" s="255"/>
      <c r="E172" s="255"/>
    </row>
    <row r="174" spans="1:5">
      <c r="B174" s="521" t="s">
        <v>3</v>
      </c>
      <c r="C174" s="522"/>
      <c r="D174" s="493" t="s">
        <v>88</v>
      </c>
      <c r="E174" s="494"/>
    </row>
    <row r="175" spans="1:5" ht="37.15" customHeight="1">
      <c r="B175" s="214" t="s">
        <v>4</v>
      </c>
      <c r="C175" s="284">
        <v>1139</v>
      </c>
      <c r="D175" s="495"/>
      <c r="E175" s="496"/>
    </row>
    <row r="176" spans="1:5">
      <c r="B176" s="239" t="s">
        <v>5</v>
      </c>
      <c r="C176" s="314">
        <v>11001</v>
      </c>
      <c r="D176" s="362" t="s">
        <v>122</v>
      </c>
      <c r="E176" s="362" t="s">
        <v>9</v>
      </c>
    </row>
    <row r="177" spans="2:5" ht="34.5">
      <c r="B177" s="239" t="s">
        <v>135</v>
      </c>
      <c r="C177" s="310" t="s">
        <v>203</v>
      </c>
      <c r="D177" s="255"/>
      <c r="E177" s="255"/>
    </row>
    <row r="178" spans="2:5" ht="69">
      <c r="B178" s="239" t="s">
        <v>136</v>
      </c>
      <c r="C178" s="310" t="s">
        <v>258</v>
      </c>
      <c r="D178" s="255"/>
      <c r="E178" s="255"/>
    </row>
    <row r="179" spans="2:5">
      <c r="B179" s="239" t="s">
        <v>137</v>
      </c>
      <c r="C179" s="310" t="s">
        <v>259</v>
      </c>
      <c r="D179" s="255"/>
      <c r="E179" s="255"/>
    </row>
    <row r="180" spans="2:5" ht="51.75">
      <c r="B180" s="327" t="s">
        <v>260</v>
      </c>
      <c r="C180" s="310" t="s">
        <v>141</v>
      </c>
      <c r="D180" s="255"/>
      <c r="E180" s="255"/>
    </row>
    <row r="181" spans="2:5">
      <c r="B181" s="315"/>
      <c r="C181" s="316" t="s">
        <v>0</v>
      </c>
      <c r="D181" s="255"/>
      <c r="E181" s="255"/>
    </row>
    <row r="182" spans="2:5">
      <c r="B182" s="523" t="s">
        <v>6</v>
      </c>
      <c r="C182" s="523"/>
      <c r="D182" s="317">
        <f>+'Հավելված N 2'!G187</f>
        <v>1431410.4999999998</v>
      </c>
      <c r="E182" s="317">
        <f>+'Հավելված N 2'!H187</f>
        <v>1868106.830000001</v>
      </c>
    </row>
    <row r="184" spans="2:5" s="8" customFormat="1">
      <c r="B184" s="177" t="s">
        <v>1</v>
      </c>
      <c r="C184" s="177" t="s">
        <v>2</v>
      </c>
      <c r="D184" s="178"/>
      <c r="E184" s="178"/>
    </row>
    <row r="185" spans="2:5" s="8" customFormat="1">
      <c r="B185" s="179">
        <v>1168</v>
      </c>
      <c r="C185" s="216" t="s">
        <v>244</v>
      </c>
      <c r="D185" s="177"/>
      <c r="E185" s="177"/>
    </row>
    <row r="186" spans="2:5" s="8" customFormat="1"/>
    <row r="187" spans="2:5" s="8" customFormat="1">
      <c r="B187" s="491" t="s">
        <v>3</v>
      </c>
      <c r="C187" s="492"/>
      <c r="D187" s="493" t="s">
        <v>88</v>
      </c>
      <c r="E187" s="494"/>
    </row>
    <row r="188" spans="2:5" s="8" customFormat="1" ht="37.15" customHeight="1">
      <c r="B188" s="157" t="s">
        <v>4</v>
      </c>
      <c r="C188" s="170">
        <v>1168</v>
      </c>
      <c r="D188" s="495"/>
      <c r="E188" s="496"/>
    </row>
    <row r="189" spans="2:5" s="8" customFormat="1">
      <c r="B189" s="157" t="s">
        <v>5</v>
      </c>
      <c r="C189" s="170">
        <v>32001</v>
      </c>
      <c r="D189" s="183" t="s">
        <v>134</v>
      </c>
      <c r="E189" s="183" t="s">
        <v>12</v>
      </c>
    </row>
    <row r="190" spans="2:5" s="8" customFormat="1" ht="34.5">
      <c r="B190" s="214" t="s">
        <v>33</v>
      </c>
      <c r="C190" s="310" t="s">
        <v>245</v>
      </c>
      <c r="D190" s="432"/>
      <c r="E190" s="432"/>
    </row>
    <row r="191" spans="2:5" s="8" customFormat="1" ht="69">
      <c r="B191" s="214" t="s">
        <v>34</v>
      </c>
      <c r="C191" s="310" t="s">
        <v>246</v>
      </c>
      <c r="D191" s="433"/>
      <c r="E191" s="433"/>
    </row>
    <row r="192" spans="2:5" s="8" customFormat="1" ht="34.5">
      <c r="B192" s="214" t="s">
        <v>35</v>
      </c>
      <c r="C192" s="310" t="s">
        <v>98</v>
      </c>
      <c r="D192" s="433"/>
      <c r="E192" s="433"/>
    </row>
    <row r="193" spans="2:6" s="8" customFormat="1" ht="51.75">
      <c r="B193" s="206" t="s">
        <v>119</v>
      </c>
      <c r="C193" s="310" t="s">
        <v>247</v>
      </c>
      <c r="D193" s="433"/>
      <c r="E193" s="433"/>
    </row>
    <row r="194" spans="2:6" s="8" customFormat="1">
      <c r="B194" s="497" t="s">
        <v>0</v>
      </c>
      <c r="C194" s="498"/>
      <c r="D194" s="424"/>
      <c r="E194" s="424"/>
    </row>
    <row r="195" spans="2:6" s="31" customFormat="1">
      <c r="B195" s="181" t="s">
        <v>6</v>
      </c>
      <c r="C195" s="181"/>
      <c r="D195" s="182">
        <f>+'Հավելված N 2'!G50</f>
        <v>0</v>
      </c>
      <c r="E195" s="182">
        <f>+'Հավելված N 2'!H50</f>
        <v>199482</v>
      </c>
      <c r="F195" s="53"/>
    </row>
  </sheetData>
  <mergeCells count="89">
    <mergeCell ref="D190:D194"/>
    <mergeCell ref="E190:E194"/>
    <mergeCell ref="B194:C194"/>
    <mergeCell ref="C167:D167"/>
    <mergeCell ref="B168:E168"/>
    <mergeCell ref="B174:C174"/>
    <mergeCell ref="D174:E175"/>
    <mergeCell ref="B182:C182"/>
    <mergeCell ref="B187:C187"/>
    <mergeCell ref="D187:E188"/>
    <mergeCell ref="A166:E166"/>
    <mergeCell ref="B138:C138"/>
    <mergeCell ref="B141:C141"/>
    <mergeCell ref="D141:E142"/>
    <mergeCell ref="D144:D148"/>
    <mergeCell ref="E144:E148"/>
    <mergeCell ref="B148:C148"/>
    <mergeCell ref="B151:C151"/>
    <mergeCell ref="D151:E152"/>
    <mergeCell ref="D154:D158"/>
    <mergeCell ref="E154:E158"/>
    <mergeCell ref="B158:C158"/>
    <mergeCell ref="B127:C127"/>
    <mergeCell ref="B130:C130"/>
    <mergeCell ref="D130:E131"/>
    <mergeCell ref="D133:D137"/>
    <mergeCell ref="E133:E137"/>
    <mergeCell ref="B137:C137"/>
    <mergeCell ref="B116:C116"/>
    <mergeCell ref="B119:C119"/>
    <mergeCell ref="D119:E120"/>
    <mergeCell ref="D122:D126"/>
    <mergeCell ref="E122:E126"/>
    <mergeCell ref="B126:C126"/>
    <mergeCell ref="B104:C104"/>
    <mergeCell ref="B105:C105"/>
    <mergeCell ref="B108:C108"/>
    <mergeCell ref="D108:E109"/>
    <mergeCell ref="D111:D115"/>
    <mergeCell ref="E111:E115"/>
    <mergeCell ref="B115:C115"/>
    <mergeCell ref="B103:C103"/>
    <mergeCell ref="B82:C82"/>
    <mergeCell ref="D82:E83"/>
    <mergeCell ref="D85:D89"/>
    <mergeCell ref="E85:E89"/>
    <mergeCell ref="B89:C89"/>
    <mergeCell ref="C92:E92"/>
    <mergeCell ref="B95:C95"/>
    <mergeCell ref="D95:E96"/>
    <mergeCell ref="D98:D102"/>
    <mergeCell ref="E98:E102"/>
    <mergeCell ref="B102:C102"/>
    <mergeCell ref="B76:C76"/>
    <mergeCell ref="B49:C49"/>
    <mergeCell ref="B55:C55"/>
    <mergeCell ref="D55:E56"/>
    <mergeCell ref="D58:D62"/>
    <mergeCell ref="E58:E62"/>
    <mergeCell ref="B62:C62"/>
    <mergeCell ref="B68:C68"/>
    <mergeCell ref="D68:E69"/>
    <mergeCell ref="D71:D75"/>
    <mergeCell ref="E71:E75"/>
    <mergeCell ref="B75:C75"/>
    <mergeCell ref="B48:C48"/>
    <mergeCell ref="B24:C24"/>
    <mergeCell ref="B27:C27"/>
    <mergeCell ref="D27:E28"/>
    <mergeCell ref="D30:D34"/>
    <mergeCell ref="E30:E34"/>
    <mergeCell ref="B34:C34"/>
    <mergeCell ref="B40:C40"/>
    <mergeCell ref="D40:E41"/>
    <mergeCell ref="D43:D47"/>
    <mergeCell ref="E43:E47"/>
    <mergeCell ref="B47:C47"/>
    <mergeCell ref="B10:E10"/>
    <mergeCell ref="B16:C16"/>
    <mergeCell ref="D16:E17"/>
    <mergeCell ref="D19:D23"/>
    <mergeCell ref="E19:E23"/>
    <mergeCell ref="B23:C23"/>
    <mergeCell ref="C9:D9"/>
    <mergeCell ref="C1:E1"/>
    <mergeCell ref="C2:E2"/>
    <mergeCell ref="C3:E3"/>
    <mergeCell ref="B6:E6"/>
    <mergeCell ref="A8:E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213"/>
  <sheetViews>
    <sheetView topLeftCell="A19" zoomScale="85" zoomScaleNormal="85" workbookViewId="0">
      <selection activeCell="A31" sqref="A31:XFD31"/>
    </sheetView>
  </sheetViews>
  <sheetFormatPr defaultColWidth="9.25" defaultRowHeight="17.25"/>
  <cols>
    <col min="1" max="4" width="18.25" style="8" customWidth="1"/>
    <col min="5" max="6" width="14.25" style="8" customWidth="1"/>
    <col min="7" max="7" width="19.875" style="371" bestFit="1" customWidth="1"/>
    <col min="8" max="8" width="14.25" style="8" customWidth="1"/>
    <col min="9" max="9" width="30.25" style="8" customWidth="1"/>
    <col min="10" max="10" width="19.625" style="8" customWidth="1"/>
    <col min="11" max="11" width="9.25" style="8"/>
    <col min="12" max="13" width="11" style="8" bestFit="1" customWidth="1"/>
    <col min="14" max="16384" width="9.25" style="8"/>
  </cols>
  <sheetData>
    <row r="1" spans="1:11" ht="37.5" customHeight="1">
      <c r="H1" s="407" t="s">
        <v>114</v>
      </c>
      <c r="I1" s="407"/>
    </row>
    <row r="2" spans="1:11" ht="17.45" customHeight="1">
      <c r="H2" s="408" t="s">
        <v>126</v>
      </c>
      <c r="I2" s="408"/>
    </row>
    <row r="3" spans="1:11" ht="17.45" customHeight="1">
      <c r="H3" s="408" t="s">
        <v>7</v>
      </c>
      <c r="I3" s="408"/>
    </row>
    <row r="4" spans="1:11" ht="13.5" customHeight="1">
      <c r="I4" s="355"/>
      <c r="J4" s="371"/>
      <c r="K4" s="371"/>
    </row>
    <row r="5" spans="1:11" ht="42.95" customHeight="1">
      <c r="A5" s="411" t="s">
        <v>128</v>
      </c>
      <c r="B5" s="411"/>
      <c r="C5" s="411"/>
      <c r="D5" s="411"/>
      <c r="E5" s="411"/>
      <c r="F5" s="411"/>
      <c r="G5" s="411"/>
      <c r="H5" s="411"/>
      <c r="I5" s="411"/>
    </row>
    <row r="6" spans="1:11" ht="15.95" customHeight="1">
      <c r="A6" s="538"/>
      <c r="B6" s="538"/>
      <c r="C6" s="538"/>
      <c r="D6" s="538"/>
      <c r="E6" s="538"/>
      <c r="F6" s="538"/>
      <c r="G6" s="538"/>
      <c r="H6" s="538"/>
      <c r="I6" s="538"/>
    </row>
    <row r="7" spans="1:11" ht="101.45" customHeight="1">
      <c r="A7" s="437" t="s">
        <v>67</v>
      </c>
      <c r="B7" s="493" t="s">
        <v>68</v>
      </c>
      <c r="C7" s="533"/>
      <c r="D7" s="494"/>
      <c r="E7" s="437" t="s">
        <v>69</v>
      </c>
      <c r="F7" s="437" t="s">
        <v>70</v>
      </c>
      <c r="G7" s="541" t="s">
        <v>71</v>
      </c>
      <c r="H7" s="539" t="s">
        <v>113</v>
      </c>
      <c r="I7" s="540"/>
    </row>
    <row r="8" spans="1:11" ht="35.450000000000003" customHeight="1">
      <c r="A8" s="437"/>
      <c r="B8" s="495"/>
      <c r="C8" s="534"/>
      <c r="D8" s="496"/>
      <c r="E8" s="437"/>
      <c r="F8" s="437"/>
      <c r="G8" s="541"/>
      <c r="H8" s="372" t="s">
        <v>72</v>
      </c>
      <c r="I8" s="373" t="s">
        <v>73</v>
      </c>
    </row>
    <row r="9" spans="1:11">
      <c r="A9" s="374">
        <v>1</v>
      </c>
      <c r="B9" s="535">
        <v>2</v>
      </c>
      <c r="C9" s="536"/>
      <c r="D9" s="537"/>
      <c r="E9" s="375">
        <v>3</v>
      </c>
      <c r="F9" s="375">
        <v>4</v>
      </c>
      <c r="G9" s="354">
        <v>5</v>
      </c>
      <c r="H9" s="375">
        <v>6</v>
      </c>
      <c r="I9" s="374">
        <v>7</v>
      </c>
    </row>
    <row r="10" spans="1:11" ht="45" customHeight="1">
      <c r="A10" s="542" t="s">
        <v>139</v>
      </c>
      <c r="B10" s="542"/>
      <c r="C10" s="542"/>
      <c r="D10" s="542"/>
      <c r="E10" s="542"/>
      <c r="F10" s="542"/>
      <c r="G10" s="542"/>
      <c r="H10" s="542"/>
      <c r="I10" s="376">
        <f>+I11+I20+I26</f>
        <v>-2067588.830000001</v>
      </c>
      <c r="J10" s="377"/>
    </row>
    <row r="11" spans="1:11">
      <c r="A11" s="378" t="s">
        <v>154</v>
      </c>
      <c r="B11" s="378" t="s">
        <v>155</v>
      </c>
      <c r="C11" s="378" t="s">
        <v>167</v>
      </c>
      <c r="D11" s="530" t="s">
        <v>168</v>
      </c>
      <c r="E11" s="531"/>
      <c r="F11" s="531"/>
      <c r="G11" s="531"/>
      <c r="H11" s="532"/>
      <c r="I11" s="379">
        <f>+I12</f>
        <v>-199482</v>
      </c>
    </row>
    <row r="12" spans="1:11" s="381" customFormat="1" ht="54.95" customHeight="1">
      <c r="A12" s="67" t="s">
        <v>166</v>
      </c>
      <c r="B12" s="525" t="s">
        <v>169</v>
      </c>
      <c r="C12" s="525"/>
      <c r="D12" s="525"/>
      <c r="E12" s="525"/>
      <c r="F12" s="525"/>
      <c r="G12" s="525"/>
      <c r="H12" s="525"/>
      <c r="I12" s="380">
        <f>+I13+I15</f>
        <v>-199482</v>
      </c>
    </row>
    <row r="13" spans="1:11" s="31" customFormat="1" ht="20.85" customHeight="1">
      <c r="A13" s="382"/>
      <c r="B13" s="526" t="s">
        <v>75</v>
      </c>
      <c r="C13" s="527"/>
      <c r="D13" s="528"/>
      <c r="E13" s="383"/>
      <c r="F13" s="383"/>
      <c r="G13" s="383"/>
      <c r="H13" s="384"/>
      <c r="I13" s="385">
        <f>SUM(I14:I14)</f>
        <v>-161417</v>
      </c>
    </row>
    <row r="14" spans="1:11" s="392" customFormat="1" ht="18" customHeight="1">
      <c r="A14" s="386" t="s">
        <v>158</v>
      </c>
      <c r="B14" s="529" t="s">
        <v>159</v>
      </c>
      <c r="C14" s="529"/>
      <c r="D14" s="529"/>
      <c r="E14" s="387" t="s">
        <v>160</v>
      </c>
      <c r="F14" s="388" t="s">
        <v>76</v>
      </c>
      <c r="G14" s="389">
        <v>161417000</v>
      </c>
      <c r="H14" s="390">
        <v>-1</v>
      </c>
      <c r="I14" s="391">
        <f>+ROUND(H14*G14/1000,1)</f>
        <v>-161417</v>
      </c>
    </row>
    <row r="15" spans="1:11" s="392" customFormat="1" ht="20.85" customHeight="1">
      <c r="A15" s="393"/>
      <c r="B15" s="526" t="s">
        <v>78</v>
      </c>
      <c r="C15" s="527"/>
      <c r="D15" s="528"/>
      <c r="E15" s="383" t="s">
        <v>77</v>
      </c>
      <c r="F15" s="383" t="s">
        <v>77</v>
      </c>
      <c r="G15" s="383" t="s">
        <v>77</v>
      </c>
      <c r="H15" s="394"/>
      <c r="I15" s="385">
        <f>SUM(I16:I19)</f>
        <v>-38065</v>
      </c>
    </row>
    <row r="16" spans="1:11" s="392" customFormat="1">
      <c r="A16" s="393" t="s">
        <v>161</v>
      </c>
      <c r="B16" s="524" t="s">
        <v>164</v>
      </c>
      <c r="C16" s="524"/>
      <c r="D16" s="524"/>
      <c r="E16" s="357" t="s">
        <v>74</v>
      </c>
      <c r="F16" s="357" t="s">
        <v>86</v>
      </c>
      <c r="G16" s="395">
        <v>1990800</v>
      </c>
      <c r="H16" s="396">
        <v>-1</v>
      </c>
      <c r="I16" s="391">
        <f t="shared" ref="I16:I17" si="0">+ROUND(H16*G16/1000,1)</f>
        <v>-1990.8</v>
      </c>
    </row>
    <row r="17" spans="1:9" s="392" customFormat="1">
      <c r="A17" s="393" t="s">
        <v>162</v>
      </c>
      <c r="B17" s="524" t="s">
        <v>165</v>
      </c>
      <c r="C17" s="524"/>
      <c r="D17" s="524"/>
      <c r="E17" s="357" t="s">
        <v>87</v>
      </c>
      <c r="F17" s="357" t="s">
        <v>86</v>
      </c>
      <c r="G17" s="397">
        <v>796400</v>
      </c>
      <c r="H17" s="398">
        <v>-1</v>
      </c>
      <c r="I17" s="391">
        <f t="shared" si="0"/>
        <v>-796.4</v>
      </c>
    </row>
    <row r="18" spans="1:9" s="392" customFormat="1" ht="35.450000000000003" customHeight="1">
      <c r="A18" s="393" t="s">
        <v>281</v>
      </c>
      <c r="B18" s="524" t="s">
        <v>282</v>
      </c>
      <c r="C18" s="524"/>
      <c r="D18" s="524"/>
      <c r="E18" s="357" t="s">
        <v>74</v>
      </c>
      <c r="F18" s="357" t="s">
        <v>86</v>
      </c>
      <c r="G18" s="395">
        <v>33597900</v>
      </c>
      <c r="H18" s="396">
        <v>-1</v>
      </c>
      <c r="I18" s="391">
        <f t="shared" ref="I18" si="1">+ROUND(H18*G18/1000,1)</f>
        <v>-33597.9</v>
      </c>
    </row>
    <row r="19" spans="1:9" s="392" customFormat="1" ht="18" customHeight="1">
      <c r="A19" s="393" t="s">
        <v>283</v>
      </c>
      <c r="B19" s="524" t="s">
        <v>163</v>
      </c>
      <c r="C19" s="524"/>
      <c r="D19" s="524"/>
      <c r="E19" s="357" t="s">
        <v>74</v>
      </c>
      <c r="F19" s="357" t="s">
        <v>86</v>
      </c>
      <c r="G19" s="395">
        <v>1679900</v>
      </c>
      <c r="H19" s="396">
        <v>-1</v>
      </c>
      <c r="I19" s="391">
        <f t="shared" ref="I19" si="2">+ROUND(H19*G19/1000,1)</f>
        <v>-1679.9</v>
      </c>
    </row>
    <row r="20" spans="1:9">
      <c r="A20" s="378" t="s">
        <v>154</v>
      </c>
      <c r="B20" s="378" t="s">
        <v>155</v>
      </c>
      <c r="C20" s="378" t="s">
        <v>156</v>
      </c>
      <c r="D20" s="530" t="s">
        <v>157</v>
      </c>
      <c r="E20" s="531"/>
      <c r="F20" s="531"/>
      <c r="G20" s="531"/>
      <c r="H20" s="532"/>
      <c r="I20" s="379">
        <f>+I21</f>
        <v>79472.600000000006</v>
      </c>
    </row>
    <row r="21" spans="1:9" s="381" customFormat="1" ht="54.95" customHeight="1">
      <c r="A21" s="67" t="s">
        <v>153</v>
      </c>
      <c r="B21" s="525" t="s">
        <v>151</v>
      </c>
      <c r="C21" s="525"/>
      <c r="D21" s="525"/>
      <c r="E21" s="525"/>
      <c r="F21" s="525"/>
      <c r="G21" s="525"/>
      <c r="H21" s="525"/>
      <c r="I21" s="380">
        <f>+I22+I24</f>
        <v>79472.600000000006</v>
      </c>
    </row>
    <row r="22" spans="1:9" s="31" customFormat="1" ht="20.85" customHeight="1">
      <c r="A22" s="382"/>
      <c r="B22" s="526" t="s">
        <v>75</v>
      </c>
      <c r="C22" s="527"/>
      <c r="D22" s="528"/>
      <c r="E22" s="383"/>
      <c r="F22" s="383"/>
      <c r="G22" s="383"/>
      <c r="H22" s="384"/>
      <c r="I22" s="385">
        <f>SUM(I23:I23)</f>
        <v>78532</v>
      </c>
    </row>
    <row r="23" spans="1:9" s="392" customFormat="1" ht="18" customHeight="1">
      <c r="A23" s="386" t="s">
        <v>324</v>
      </c>
      <c r="B23" s="529" t="s">
        <v>159</v>
      </c>
      <c r="C23" s="529"/>
      <c r="D23" s="529"/>
      <c r="E23" s="387" t="s">
        <v>160</v>
      </c>
      <c r="F23" s="388" t="s">
        <v>76</v>
      </c>
      <c r="G23" s="389"/>
      <c r="H23" s="390"/>
      <c r="I23" s="391">
        <v>78532</v>
      </c>
    </row>
    <row r="24" spans="1:9" s="392" customFormat="1" ht="20.85" customHeight="1">
      <c r="A24" s="393"/>
      <c r="B24" s="526" t="s">
        <v>78</v>
      </c>
      <c r="C24" s="527"/>
      <c r="D24" s="528"/>
      <c r="E24" s="383" t="s">
        <v>77</v>
      </c>
      <c r="F24" s="383" t="s">
        <v>77</v>
      </c>
      <c r="G24" s="383" t="s">
        <v>77</v>
      </c>
      <c r="H24" s="394"/>
      <c r="I24" s="385">
        <f>SUM(I25:I25)</f>
        <v>940.6</v>
      </c>
    </row>
    <row r="25" spans="1:9" s="392" customFormat="1">
      <c r="A25" s="393">
        <v>71351540</v>
      </c>
      <c r="B25" s="524" t="s">
        <v>164</v>
      </c>
      <c r="C25" s="524"/>
      <c r="D25" s="524"/>
      <c r="E25" s="357" t="s">
        <v>74</v>
      </c>
      <c r="F25" s="357" t="s">
        <v>86</v>
      </c>
      <c r="G25" s="395">
        <v>940600</v>
      </c>
      <c r="H25" s="396">
        <v>1</v>
      </c>
      <c r="I25" s="391">
        <f t="shared" ref="I25" si="3">+ROUND(H25*G25/1000,1)</f>
        <v>940.6</v>
      </c>
    </row>
    <row r="26" spans="1:9">
      <c r="A26" s="378" t="s">
        <v>174</v>
      </c>
      <c r="B26" s="378" t="s">
        <v>175</v>
      </c>
      <c r="C26" s="378" t="s">
        <v>171</v>
      </c>
      <c r="D26" s="530" t="s">
        <v>176</v>
      </c>
      <c r="E26" s="531"/>
      <c r="F26" s="531"/>
      <c r="G26" s="531"/>
      <c r="H26" s="532"/>
      <c r="I26" s="379">
        <f>+I27+I34+I43+I49+I86+I94+I114+I134+I138+I187</f>
        <v>-1947579.4300000011</v>
      </c>
    </row>
    <row r="27" spans="1:9" s="381" customFormat="1" ht="54.95" customHeight="1">
      <c r="A27" s="67" t="s">
        <v>180</v>
      </c>
      <c r="B27" s="525" t="s">
        <v>209</v>
      </c>
      <c r="C27" s="525"/>
      <c r="D27" s="525"/>
      <c r="E27" s="525"/>
      <c r="F27" s="525"/>
      <c r="G27" s="525"/>
      <c r="H27" s="525"/>
      <c r="I27" s="380">
        <f>+I28+I30</f>
        <v>-330699.7</v>
      </c>
    </row>
    <row r="28" spans="1:9" s="31" customFormat="1" ht="20.85" customHeight="1">
      <c r="A28" s="382"/>
      <c r="B28" s="526" t="s">
        <v>75</v>
      </c>
      <c r="C28" s="527"/>
      <c r="D28" s="528"/>
      <c r="E28" s="383"/>
      <c r="F28" s="383"/>
      <c r="G28" s="383"/>
      <c r="H28" s="384"/>
      <c r="I28" s="385">
        <f>+I29</f>
        <v>-307191.5</v>
      </c>
    </row>
    <row r="29" spans="1:9" s="392" customFormat="1">
      <c r="A29" s="393" t="s">
        <v>264</v>
      </c>
      <c r="B29" s="524" t="s">
        <v>265</v>
      </c>
      <c r="C29" s="524"/>
      <c r="D29" s="524"/>
      <c r="E29" s="357" t="s">
        <v>266</v>
      </c>
      <c r="F29" s="357" t="s">
        <v>76</v>
      </c>
      <c r="G29" s="395"/>
      <c r="H29" s="396"/>
      <c r="I29" s="391">
        <v>-307191.5</v>
      </c>
    </row>
    <row r="30" spans="1:9" s="392" customFormat="1" ht="20.85" customHeight="1">
      <c r="A30" s="393"/>
      <c r="B30" s="526" t="s">
        <v>78</v>
      </c>
      <c r="C30" s="527"/>
      <c r="D30" s="528"/>
      <c r="E30" s="383" t="s">
        <v>77</v>
      </c>
      <c r="F30" s="383" t="s">
        <v>77</v>
      </c>
      <c r="G30" s="383" t="s">
        <v>77</v>
      </c>
      <c r="H30" s="394"/>
      <c r="I30" s="385">
        <f>SUM(I31:I33)</f>
        <v>-23508.199999999997</v>
      </c>
    </row>
    <row r="31" spans="1:9" s="392" customFormat="1" ht="35.450000000000003" customHeight="1">
      <c r="A31" s="400" t="s">
        <v>281</v>
      </c>
      <c r="B31" s="524" t="s">
        <v>460</v>
      </c>
      <c r="C31" s="524"/>
      <c r="D31" s="524"/>
      <c r="E31" s="399" t="s">
        <v>74</v>
      </c>
      <c r="F31" s="399" t="s">
        <v>86</v>
      </c>
      <c r="G31" s="395"/>
      <c r="H31" s="396"/>
      <c r="I31" s="391">
        <v>-12449.4</v>
      </c>
    </row>
    <row r="32" spans="1:9" s="392" customFormat="1">
      <c r="A32" s="393" t="s">
        <v>161</v>
      </c>
      <c r="B32" s="524" t="s">
        <v>164</v>
      </c>
      <c r="C32" s="524"/>
      <c r="D32" s="524"/>
      <c r="E32" s="357" t="s">
        <v>74</v>
      </c>
      <c r="F32" s="357" t="s">
        <v>86</v>
      </c>
      <c r="G32" s="395"/>
      <c r="H32" s="396"/>
      <c r="I32" s="391">
        <v>-9215.7000000000007</v>
      </c>
    </row>
    <row r="33" spans="1:9" s="392" customFormat="1">
      <c r="A33" s="393" t="s">
        <v>162</v>
      </c>
      <c r="B33" s="524" t="s">
        <v>165</v>
      </c>
      <c r="C33" s="524"/>
      <c r="D33" s="524"/>
      <c r="E33" s="357" t="s">
        <v>87</v>
      </c>
      <c r="F33" s="357" t="s">
        <v>86</v>
      </c>
      <c r="G33" s="397"/>
      <c r="H33" s="398"/>
      <c r="I33" s="391">
        <v>-1843.1</v>
      </c>
    </row>
    <row r="34" spans="1:9" s="381" customFormat="1" ht="54.95" customHeight="1">
      <c r="A34" s="67" t="s">
        <v>182</v>
      </c>
      <c r="B34" s="525" t="s">
        <v>267</v>
      </c>
      <c r="C34" s="525"/>
      <c r="D34" s="525"/>
      <c r="E34" s="525"/>
      <c r="F34" s="525"/>
      <c r="G34" s="525"/>
      <c r="H34" s="525"/>
      <c r="I34" s="380">
        <f>+I35+I38</f>
        <v>-519865.60000000003</v>
      </c>
    </row>
    <row r="35" spans="1:9" s="31" customFormat="1" ht="20.85" customHeight="1">
      <c r="A35" s="382"/>
      <c r="B35" s="526" t="s">
        <v>75</v>
      </c>
      <c r="C35" s="527"/>
      <c r="D35" s="528"/>
      <c r="E35" s="383"/>
      <c r="F35" s="383"/>
      <c r="G35" s="383"/>
      <c r="H35" s="384"/>
      <c r="I35" s="385">
        <f>SUM(I36:I37)</f>
        <v>-501800.60000000003</v>
      </c>
    </row>
    <row r="36" spans="1:9" s="392" customFormat="1" ht="18" customHeight="1">
      <c r="A36" s="393" t="s">
        <v>272</v>
      </c>
      <c r="B36" s="524" t="s">
        <v>269</v>
      </c>
      <c r="C36" s="524"/>
      <c r="D36" s="524"/>
      <c r="E36" s="357" t="s">
        <v>266</v>
      </c>
      <c r="F36" s="357" t="s">
        <v>76</v>
      </c>
      <c r="G36" s="395"/>
      <c r="H36" s="396"/>
      <c r="I36" s="391">
        <v>-162981.70000000001</v>
      </c>
    </row>
    <row r="37" spans="1:9" s="392" customFormat="1" ht="18" customHeight="1">
      <c r="A37" s="393" t="s">
        <v>276</v>
      </c>
      <c r="B37" s="524" t="s">
        <v>269</v>
      </c>
      <c r="C37" s="524"/>
      <c r="D37" s="524"/>
      <c r="E37" s="357" t="s">
        <v>266</v>
      </c>
      <c r="F37" s="357" t="s">
        <v>76</v>
      </c>
      <c r="G37" s="395"/>
      <c r="H37" s="396"/>
      <c r="I37" s="391">
        <v>-338818.9</v>
      </c>
    </row>
    <row r="38" spans="1:9" s="392" customFormat="1" ht="20.85" customHeight="1">
      <c r="A38" s="393"/>
      <c r="B38" s="526" t="s">
        <v>78</v>
      </c>
      <c r="C38" s="527"/>
      <c r="D38" s="528"/>
      <c r="E38" s="383" t="s">
        <v>77</v>
      </c>
      <c r="F38" s="383" t="s">
        <v>77</v>
      </c>
      <c r="G38" s="383" t="s">
        <v>77</v>
      </c>
      <c r="H38" s="394"/>
      <c r="I38" s="385">
        <f>SUM(I39:I42)</f>
        <v>-18065</v>
      </c>
    </row>
    <row r="39" spans="1:9" s="392" customFormat="1">
      <c r="A39" s="393" t="s">
        <v>273</v>
      </c>
      <c r="B39" s="524" t="s">
        <v>164</v>
      </c>
      <c r="C39" s="524"/>
      <c r="D39" s="524"/>
      <c r="E39" s="357" t="s">
        <v>74</v>
      </c>
      <c r="F39" s="357" t="s">
        <v>86</v>
      </c>
      <c r="G39" s="395"/>
      <c r="H39" s="396"/>
      <c r="I39" s="391">
        <v>-4889.5</v>
      </c>
    </row>
    <row r="40" spans="1:9" s="392" customFormat="1">
      <c r="A40" s="393" t="s">
        <v>277</v>
      </c>
      <c r="B40" s="524" t="s">
        <v>164</v>
      </c>
      <c r="C40" s="524"/>
      <c r="D40" s="524"/>
      <c r="E40" s="357" t="s">
        <v>74</v>
      </c>
      <c r="F40" s="357" t="s">
        <v>86</v>
      </c>
      <c r="G40" s="395"/>
      <c r="H40" s="396"/>
      <c r="I40" s="391">
        <v>-10164.6</v>
      </c>
    </row>
    <row r="41" spans="1:9" s="392" customFormat="1">
      <c r="A41" s="393" t="s">
        <v>274</v>
      </c>
      <c r="B41" s="524" t="s">
        <v>165</v>
      </c>
      <c r="C41" s="524"/>
      <c r="D41" s="524"/>
      <c r="E41" s="357" t="s">
        <v>87</v>
      </c>
      <c r="F41" s="357" t="s">
        <v>86</v>
      </c>
      <c r="G41" s="397"/>
      <c r="H41" s="398"/>
      <c r="I41" s="391">
        <v>-978</v>
      </c>
    </row>
    <row r="42" spans="1:9" s="392" customFormat="1">
      <c r="A42" s="393" t="s">
        <v>278</v>
      </c>
      <c r="B42" s="524" t="s">
        <v>165</v>
      </c>
      <c r="C42" s="524"/>
      <c r="D42" s="524"/>
      <c r="E42" s="357" t="s">
        <v>87</v>
      </c>
      <c r="F42" s="357" t="s">
        <v>86</v>
      </c>
      <c r="G42" s="397"/>
      <c r="H42" s="398"/>
      <c r="I42" s="391">
        <v>-2032.9</v>
      </c>
    </row>
    <row r="43" spans="1:9" s="381" customFormat="1" ht="54.95" customHeight="1">
      <c r="A43" s="67" t="s">
        <v>286</v>
      </c>
      <c r="B43" s="525" t="s">
        <v>287</v>
      </c>
      <c r="C43" s="525"/>
      <c r="D43" s="525"/>
      <c r="E43" s="525"/>
      <c r="F43" s="525"/>
      <c r="G43" s="525"/>
      <c r="H43" s="525"/>
      <c r="I43" s="380">
        <f>+I44+I46</f>
        <v>-267295.40000000002</v>
      </c>
    </row>
    <row r="44" spans="1:9" s="31" customFormat="1" ht="20.85" customHeight="1">
      <c r="A44" s="382"/>
      <c r="B44" s="526" t="s">
        <v>75</v>
      </c>
      <c r="C44" s="527"/>
      <c r="D44" s="528"/>
      <c r="E44" s="383"/>
      <c r="F44" s="383"/>
      <c r="G44" s="383"/>
      <c r="H44" s="384"/>
      <c r="I44" s="385">
        <f>+I45</f>
        <v>-260254.7</v>
      </c>
    </row>
    <row r="45" spans="1:9" s="392" customFormat="1" ht="18" customHeight="1">
      <c r="A45" s="393" t="s">
        <v>268</v>
      </c>
      <c r="B45" s="524" t="s">
        <v>269</v>
      </c>
      <c r="C45" s="524"/>
      <c r="D45" s="524"/>
      <c r="E45" s="357" t="s">
        <v>266</v>
      </c>
      <c r="F45" s="357" t="s">
        <v>76</v>
      </c>
      <c r="G45" s="395"/>
      <c r="H45" s="396"/>
      <c r="I45" s="391">
        <v>-260254.7</v>
      </c>
    </row>
    <row r="46" spans="1:9" s="392" customFormat="1" ht="20.85" customHeight="1">
      <c r="A46" s="393"/>
      <c r="B46" s="526" t="s">
        <v>78</v>
      </c>
      <c r="C46" s="527"/>
      <c r="D46" s="528"/>
      <c r="E46" s="383" t="s">
        <v>77</v>
      </c>
      <c r="F46" s="383" t="s">
        <v>77</v>
      </c>
      <c r="G46" s="383" t="s">
        <v>77</v>
      </c>
      <c r="H46" s="394"/>
      <c r="I46" s="385">
        <f>SUM(I47:I48)</f>
        <v>-7040.7</v>
      </c>
    </row>
    <row r="47" spans="1:9" s="392" customFormat="1">
      <c r="A47" s="393" t="s">
        <v>161</v>
      </c>
      <c r="B47" s="524" t="s">
        <v>164</v>
      </c>
      <c r="C47" s="524"/>
      <c r="D47" s="524"/>
      <c r="E47" s="357" t="s">
        <v>74</v>
      </c>
      <c r="F47" s="357" t="s">
        <v>86</v>
      </c>
      <c r="G47" s="395"/>
      <c r="H47" s="396"/>
      <c r="I47" s="391">
        <v>-5540.9</v>
      </c>
    </row>
    <row r="48" spans="1:9" s="392" customFormat="1">
      <c r="A48" s="393" t="s">
        <v>162</v>
      </c>
      <c r="B48" s="524" t="s">
        <v>165</v>
      </c>
      <c r="C48" s="524"/>
      <c r="D48" s="524"/>
      <c r="E48" s="357" t="s">
        <v>87</v>
      </c>
      <c r="F48" s="357" t="s">
        <v>86</v>
      </c>
      <c r="G48" s="397"/>
      <c r="H48" s="398"/>
      <c r="I48" s="391">
        <v>-1499.8</v>
      </c>
    </row>
    <row r="49" spans="1:9" s="381" customFormat="1" ht="54.95" customHeight="1">
      <c r="A49" s="67" t="s">
        <v>189</v>
      </c>
      <c r="B49" s="525" t="s">
        <v>190</v>
      </c>
      <c r="C49" s="525"/>
      <c r="D49" s="525"/>
      <c r="E49" s="525"/>
      <c r="F49" s="525"/>
      <c r="G49" s="525"/>
      <c r="H49" s="525"/>
      <c r="I49" s="380">
        <f>+I50+I61</f>
        <v>-1751820.23</v>
      </c>
    </row>
    <row r="50" spans="1:9" s="31" customFormat="1" ht="20.85" customHeight="1">
      <c r="A50" s="382"/>
      <c r="B50" s="526" t="s">
        <v>75</v>
      </c>
      <c r="C50" s="527"/>
      <c r="D50" s="528"/>
      <c r="E50" s="383"/>
      <c r="F50" s="383"/>
      <c r="G50" s="383"/>
      <c r="H50" s="384"/>
      <c r="I50" s="385">
        <f>SUM(I51:I60)</f>
        <v>-1567537.5</v>
      </c>
    </row>
    <row r="51" spans="1:9" s="392" customFormat="1" ht="18" customHeight="1">
      <c r="A51" s="393">
        <v>45221142</v>
      </c>
      <c r="B51" s="524" t="s">
        <v>269</v>
      </c>
      <c r="C51" s="524"/>
      <c r="D51" s="524"/>
      <c r="E51" s="357" t="s">
        <v>261</v>
      </c>
      <c r="F51" s="357" t="s">
        <v>76</v>
      </c>
      <c r="G51" s="395">
        <v>200000000</v>
      </c>
      <c r="H51" s="396">
        <v>1</v>
      </c>
      <c r="I51" s="391">
        <f>+ROUND(H51*G51/1000,1)</f>
        <v>200000</v>
      </c>
    </row>
    <row r="52" spans="1:9" s="392" customFormat="1" ht="18" customHeight="1">
      <c r="A52" s="393" t="s">
        <v>268</v>
      </c>
      <c r="B52" s="524" t="s">
        <v>269</v>
      </c>
      <c r="C52" s="524"/>
      <c r="D52" s="524"/>
      <c r="E52" s="357" t="s">
        <v>261</v>
      </c>
      <c r="F52" s="357" t="s">
        <v>76</v>
      </c>
      <c r="G52" s="395"/>
      <c r="H52" s="396"/>
      <c r="I52" s="391">
        <v>-284146.7</v>
      </c>
    </row>
    <row r="53" spans="1:9" s="392" customFormat="1" ht="18" customHeight="1">
      <c r="A53" s="393" t="s">
        <v>276</v>
      </c>
      <c r="B53" s="524" t="s">
        <v>269</v>
      </c>
      <c r="C53" s="524"/>
      <c r="D53" s="524"/>
      <c r="E53" s="357" t="s">
        <v>261</v>
      </c>
      <c r="F53" s="357" t="s">
        <v>76</v>
      </c>
      <c r="G53" s="395"/>
      <c r="H53" s="396"/>
      <c r="I53" s="391">
        <v>85211.8</v>
      </c>
    </row>
    <row r="54" spans="1:9" s="392" customFormat="1" ht="18" customHeight="1">
      <c r="A54" s="393" t="s">
        <v>299</v>
      </c>
      <c r="B54" s="524" t="s">
        <v>269</v>
      </c>
      <c r="C54" s="524"/>
      <c r="D54" s="524"/>
      <c r="E54" s="357" t="s">
        <v>261</v>
      </c>
      <c r="F54" s="357" t="s">
        <v>76</v>
      </c>
      <c r="G54" s="395"/>
      <c r="H54" s="396"/>
      <c r="I54" s="391">
        <v>-330595.59999999998</v>
      </c>
    </row>
    <row r="55" spans="1:9" s="392" customFormat="1" ht="18" customHeight="1">
      <c r="A55" s="393" t="s">
        <v>303</v>
      </c>
      <c r="B55" s="524" t="s">
        <v>269</v>
      </c>
      <c r="C55" s="524"/>
      <c r="D55" s="524"/>
      <c r="E55" s="357" t="s">
        <v>261</v>
      </c>
      <c r="F55" s="357" t="s">
        <v>76</v>
      </c>
      <c r="G55" s="395"/>
      <c r="H55" s="396"/>
      <c r="I55" s="391">
        <v>-78134.8</v>
      </c>
    </row>
    <row r="56" spans="1:9" s="392" customFormat="1" ht="18" customHeight="1">
      <c r="A56" s="393" t="s">
        <v>294</v>
      </c>
      <c r="B56" s="524" t="s">
        <v>269</v>
      </c>
      <c r="C56" s="524"/>
      <c r="D56" s="524"/>
      <c r="E56" s="357" t="s">
        <v>160</v>
      </c>
      <c r="F56" s="357" t="s">
        <v>76</v>
      </c>
      <c r="G56" s="395"/>
      <c r="H56" s="396"/>
      <c r="I56" s="391">
        <v>-200805.2</v>
      </c>
    </row>
    <row r="57" spans="1:9" s="392" customFormat="1" ht="18" customHeight="1">
      <c r="A57" s="393" t="s">
        <v>315</v>
      </c>
      <c r="B57" s="524" t="s">
        <v>269</v>
      </c>
      <c r="C57" s="524"/>
      <c r="D57" s="524"/>
      <c r="E57" s="357" t="s">
        <v>160</v>
      </c>
      <c r="F57" s="357" t="s">
        <v>76</v>
      </c>
      <c r="G57" s="395"/>
      <c r="H57" s="396"/>
      <c r="I57" s="391">
        <v>-200000</v>
      </c>
    </row>
    <row r="58" spans="1:9" s="392" customFormat="1" ht="18" customHeight="1">
      <c r="A58" s="393" t="s">
        <v>322</v>
      </c>
      <c r="B58" s="524" t="s">
        <v>269</v>
      </c>
      <c r="C58" s="524"/>
      <c r="D58" s="524"/>
      <c r="E58" s="357" t="s">
        <v>160</v>
      </c>
      <c r="F58" s="357" t="s">
        <v>76</v>
      </c>
      <c r="G58" s="395"/>
      <c r="H58" s="396"/>
      <c r="I58" s="391">
        <v>-415710.3</v>
      </c>
    </row>
    <row r="59" spans="1:9" s="392" customFormat="1" ht="18" customHeight="1">
      <c r="A59" s="393" t="s">
        <v>309</v>
      </c>
      <c r="B59" s="524" t="s">
        <v>269</v>
      </c>
      <c r="C59" s="524"/>
      <c r="D59" s="524"/>
      <c r="E59" s="357" t="s">
        <v>160</v>
      </c>
      <c r="F59" s="357" t="s">
        <v>76</v>
      </c>
      <c r="G59" s="395"/>
      <c r="H59" s="396"/>
      <c r="I59" s="391">
        <v>-300000</v>
      </c>
    </row>
    <row r="60" spans="1:9" s="392" customFormat="1" ht="18" customHeight="1">
      <c r="A60" s="393" t="s">
        <v>290</v>
      </c>
      <c r="B60" s="524" t="s">
        <v>269</v>
      </c>
      <c r="C60" s="524"/>
      <c r="D60" s="524"/>
      <c r="E60" s="357" t="s">
        <v>160</v>
      </c>
      <c r="F60" s="357" t="s">
        <v>76</v>
      </c>
      <c r="G60" s="395"/>
      <c r="H60" s="396"/>
      <c r="I60" s="391">
        <v>-43356.7</v>
      </c>
    </row>
    <row r="61" spans="1:9" s="392" customFormat="1" ht="20.85" customHeight="1">
      <c r="A61" s="393"/>
      <c r="B61" s="526" t="s">
        <v>78</v>
      </c>
      <c r="C61" s="527"/>
      <c r="D61" s="528"/>
      <c r="E61" s="383" t="s">
        <v>77</v>
      </c>
      <c r="F61" s="383" t="s">
        <v>77</v>
      </c>
      <c r="G61" s="383" t="s">
        <v>77</v>
      </c>
      <c r="H61" s="394"/>
      <c r="I61" s="385">
        <f>SUM(I62:I85)</f>
        <v>-184282.72999999998</v>
      </c>
    </row>
    <row r="62" spans="1:9" s="392" customFormat="1">
      <c r="A62" s="393">
        <v>71351540</v>
      </c>
      <c r="B62" s="524" t="s">
        <v>164</v>
      </c>
      <c r="C62" s="524"/>
      <c r="D62" s="524"/>
      <c r="E62" s="357" t="s">
        <v>74</v>
      </c>
      <c r="F62" s="357" t="s">
        <v>86</v>
      </c>
      <c r="G62" s="397">
        <v>4065600</v>
      </c>
      <c r="H62" s="398">
        <v>1</v>
      </c>
      <c r="I62" s="391">
        <f>+ROUND(H62*G62/1000,1)</f>
        <v>4065.6</v>
      </c>
    </row>
    <row r="63" spans="1:9" s="392" customFormat="1">
      <c r="A63" s="393" t="s">
        <v>161</v>
      </c>
      <c r="B63" s="524" t="s">
        <v>164</v>
      </c>
      <c r="C63" s="524"/>
      <c r="D63" s="524"/>
      <c r="E63" s="357" t="s">
        <v>74</v>
      </c>
      <c r="F63" s="357" t="s">
        <v>86</v>
      </c>
      <c r="G63" s="397"/>
      <c r="H63" s="398"/>
      <c r="I63" s="391">
        <v>-11365.9</v>
      </c>
    </row>
    <row r="64" spans="1:9" s="392" customFormat="1">
      <c r="A64" s="393" t="s">
        <v>273</v>
      </c>
      <c r="B64" s="524" t="s">
        <v>164</v>
      </c>
      <c r="C64" s="524"/>
      <c r="D64" s="524"/>
      <c r="E64" s="357" t="s">
        <v>74</v>
      </c>
      <c r="F64" s="357" t="s">
        <v>86</v>
      </c>
      <c r="G64" s="397"/>
      <c r="H64" s="398"/>
      <c r="I64" s="391">
        <v>-5988.3</v>
      </c>
    </row>
    <row r="65" spans="1:9" s="392" customFormat="1">
      <c r="A65" s="393" t="s">
        <v>277</v>
      </c>
      <c r="B65" s="524" t="s">
        <v>164</v>
      </c>
      <c r="C65" s="524"/>
      <c r="D65" s="524"/>
      <c r="E65" s="357" t="s">
        <v>74</v>
      </c>
      <c r="F65" s="357" t="s">
        <v>86</v>
      </c>
      <c r="G65" s="397"/>
      <c r="H65" s="398"/>
      <c r="I65" s="391">
        <v>-5077.1000000000004</v>
      </c>
    </row>
    <row r="66" spans="1:9" s="392" customFormat="1">
      <c r="A66" s="393" t="s">
        <v>300</v>
      </c>
      <c r="B66" s="524" t="s">
        <v>164</v>
      </c>
      <c r="C66" s="524"/>
      <c r="D66" s="524"/>
      <c r="E66" s="357" t="s">
        <v>74</v>
      </c>
      <c r="F66" s="357" t="s">
        <v>86</v>
      </c>
      <c r="G66" s="397"/>
      <c r="H66" s="398"/>
      <c r="I66" s="391">
        <v>-23522.9</v>
      </c>
    </row>
    <row r="67" spans="1:9" s="392" customFormat="1">
      <c r="A67" s="393" t="s">
        <v>302</v>
      </c>
      <c r="B67" s="524" t="s">
        <v>164</v>
      </c>
      <c r="C67" s="524"/>
      <c r="D67" s="524"/>
      <c r="E67" s="357" t="s">
        <v>74</v>
      </c>
      <c r="F67" s="357" t="s">
        <v>86</v>
      </c>
      <c r="G67" s="397"/>
      <c r="H67" s="398"/>
      <c r="I67" s="391">
        <v>-12075.3</v>
      </c>
    </row>
    <row r="68" spans="1:9" s="392" customFormat="1">
      <c r="A68" s="393" t="s">
        <v>308</v>
      </c>
      <c r="B68" s="524" t="s">
        <v>164</v>
      </c>
      <c r="C68" s="524"/>
      <c r="D68" s="524"/>
      <c r="E68" s="357" t="s">
        <v>74</v>
      </c>
      <c r="F68" s="357" t="s">
        <v>86</v>
      </c>
      <c r="G68" s="397"/>
      <c r="H68" s="398"/>
      <c r="I68" s="391">
        <v>-15596.3</v>
      </c>
    </row>
    <row r="69" spans="1:9" s="392" customFormat="1">
      <c r="A69" s="393" t="s">
        <v>316</v>
      </c>
      <c r="B69" s="524" t="s">
        <v>164</v>
      </c>
      <c r="C69" s="524"/>
      <c r="D69" s="524"/>
      <c r="E69" s="357" t="s">
        <v>74</v>
      </c>
      <c r="F69" s="357" t="s">
        <v>86</v>
      </c>
      <c r="G69" s="397"/>
      <c r="H69" s="398"/>
      <c r="I69" s="391">
        <v>-6000</v>
      </c>
    </row>
    <row r="70" spans="1:9" s="392" customFormat="1">
      <c r="A70" s="393" t="s">
        <v>321</v>
      </c>
      <c r="B70" s="524" t="s">
        <v>164</v>
      </c>
      <c r="C70" s="524"/>
      <c r="D70" s="524"/>
      <c r="E70" s="357" t="s">
        <v>74</v>
      </c>
      <c r="F70" s="357" t="s">
        <v>86</v>
      </c>
      <c r="G70" s="397"/>
      <c r="H70" s="398"/>
      <c r="I70" s="391">
        <v>-22292.9</v>
      </c>
    </row>
    <row r="71" spans="1:9" s="392" customFormat="1">
      <c r="A71" s="393" t="s">
        <v>293</v>
      </c>
      <c r="B71" s="524" t="s">
        <v>164</v>
      </c>
      <c r="C71" s="524"/>
      <c r="D71" s="524"/>
      <c r="E71" s="357" t="s">
        <v>74</v>
      </c>
      <c r="F71" s="357" t="s">
        <v>86</v>
      </c>
      <c r="G71" s="397"/>
      <c r="H71" s="398"/>
      <c r="I71" s="391">
        <v>-849.9</v>
      </c>
    </row>
    <row r="72" spans="1:9" s="392" customFormat="1">
      <c r="A72" s="393">
        <v>98111140</v>
      </c>
      <c r="B72" s="524" t="s">
        <v>165</v>
      </c>
      <c r="C72" s="524"/>
      <c r="D72" s="524"/>
      <c r="E72" s="357" t="s">
        <v>87</v>
      </c>
      <c r="F72" s="357" t="s">
        <v>86</v>
      </c>
      <c r="G72" s="397">
        <v>1343500</v>
      </c>
      <c r="H72" s="398">
        <v>1</v>
      </c>
      <c r="I72" s="391">
        <f>+ROUND(H72*G72/1000,1)</f>
        <v>1343.5</v>
      </c>
    </row>
    <row r="73" spans="1:9" s="392" customFormat="1">
      <c r="A73" s="393" t="s">
        <v>162</v>
      </c>
      <c r="B73" s="524" t="s">
        <v>165</v>
      </c>
      <c r="C73" s="524"/>
      <c r="D73" s="524"/>
      <c r="E73" s="357" t="s">
        <v>87</v>
      </c>
      <c r="F73" s="357" t="s">
        <v>86</v>
      </c>
      <c r="G73" s="397"/>
      <c r="H73" s="398"/>
      <c r="I73" s="391">
        <v>-1704.9</v>
      </c>
    </row>
    <row r="74" spans="1:9" s="392" customFormat="1">
      <c r="A74" s="393" t="s">
        <v>274</v>
      </c>
      <c r="B74" s="524" t="s">
        <v>165</v>
      </c>
      <c r="C74" s="524"/>
      <c r="D74" s="524"/>
      <c r="E74" s="357" t="s">
        <v>87</v>
      </c>
      <c r="F74" s="357" t="s">
        <v>86</v>
      </c>
      <c r="G74" s="397"/>
      <c r="H74" s="398"/>
      <c r="I74" s="391">
        <v>-568.4</v>
      </c>
    </row>
    <row r="75" spans="1:9" s="392" customFormat="1">
      <c r="A75" s="393" t="s">
        <v>278</v>
      </c>
      <c r="B75" s="524" t="s">
        <v>165</v>
      </c>
      <c r="C75" s="524"/>
      <c r="D75" s="524"/>
      <c r="E75" s="357" t="s">
        <v>87</v>
      </c>
      <c r="F75" s="357" t="s">
        <v>86</v>
      </c>
      <c r="G75" s="397"/>
      <c r="H75" s="398"/>
      <c r="I75" s="391">
        <v>120</v>
      </c>
    </row>
    <row r="76" spans="1:9" s="392" customFormat="1">
      <c r="A76" s="393" t="s">
        <v>295</v>
      </c>
      <c r="B76" s="524" t="s">
        <v>165</v>
      </c>
      <c r="C76" s="524"/>
      <c r="D76" s="524"/>
      <c r="E76" s="357" t="s">
        <v>87</v>
      </c>
      <c r="F76" s="357" t="s">
        <v>86</v>
      </c>
      <c r="G76" s="397"/>
      <c r="H76" s="398"/>
      <c r="I76" s="391">
        <v>-1487.5</v>
      </c>
    </row>
    <row r="77" spans="1:9" s="392" customFormat="1">
      <c r="A77" s="393" t="s">
        <v>298</v>
      </c>
      <c r="B77" s="524" t="s">
        <v>165</v>
      </c>
      <c r="C77" s="524"/>
      <c r="D77" s="524"/>
      <c r="E77" s="357" t="s">
        <v>87</v>
      </c>
      <c r="F77" s="357" t="s">
        <v>86</v>
      </c>
      <c r="G77" s="397"/>
      <c r="H77" s="398"/>
      <c r="I77" s="391">
        <v>-2217</v>
      </c>
    </row>
    <row r="78" spans="1:9" s="392" customFormat="1">
      <c r="A78" s="393" t="s">
        <v>304</v>
      </c>
      <c r="B78" s="524" t="s">
        <v>165</v>
      </c>
      <c r="C78" s="524"/>
      <c r="D78" s="524"/>
      <c r="E78" s="357" t="s">
        <v>87</v>
      </c>
      <c r="F78" s="357" t="s">
        <v>86</v>
      </c>
      <c r="G78" s="397"/>
      <c r="H78" s="398"/>
      <c r="I78" s="391">
        <v>111.1</v>
      </c>
    </row>
    <row r="79" spans="1:9" s="392" customFormat="1">
      <c r="A79" s="393" t="s">
        <v>307</v>
      </c>
      <c r="B79" s="524" t="s">
        <v>165</v>
      </c>
      <c r="C79" s="524"/>
      <c r="D79" s="524"/>
      <c r="E79" s="357" t="s">
        <v>87</v>
      </c>
      <c r="F79" s="357" t="s">
        <v>86</v>
      </c>
      <c r="G79" s="397"/>
      <c r="H79" s="398"/>
      <c r="I79" s="391">
        <v>-2076.4299999999998</v>
      </c>
    </row>
    <row r="80" spans="1:9" s="392" customFormat="1">
      <c r="A80" s="393" t="s">
        <v>317</v>
      </c>
      <c r="B80" s="524" t="s">
        <v>165</v>
      </c>
      <c r="C80" s="524"/>
      <c r="D80" s="524"/>
      <c r="E80" s="357" t="s">
        <v>87</v>
      </c>
      <c r="F80" s="357" t="s">
        <v>86</v>
      </c>
      <c r="G80" s="397"/>
      <c r="H80" s="398"/>
      <c r="I80" s="391">
        <v>-20100</v>
      </c>
    </row>
    <row r="81" spans="1:9" s="392" customFormat="1">
      <c r="A81" s="393" t="s">
        <v>320</v>
      </c>
      <c r="B81" s="524" t="s">
        <v>165</v>
      </c>
      <c r="C81" s="524"/>
      <c r="D81" s="524"/>
      <c r="E81" s="357" t="s">
        <v>87</v>
      </c>
      <c r="F81" s="357" t="s">
        <v>86</v>
      </c>
      <c r="G81" s="397"/>
      <c r="H81" s="398"/>
      <c r="I81" s="391">
        <v>-49120.1</v>
      </c>
    </row>
    <row r="82" spans="1:9" s="392" customFormat="1">
      <c r="A82" s="393" t="s">
        <v>281</v>
      </c>
      <c r="B82" s="524" t="s">
        <v>282</v>
      </c>
      <c r="C82" s="524"/>
      <c r="D82" s="524"/>
      <c r="E82" s="357" t="s">
        <v>74</v>
      </c>
      <c r="F82" s="357" t="s">
        <v>86</v>
      </c>
      <c r="G82" s="395">
        <v>4740000</v>
      </c>
      <c r="H82" s="396">
        <v>-1</v>
      </c>
      <c r="I82" s="391">
        <f t="shared" ref="I82" si="4">+ROUND(H82*G82/1000,1)</f>
        <v>-4740</v>
      </c>
    </row>
    <row r="83" spans="1:9" s="392" customFormat="1">
      <c r="A83" s="393" t="s">
        <v>310</v>
      </c>
      <c r="B83" s="524" t="s">
        <v>282</v>
      </c>
      <c r="C83" s="524"/>
      <c r="D83" s="524"/>
      <c r="E83" s="357" t="s">
        <v>74</v>
      </c>
      <c r="F83" s="357" t="s">
        <v>86</v>
      </c>
      <c r="G83" s="395">
        <v>4740000</v>
      </c>
      <c r="H83" s="396">
        <v>-1</v>
      </c>
      <c r="I83" s="391">
        <f t="shared" ref="I83:I85" si="5">+ROUND(H83*G83/1000,1)</f>
        <v>-4740</v>
      </c>
    </row>
    <row r="84" spans="1:9" s="392" customFormat="1" ht="18" customHeight="1">
      <c r="A84" s="393" t="s">
        <v>283</v>
      </c>
      <c r="B84" s="524" t="s">
        <v>163</v>
      </c>
      <c r="C84" s="524"/>
      <c r="D84" s="524"/>
      <c r="E84" s="357" t="s">
        <v>74</v>
      </c>
      <c r="F84" s="357" t="s">
        <v>86</v>
      </c>
      <c r="G84" s="395">
        <v>200000</v>
      </c>
      <c r="H84" s="396">
        <v>-1</v>
      </c>
      <c r="I84" s="391">
        <f t="shared" ref="I84" si="6">+ROUND(H84*G84/1000,1)</f>
        <v>-200</v>
      </c>
    </row>
    <row r="85" spans="1:9" s="392" customFormat="1" ht="18" customHeight="1">
      <c r="A85" s="393" t="s">
        <v>311</v>
      </c>
      <c r="B85" s="524" t="s">
        <v>163</v>
      </c>
      <c r="C85" s="524"/>
      <c r="D85" s="524"/>
      <c r="E85" s="357" t="s">
        <v>74</v>
      </c>
      <c r="F85" s="357" t="s">
        <v>86</v>
      </c>
      <c r="G85" s="395">
        <v>200000</v>
      </c>
      <c r="H85" s="396">
        <v>-1</v>
      </c>
      <c r="I85" s="391">
        <f t="shared" si="5"/>
        <v>-200</v>
      </c>
    </row>
    <row r="86" spans="1:9" s="381" customFormat="1" ht="54.95" customHeight="1">
      <c r="A86" s="67" t="s">
        <v>327</v>
      </c>
      <c r="B86" s="525" t="s">
        <v>328</v>
      </c>
      <c r="C86" s="525"/>
      <c r="D86" s="525"/>
      <c r="E86" s="525"/>
      <c r="F86" s="525"/>
      <c r="G86" s="525"/>
      <c r="H86" s="525"/>
      <c r="I86" s="380">
        <f>+I87+I89</f>
        <v>-353700.30000000005</v>
      </c>
    </row>
    <row r="87" spans="1:9" s="31" customFormat="1" ht="20.85" customHeight="1">
      <c r="A87" s="382"/>
      <c r="B87" s="526" t="s">
        <v>75</v>
      </c>
      <c r="C87" s="527"/>
      <c r="D87" s="528"/>
      <c r="E87" s="383"/>
      <c r="F87" s="383"/>
      <c r="G87" s="383"/>
      <c r="H87" s="384"/>
      <c r="I87" s="385">
        <f>+I88</f>
        <v>-286550.2</v>
      </c>
    </row>
    <row r="88" spans="1:9" s="392" customFormat="1">
      <c r="A88" s="393" t="s">
        <v>329</v>
      </c>
      <c r="B88" s="524" t="s">
        <v>330</v>
      </c>
      <c r="C88" s="524"/>
      <c r="D88" s="524"/>
      <c r="E88" s="357" t="s">
        <v>266</v>
      </c>
      <c r="F88" s="357" t="s">
        <v>76</v>
      </c>
      <c r="G88" s="395">
        <v>286550200</v>
      </c>
      <c r="H88" s="396">
        <v>-1</v>
      </c>
      <c r="I88" s="391">
        <f t="shared" ref="I88:I93" si="7">+ROUND(H88*G88/1000,1)</f>
        <v>-286550.2</v>
      </c>
    </row>
    <row r="89" spans="1:9" s="392" customFormat="1" ht="20.85" customHeight="1">
      <c r="A89" s="393"/>
      <c r="B89" s="526" t="s">
        <v>78</v>
      </c>
      <c r="C89" s="527"/>
      <c r="D89" s="528"/>
      <c r="E89" s="383" t="s">
        <v>77</v>
      </c>
      <c r="F89" s="383" t="s">
        <v>77</v>
      </c>
      <c r="G89" s="383" t="s">
        <v>77</v>
      </c>
      <c r="H89" s="394"/>
      <c r="I89" s="385">
        <f>SUM(I90:I93)</f>
        <v>-67150.100000000006</v>
      </c>
    </row>
    <row r="90" spans="1:9" s="392" customFormat="1">
      <c r="A90" s="393" t="s">
        <v>161</v>
      </c>
      <c r="B90" s="524" t="s">
        <v>164</v>
      </c>
      <c r="C90" s="524"/>
      <c r="D90" s="524"/>
      <c r="E90" s="357" t="s">
        <v>74</v>
      </c>
      <c r="F90" s="357" t="s">
        <v>86</v>
      </c>
      <c r="G90" s="395">
        <v>2250800</v>
      </c>
      <c r="H90" s="396">
        <v>-1</v>
      </c>
      <c r="I90" s="391">
        <f t="shared" si="7"/>
        <v>-2250.8000000000002</v>
      </c>
    </row>
    <row r="91" spans="1:9" s="392" customFormat="1">
      <c r="A91" s="393" t="s">
        <v>162</v>
      </c>
      <c r="B91" s="524" t="s">
        <v>165</v>
      </c>
      <c r="C91" s="524"/>
      <c r="D91" s="524"/>
      <c r="E91" s="357" t="s">
        <v>87</v>
      </c>
      <c r="F91" s="357" t="s">
        <v>86</v>
      </c>
      <c r="G91" s="397">
        <v>1404200</v>
      </c>
      <c r="H91" s="398">
        <v>-1</v>
      </c>
      <c r="I91" s="391">
        <f t="shared" si="7"/>
        <v>-1404.2</v>
      </c>
    </row>
    <row r="92" spans="1:9" s="392" customFormat="1">
      <c r="A92" s="393" t="s">
        <v>281</v>
      </c>
      <c r="B92" s="524" t="s">
        <v>282</v>
      </c>
      <c r="C92" s="524"/>
      <c r="D92" s="524"/>
      <c r="E92" s="357" t="s">
        <v>74</v>
      </c>
      <c r="F92" s="357" t="s">
        <v>86</v>
      </c>
      <c r="G92" s="395">
        <v>61347900</v>
      </c>
      <c r="H92" s="396">
        <v>-1</v>
      </c>
      <c r="I92" s="391">
        <f t="shared" si="7"/>
        <v>-61347.9</v>
      </c>
    </row>
    <row r="93" spans="1:9" s="392" customFormat="1" ht="18" customHeight="1">
      <c r="A93" s="393" t="s">
        <v>283</v>
      </c>
      <c r="B93" s="524" t="s">
        <v>163</v>
      </c>
      <c r="C93" s="524"/>
      <c r="D93" s="524"/>
      <c r="E93" s="357" t="s">
        <v>74</v>
      </c>
      <c r="F93" s="357" t="s">
        <v>86</v>
      </c>
      <c r="G93" s="395">
        <v>2147200</v>
      </c>
      <c r="H93" s="396">
        <v>-1</v>
      </c>
      <c r="I93" s="391">
        <f t="shared" si="7"/>
        <v>-2147.1999999999998</v>
      </c>
    </row>
    <row r="94" spans="1:9" s="381" customFormat="1" ht="54.95" customHeight="1">
      <c r="A94" s="67" t="s">
        <v>333</v>
      </c>
      <c r="B94" s="525" t="s">
        <v>334</v>
      </c>
      <c r="C94" s="525"/>
      <c r="D94" s="525"/>
      <c r="E94" s="525"/>
      <c r="F94" s="525"/>
      <c r="G94" s="525"/>
      <c r="H94" s="525"/>
      <c r="I94" s="380">
        <f>+I95+I101</f>
        <v>-1259302.9000000001</v>
      </c>
    </row>
    <row r="95" spans="1:9" s="31" customFormat="1" ht="20.85" customHeight="1">
      <c r="A95" s="382"/>
      <c r="B95" s="526" t="s">
        <v>75</v>
      </c>
      <c r="C95" s="527"/>
      <c r="D95" s="528"/>
      <c r="E95" s="383"/>
      <c r="F95" s="383"/>
      <c r="G95" s="383"/>
      <c r="H95" s="384"/>
      <c r="I95" s="385">
        <f>SUM(I96:I100)</f>
        <v>-1172337.8</v>
      </c>
    </row>
    <row r="96" spans="1:9" s="392" customFormat="1" ht="17.45" customHeight="1">
      <c r="A96" s="393" t="s">
        <v>272</v>
      </c>
      <c r="B96" s="524" t="s">
        <v>269</v>
      </c>
      <c r="C96" s="524"/>
      <c r="D96" s="524"/>
      <c r="E96" s="357" t="s">
        <v>266</v>
      </c>
      <c r="F96" s="357" t="s">
        <v>76</v>
      </c>
      <c r="G96" s="395"/>
      <c r="H96" s="396"/>
      <c r="I96" s="391">
        <v>-2961</v>
      </c>
    </row>
    <row r="97" spans="1:9" s="392" customFormat="1" ht="17.45" customHeight="1">
      <c r="A97" s="393" t="s">
        <v>337</v>
      </c>
      <c r="B97" s="524" t="s">
        <v>269</v>
      </c>
      <c r="C97" s="524"/>
      <c r="D97" s="524"/>
      <c r="E97" s="357" t="s">
        <v>266</v>
      </c>
      <c r="F97" s="357" t="s">
        <v>76</v>
      </c>
      <c r="G97" s="395"/>
      <c r="H97" s="396"/>
      <c r="I97" s="391">
        <v>-302742.7</v>
      </c>
    </row>
    <row r="98" spans="1:9" s="392" customFormat="1" ht="17.45" customHeight="1">
      <c r="A98" s="393" t="s">
        <v>341</v>
      </c>
      <c r="B98" s="524" t="s">
        <v>269</v>
      </c>
      <c r="C98" s="524"/>
      <c r="D98" s="524"/>
      <c r="E98" s="357" t="s">
        <v>266</v>
      </c>
      <c r="F98" s="357" t="s">
        <v>76</v>
      </c>
      <c r="G98" s="395"/>
      <c r="H98" s="396"/>
      <c r="I98" s="391">
        <v>-290590.90000000002</v>
      </c>
    </row>
    <row r="99" spans="1:9" s="392" customFormat="1" ht="17.45" customHeight="1">
      <c r="A99" s="393" t="s">
        <v>345</v>
      </c>
      <c r="B99" s="524" t="s">
        <v>269</v>
      </c>
      <c r="C99" s="524"/>
      <c r="D99" s="524"/>
      <c r="E99" s="357" t="s">
        <v>266</v>
      </c>
      <c r="F99" s="357" t="s">
        <v>76</v>
      </c>
      <c r="G99" s="395"/>
      <c r="H99" s="396"/>
      <c r="I99" s="391">
        <v>-275347</v>
      </c>
    </row>
    <row r="100" spans="1:9" s="392" customFormat="1" ht="17.45" customHeight="1">
      <c r="A100" s="393" t="s">
        <v>303</v>
      </c>
      <c r="B100" s="524" t="s">
        <v>269</v>
      </c>
      <c r="C100" s="524"/>
      <c r="D100" s="524"/>
      <c r="E100" s="357" t="s">
        <v>266</v>
      </c>
      <c r="F100" s="357" t="s">
        <v>76</v>
      </c>
      <c r="G100" s="395"/>
      <c r="H100" s="396"/>
      <c r="I100" s="391">
        <v>-300696.2</v>
      </c>
    </row>
    <row r="101" spans="1:9" s="392" customFormat="1" ht="20.85" customHeight="1">
      <c r="A101" s="393"/>
      <c r="B101" s="526" t="s">
        <v>78</v>
      </c>
      <c r="C101" s="527"/>
      <c r="D101" s="528"/>
      <c r="E101" s="383" t="s">
        <v>77</v>
      </c>
      <c r="F101" s="383" t="s">
        <v>77</v>
      </c>
      <c r="G101" s="383" t="s">
        <v>77</v>
      </c>
      <c r="H101" s="394"/>
      <c r="I101" s="385">
        <f>SUM(I102:I113)</f>
        <v>-86965.1</v>
      </c>
    </row>
    <row r="102" spans="1:9" s="392" customFormat="1">
      <c r="A102" s="393" t="s">
        <v>273</v>
      </c>
      <c r="B102" s="524" t="s">
        <v>164</v>
      </c>
      <c r="C102" s="524"/>
      <c r="D102" s="524"/>
      <c r="E102" s="357" t="s">
        <v>74</v>
      </c>
      <c r="F102" s="357" t="s">
        <v>86</v>
      </c>
      <c r="G102" s="395"/>
      <c r="H102" s="396"/>
      <c r="I102" s="391">
        <v>6.1</v>
      </c>
    </row>
    <row r="103" spans="1:9" s="392" customFormat="1">
      <c r="A103" s="393" t="s">
        <v>338</v>
      </c>
      <c r="B103" s="524" t="s">
        <v>164</v>
      </c>
      <c r="C103" s="524"/>
      <c r="D103" s="524"/>
      <c r="E103" s="357" t="s">
        <v>74</v>
      </c>
      <c r="F103" s="357" t="s">
        <v>86</v>
      </c>
      <c r="G103" s="395"/>
      <c r="H103" s="396"/>
      <c r="I103" s="391">
        <v>-9082.2999999999993</v>
      </c>
    </row>
    <row r="104" spans="1:9" s="392" customFormat="1">
      <c r="A104" s="393" t="s">
        <v>343</v>
      </c>
      <c r="B104" s="524" t="s">
        <v>164</v>
      </c>
      <c r="C104" s="524"/>
      <c r="D104" s="524"/>
      <c r="E104" s="357" t="s">
        <v>74</v>
      </c>
      <c r="F104" s="357" t="s">
        <v>86</v>
      </c>
      <c r="G104" s="395"/>
      <c r="H104" s="396"/>
      <c r="I104" s="391">
        <v>-8717.7999999999993</v>
      </c>
    </row>
    <row r="105" spans="1:9" s="392" customFormat="1">
      <c r="A105" s="393" t="s">
        <v>346</v>
      </c>
      <c r="B105" s="524" t="s">
        <v>164</v>
      </c>
      <c r="C105" s="524"/>
      <c r="D105" s="524"/>
      <c r="E105" s="357" t="s">
        <v>74</v>
      </c>
      <c r="F105" s="357" t="s">
        <v>86</v>
      </c>
      <c r="G105" s="395"/>
      <c r="H105" s="396"/>
      <c r="I105" s="391">
        <v>-8260.4</v>
      </c>
    </row>
    <row r="106" spans="1:9" s="392" customFormat="1">
      <c r="A106" s="393" t="s">
        <v>302</v>
      </c>
      <c r="B106" s="524" t="s">
        <v>164</v>
      </c>
      <c r="C106" s="524"/>
      <c r="D106" s="524"/>
      <c r="E106" s="357" t="s">
        <v>74</v>
      </c>
      <c r="F106" s="357" t="s">
        <v>86</v>
      </c>
      <c r="G106" s="395"/>
      <c r="H106" s="396"/>
      <c r="I106" s="391">
        <v>-9020.7000000000007</v>
      </c>
    </row>
    <row r="107" spans="1:9" s="392" customFormat="1">
      <c r="A107" s="393" t="s">
        <v>274</v>
      </c>
      <c r="B107" s="524" t="s">
        <v>165</v>
      </c>
      <c r="C107" s="524"/>
      <c r="D107" s="524"/>
      <c r="E107" s="357" t="s">
        <v>87</v>
      </c>
      <c r="F107" s="357" t="s">
        <v>86</v>
      </c>
      <c r="G107" s="397"/>
      <c r="H107" s="398"/>
      <c r="I107" s="391">
        <v>345.2</v>
      </c>
    </row>
    <row r="108" spans="1:9" s="392" customFormat="1">
      <c r="A108" s="393" t="s">
        <v>339</v>
      </c>
      <c r="B108" s="524" t="s">
        <v>165</v>
      </c>
      <c r="C108" s="524"/>
      <c r="D108" s="524"/>
      <c r="E108" s="357" t="s">
        <v>87</v>
      </c>
      <c r="F108" s="357" t="s">
        <v>86</v>
      </c>
      <c r="G108" s="397"/>
      <c r="H108" s="398"/>
      <c r="I108" s="391">
        <v>-1816.5</v>
      </c>
    </row>
    <row r="109" spans="1:9" s="392" customFormat="1">
      <c r="A109" s="393" t="s">
        <v>342</v>
      </c>
      <c r="B109" s="524" t="s">
        <v>165</v>
      </c>
      <c r="C109" s="524"/>
      <c r="D109" s="524"/>
      <c r="E109" s="357" t="s">
        <v>87</v>
      </c>
      <c r="F109" s="357" t="s">
        <v>86</v>
      </c>
      <c r="G109" s="397"/>
      <c r="H109" s="398"/>
      <c r="I109" s="391">
        <v>-1743.5</v>
      </c>
    </row>
    <row r="110" spans="1:9" s="392" customFormat="1">
      <c r="A110" s="393" t="s">
        <v>295</v>
      </c>
      <c r="B110" s="524" t="s">
        <v>165</v>
      </c>
      <c r="C110" s="524"/>
      <c r="D110" s="524"/>
      <c r="E110" s="357" t="s">
        <v>87</v>
      </c>
      <c r="F110" s="357" t="s">
        <v>86</v>
      </c>
      <c r="G110" s="397"/>
      <c r="H110" s="398"/>
      <c r="I110" s="391">
        <v>-1652.1</v>
      </c>
    </row>
    <row r="111" spans="1:9" s="392" customFormat="1">
      <c r="A111" s="393" t="s">
        <v>304</v>
      </c>
      <c r="B111" s="524" t="s">
        <v>165</v>
      </c>
      <c r="C111" s="524"/>
      <c r="D111" s="524"/>
      <c r="E111" s="357" t="s">
        <v>87</v>
      </c>
      <c r="F111" s="357" t="s">
        <v>86</v>
      </c>
      <c r="G111" s="397"/>
      <c r="H111" s="398"/>
      <c r="I111" s="391">
        <v>-1804.2</v>
      </c>
    </row>
    <row r="112" spans="1:9" s="392" customFormat="1">
      <c r="A112" s="393" t="s">
        <v>281</v>
      </c>
      <c r="B112" s="524" t="s">
        <v>282</v>
      </c>
      <c r="C112" s="524"/>
      <c r="D112" s="524"/>
      <c r="E112" s="357" t="s">
        <v>74</v>
      </c>
      <c r="F112" s="357" t="s">
        <v>86</v>
      </c>
      <c r="G112" s="395">
        <v>43065600</v>
      </c>
      <c r="H112" s="396">
        <v>-1</v>
      </c>
      <c r="I112" s="391">
        <f t="shared" ref="I112:I113" si="8">+ROUND(H112*G112/1000,1)</f>
        <v>-43065.599999999999</v>
      </c>
    </row>
    <row r="113" spans="1:9" s="392" customFormat="1" ht="18" customHeight="1">
      <c r="A113" s="393" t="s">
        <v>283</v>
      </c>
      <c r="B113" s="524" t="s">
        <v>163</v>
      </c>
      <c r="C113" s="524"/>
      <c r="D113" s="524"/>
      <c r="E113" s="357" t="s">
        <v>74</v>
      </c>
      <c r="F113" s="357" t="s">
        <v>86</v>
      </c>
      <c r="G113" s="395">
        <v>2153300</v>
      </c>
      <c r="H113" s="396">
        <v>-1</v>
      </c>
      <c r="I113" s="391">
        <f t="shared" si="8"/>
        <v>-2153.3000000000002</v>
      </c>
    </row>
    <row r="114" spans="1:9" s="381" customFormat="1" ht="54.95" customHeight="1">
      <c r="A114" s="67" t="s">
        <v>350</v>
      </c>
      <c r="B114" s="525" t="s">
        <v>351</v>
      </c>
      <c r="C114" s="525"/>
      <c r="D114" s="525"/>
      <c r="E114" s="525"/>
      <c r="F114" s="525"/>
      <c r="G114" s="525"/>
      <c r="H114" s="525"/>
      <c r="I114" s="380">
        <f>+I115+I126</f>
        <v>1442123.2999999998</v>
      </c>
    </row>
    <row r="115" spans="1:9" s="31" customFormat="1" ht="20.85" customHeight="1">
      <c r="A115" s="382"/>
      <c r="B115" s="526" t="s">
        <v>75</v>
      </c>
      <c r="C115" s="527"/>
      <c r="D115" s="528"/>
      <c r="E115" s="383"/>
      <c r="F115" s="383"/>
      <c r="G115" s="383"/>
      <c r="H115" s="384"/>
      <c r="I115" s="385">
        <f>SUM(I116:I125)</f>
        <v>1387572.4</v>
      </c>
    </row>
    <row r="116" spans="1:9" s="392" customFormat="1" ht="17.45" customHeight="1">
      <c r="A116" s="393" t="s">
        <v>353</v>
      </c>
      <c r="B116" s="524" t="s">
        <v>352</v>
      </c>
      <c r="C116" s="524"/>
      <c r="D116" s="524"/>
      <c r="E116" s="357" t="s">
        <v>266</v>
      </c>
      <c r="F116" s="357" t="s">
        <v>76</v>
      </c>
      <c r="G116" s="395"/>
      <c r="H116" s="396"/>
      <c r="I116" s="391">
        <v>31178.5</v>
      </c>
    </row>
    <row r="117" spans="1:9" s="392" customFormat="1" ht="17.45" customHeight="1">
      <c r="A117" s="393" t="s">
        <v>358</v>
      </c>
      <c r="B117" s="524" t="s">
        <v>352</v>
      </c>
      <c r="C117" s="524"/>
      <c r="D117" s="524"/>
      <c r="E117" s="357" t="s">
        <v>266</v>
      </c>
      <c r="F117" s="357" t="s">
        <v>76</v>
      </c>
      <c r="G117" s="395"/>
      <c r="H117" s="396"/>
      <c r="I117" s="391">
        <v>141394</v>
      </c>
    </row>
    <row r="118" spans="1:9" s="392" customFormat="1" ht="17.45" customHeight="1">
      <c r="A118" s="393" t="s">
        <v>354</v>
      </c>
      <c r="B118" s="524" t="s">
        <v>352</v>
      </c>
      <c r="C118" s="524"/>
      <c r="D118" s="524"/>
      <c r="E118" s="357" t="s">
        <v>266</v>
      </c>
      <c r="F118" s="357" t="s">
        <v>76</v>
      </c>
      <c r="G118" s="395"/>
      <c r="H118" s="396"/>
      <c r="I118" s="391">
        <v>15543</v>
      </c>
    </row>
    <row r="119" spans="1:9" s="392" customFormat="1" ht="17.45" customHeight="1">
      <c r="A119" s="393" t="s">
        <v>359</v>
      </c>
      <c r="B119" s="524" t="s">
        <v>352</v>
      </c>
      <c r="C119" s="524"/>
      <c r="D119" s="524"/>
      <c r="E119" s="357" t="s">
        <v>266</v>
      </c>
      <c r="F119" s="357" t="s">
        <v>76</v>
      </c>
      <c r="G119" s="395"/>
      <c r="H119" s="396"/>
      <c r="I119" s="391">
        <v>16737.400000000001</v>
      </c>
    </row>
    <row r="120" spans="1:9" s="392" customFormat="1" ht="17.45" customHeight="1">
      <c r="A120" s="393" t="s">
        <v>362</v>
      </c>
      <c r="B120" s="524" t="s">
        <v>352</v>
      </c>
      <c r="C120" s="524"/>
      <c r="D120" s="524"/>
      <c r="E120" s="357" t="s">
        <v>266</v>
      </c>
      <c r="F120" s="357" t="s">
        <v>76</v>
      </c>
      <c r="G120" s="395"/>
      <c r="H120" s="396"/>
      <c r="I120" s="391">
        <v>150000</v>
      </c>
    </row>
    <row r="121" spans="1:9" s="392" customFormat="1" ht="17.45" customHeight="1">
      <c r="A121" s="393" t="s">
        <v>363</v>
      </c>
      <c r="B121" s="524" t="s">
        <v>352</v>
      </c>
      <c r="C121" s="524"/>
      <c r="D121" s="524"/>
      <c r="E121" s="357" t="s">
        <v>266</v>
      </c>
      <c r="F121" s="357" t="s">
        <v>76</v>
      </c>
      <c r="G121" s="395"/>
      <c r="H121" s="396"/>
      <c r="I121" s="391">
        <v>150183.1</v>
      </c>
    </row>
    <row r="122" spans="1:9" s="392" customFormat="1" ht="17.45" customHeight="1">
      <c r="A122" s="393" t="s">
        <v>366</v>
      </c>
      <c r="B122" s="524" t="s">
        <v>352</v>
      </c>
      <c r="C122" s="524"/>
      <c r="D122" s="524"/>
      <c r="E122" s="357" t="s">
        <v>266</v>
      </c>
      <c r="F122" s="357" t="s">
        <v>76</v>
      </c>
      <c r="G122" s="395"/>
      <c r="H122" s="396"/>
      <c r="I122" s="391">
        <v>259306.2</v>
      </c>
    </row>
    <row r="123" spans="1:9" s="392" customFormat="1" ht="17.45" customHeight="1">
      <c r="A123" s="393" t="s">
        <v>367</v>
      </c>
      <c r="B123" s="524" t="s">
        <v>352</v>
      </c>
      <c r="C123" s="524"/>
      <c r="D123" s="524"/>
      <c r="E123" s="357" t="s">
        <v>266</v>
      </c>
      <c r="F123" s="357" t="s">
        <v>76</v>
      </c>
      <c r="G123" s="395"/>
      <c r="H123" s="396"/>
      <c r="I123" s="391">
        <v>259584.5</v>
      </c>
    </row>
    <row r="124" spans="1:9" s="392" customFormat="1" ht="17.45" customHeight="1">
      <c r="A124" s="393" t="s">
        <v>369</v>
      </c>
      <c r="B124" s="524" t="s">
        <v>352</v>
      </c>
      <c r="C124" s="524"/>
      <c r="D124" s="524"/>
      <c r="E124" s="357" t="s">
        <v>266</v>
      </c>
      <c r="F124" s="357" t="s">
        <v>76</v>
      </c>
      <c r="G124" s="395"/>
      <c r="H124" s="396"/>
      <c r="I124" s="391">
        <v>81779.100000000006</v>
      </c>
    </row>
    <row r="125" spans="1:9" s="392" customFormat="1" ht="17.45" customHeight="1">
      <c r="A125" s="393" t="s">
        <v>372</v>
      </c>
      <c r="B125" s="524" t="s">
        <v>352</v>
      </c>
      <c r="C125" s="524"/>
      <c r="D125" s="524"/>
      <c r="E125" s="357" t="s">
        <v>266</v>
      </c>
      <c r="F125" s="357" t="s">
        <v>76</v>
      </c>
      <c r="G125" s="395"/>
      <c r="H125" s="396"/>
      <c r="I125" s="391">
        <v>281866.59999999998</v>
      </c>
    </row>
    <row r="126" spans="1:9" s="392" customFormat="1" ht="20.85" customHeight="1">
      <c r="A126" s="393"/>
      <c r="B126" s="526" t="s">
        <v>78</v>
      </c>
      <c r="C126" s="527"/>
      <c r="D126" s="528"/>
      <c r="E126" s="383" t="s">
        <v>77</v>
      </c>
      <c r="F126" s="383" t="s">
        <v>77</v>
      </c>
      <c r="G126" s="383" t="s">
        <v>77</v>
      </c>
      <c r="H126" s="394"/>
      <c r="I126" s="385">
        <f>SUM(I127:I133)</f>
        <v>54550.899999999994</v>
      </c>
    </row>
    <row r="127" spans="1:9" s="392" customFormat="1">
      <c r="A127" s="393" t="s">
        <v>343</v>
      </c>
      <c r="B127" s="524" t="s">
        <v>164</v>
      </c>
      <c r="C127" s="524"/>
      <c r="D127" s="524"/>
      <c r="E127" s="357" t="s">
        <v>74</v>
      </c>
      <c r="F127" s="357" t="s">
        <v>86</v>
      </c>
      <c r="G127" s="395"/>
      <c r="H127" s="396"/>
      <c r="I127" s="391">
        <f>1739+5291.7</f>
        <v>7030.7</v>
      </c>
    </row>
    <row r="128" spans="1:9" s="392" customFormat="1">
      <c r="A128" s="393" t="s">
        <v>357</v>
      </c>
      <c r="B128" s="524" t="s">
        <v>164</v>
      </c>
      <c r="C128" s="524"/>
      <c r="D128" s="524"/>
      <c r="E128" s="357" t="s">
        <v>74</v>
      </c>
      <c r="F128" s="357" t="s">
        <v>86</v>
      </c>
      <c r="G128" s="395"/>
      <c r="H128" s="396"/>
      <c r="I128" s="391">
        <f>576.4+682.5</f>
        <v>1258.9000000000001</v>
      </c>
    </row>
    <row r="129" spans="1:9" s="392" customFormat="1">
      <c r="A129" s="393" t="s">
        <v>346</v>
      </c>
      <c r="B129" s="524" t="s">
        <v>164</v>
      </c>
      <c r="C129" s="524"/>
      <c r="D129" s="524"/>
      <c r="E129" s="357" t="s">
        <v>74</v>
      </c>
      <c r="F129" s="357" t="s">
        <v>86</v>
      </c>
      <c r="G129" s="395"/>
      <c r="H129" s="396"/>
      <c r="I129" s="391">
        <f>6532.3+6061.8</f>
        <v>12594.1</v>
      </c>
    </row>
    <row r="130" spans="1:9" s="392" customFormat="1">
      <c r="A130" s="393" t="s">
        <v>300</v>
      </c>
      <c r="B130" s="524" t="s">
        <v>164</v>
      </c>
      <c r="C130" s="524"/>
      <c r="D130" s="524"/>
      <c r="E130" s="357" t="s">
        <v>74</v>
      </c>
      <c r="F130" s="357" t="s">
        <v>86</v>
      </c>
      <c r="G130" s="395"/>
      <c r="H130" s="396"/>
      <c r="I130" s="391">
        <f>8929.5+10001</f>
        <v>18930.5</v>
      </c>
    </row>
    <row r="131" spans="1:9" s="392" customFormat="1">
      <c r="A131" s="393" t="s">
        <v>302</v>
      </c>
      <c r="B131" s="524" t="s">
        <v>164</v>
      </c>
      <c r="C131" s="524"/>
      <c r="D131" s="524"/>
      <c r="E131" s="357" t="s">
        <v>74</v>
      </c>
      <c r="F131" s="357" t="s">
        <v>86</v>
      </c>
      <c r="G131" s="395"/>
      <c r="H131" s="396"/>
      <c r="I131" s="391">
        <v>3366.2</v>
      </c>
    </row>
    <row r="132" spans="1:9" s="392" customFormat="1">
      <c r="A132" s="393" t="s">
        <v>371</v>
      </c>
      <c r="B132" s="524" t="s">
        <v>164</v>
      </c>
      <c r="C132" s="524"/>
      <c r="D132" s="524"/>
      <c r="E132" s="357" t="s">
        <v>74</v>
      </c>
      <c r="F132" s="357" t="s">
        <v>86</v>
      </c>
      <c r="G132" s="395"/>
      <c r="H132" s="396"/>
      <c r="I132" s="391">
        <v>3758</v>
      </c>
    </row>
    <row r="133" spans="1:9" s="392" customFormat="1">
      <c r="A133" s="393" t="s">
        <v>278</v>
      </c>
      <c r="B133" s="524" t="s">
        <v>165</v>
      </c>
      <c r="C133" s="524"/>
      <c r="D133" s="524"/>
      <c r="E133" s="357" t="s">
        <v>87</v>
      </c>
      <c r="F133" s="357" t="s">
        <v>86</v>
      </c>
      <c r="G133" s="397"/>
      <c r="H133" s="398"/>
      <c r="I133" s="391">
        <f>104.3+731.1+871+835.7+1688.6+1353.8+509+1519</f>
        <v>7612.5000000000009</v>
      </c>
    </row>
    <row r="134" spans="1:9" s="381" customFormat="1" ht="54.95" customHeight="1">
      <c r="A134" s="67" t="s">
        <v>374</v>
      </c>
      <c r="B134" s="525" t="s">
        <v>177</v>
      </c>
      <c r="C134" s="525"/>
      <c r="D134" s="525"/>
      <c r="E134" s="525"/>
      <c r="F134" s="525"/>
      <c r="G134" s="525"/>
      <c r="H134" s="525"/>
      <c r="I134" s="380">
        <f>+I135</f>
        <v>-20003</v>
      </c>
    </row>
    <row r="135" spans="1:9" s="392" customFormat="1" ht="20.85" customHeight="1">
      <c r="A135" s="393"/>
      <c r="B135" s="526" t="s">
        <v>78</v>
      </c>
      <c r="C135" s="527"/>
      <c r="D135" s="528"/>
      <c r="E135" s="383" t="s">
        <v>77</v>
      </c>
      <c r="F135" s="383" t="s">
        <v>77</v>
      </c>
      <c r="G135" s="383" t="s">
        <v>77</v>
      </c>
      <c r="H135" s="394"/>
      <c r="I135" s="385">
        <f>SUM(I136:I137)</f>
        <v>-20003</v>
      </c>
    </row>
    <row r="136" spans="1:9" s="392" customFormat="1">
      <c r="A136" s="393" t="s">
        <v>281</v>
      </c>
      <c r="B136" s="524" t="s">
        <v>282</v>
      </c>
      <c r="C136" s="524"/>
      <c r="D136" s="524"/>
      <c r="E136" s="357" t="s">
        <v>74</v>
      </c>
      <c r="F136" s="357" t="s">
        <v>86</v>
      </c>
      <c r="G136" s="395">
        <v>18694400</v>
      </c>
      <c r="H136" s="396">
        <v>-1</v>
      </c>
      <c r="I136" s="391">
        <f t="shared" ref="I136" si="9">+ROUND(H136*G136/1000,1)</f>
        <v>-18694.400000000001</v>
      </c>
    </row>
    <row r="137" spans="1:9" s="392" customFormat="1" ht="18" customHeight="1">
      <c r="A137" s="393" t="s">
        <v>283</v>
      </c>
      <c r="B137" s="524" t="s">
        <v>163</v>
      </c>
      <c r="C137" s="524"/>
      <c r="D137" s="524"/>
      <c r="E137" s="357" t="s">
        <v>74</v>
      </c>
      <c r="F137" s="357" t="s">
        <v>86</v>
      </c>
      <c r="G137" s="397">
        <v>1308600</v>
      </c>
      <c r="H137" s="398">
        <v>-1</v>
      </c>
      <c r="I137" s="391">
        <f t="shared" ref="I137" si="10">+ROUND(H137*G137/1000,1)</f>
        <v>-1308.5999999999999</v>
      </c>
    </row>
    <row r="138" spans="1:9" s="381" customFormat="1" ht="54.95" customHeight="1">
      <c r="A138" s="67" t="s">
        <v>186</v>
      </c>
      <c r="B138" s="525" t="s">
        <v>184</v>
      </c>
      <c r="C138" s="525"/>
      <c r="D138" s="525"/>
      <c r="E138" s="525"/>
      <c r="F138" s="525"/>
      <c r="G138" s="525"/>
      <c r="H138" s="525"/>
      <c r="I138" s="380">
        <f>+I139+I156</f>
        <v>798147.8</v>
      </c>
    </row>
    <row r="139" spans="1:9" s="31" customFormat="1" ht="20.85" customHeight="1">
      <c r="A139" s="382"/>
      <c r="B139" s="526" t="s">
        <v>75</v>
      </c>
      <c r="C139" s="527"/>
      <c r="D139" s="528"/>
      <c r="E139" s="383"/>
      <c r="F139" s="383"/>
      <c r="G139" s="383"/>
      <c r="H139" s="384"/>
      <c r="I139" s="385">
        <f>SUM(I140:I155)</f>
        <v>767073.10000000009</v>
      </c>
    </row>
    <row r="140" spans="1:9" s="392" customFormat="1" ht="17.45" customHeight="1">
      <c r="A140" s="393" t="s">
        <v>268</v>
      </c>
      <c r="B140" s="524" t="s">
        <v>269</v>
      </c>
      <c r="C140" s="524"/>
      <c r="D140" s="524"/>
      <c r="E140" s="357" t="s">
        <v>266</v>
      </c>
      <c r="F140" s="357" t="s">
        <v>76</v>
      </c>
      <c r="G140" s="395"/>
      <c r="H140" s="396"/>
      <c r="I140" s="391">
        <v>79257.100000000006</v>
      </c>
    </row>
    <row r="141" spans="1:9" s="392" customFormat="1" ht="17.45" customHeight="1">
      <c r="A141" s="393" t="s">
        <v>272</v>
      </c>
      <c r="B141" s="524" t="s">
        <v>269</v>
      </c>
      <c r="C141" s="524"/>
      <c r="D141" s="524"/>
      <c r="E141" s="357" t="s">
        <v>266</v>
      </c>
      <c r="F141" s="357" t="s">
        <v>76</v>
      </c>
      <c r="G141" s="395"/>
      <c r="H141" s="396"/>
      <c r="I141" s="391">
        <v>131911.29999999999</v>
      </c>
    </row>
    <row r="142" spans="1:9" s="392" customFormat="1" ht="17.45" customHeight="1">
      <c r="A142" s="393" t="s">
        <v>276</v>
      </c>
      <c r="B142" s="524" t="s">
        <v>269</v>
      </c>
      <c r="C142" s="524"/>
      <c r="D142" s="524"/>
      <c r="E142" s="357" t="s">
        <v>266</v>
      </c>
      <c r="F142" s="357" t="s">
        <v>76</v>
      </c>
      <c r="G142" s="395"/>
      <c r="H142" s="396"/>
      <c r="I142" s="391">
        <v>99141.7</v>
      </c>
    </row>
    <row r="143" spans="1:9" s="392" customFormat="1" ht="17.45" customHeight="1">
      <c r="A143" s="393" t="s">
        <v>337</v>
      </c>
      <c r="B143" s="524" t="s">
        <v>269</v>
      </c>
      <c r="C143" s="524"/>
      <c r="D143" s="524"/>
      <c r="E143" s="357" t="s">
        <v>266</v>
      </c>
      <c r="F143" s="357" t="s">
        <v>76</v>
      </c>
      <c r="G143" s="395"/>
      <c r="H143" s="396"/>
      <c r="I143" s="391">
        <v>71910.7</v>
      </c>
    </row>
    <row r="144" spans="1:9" s="392" customFormat="1" ht="17.45" customHeight="1">
      <c r="A144" s="393" t="s">
        <v>381</v>
      </c>
      <c r="B144" s="524" t="s">
        <v>269</v>
      </c>
      <c r="C144" s="524"/>
      <c r="D144" s="524"/>
      <c r="E144" s="357" t="s">
        <v>266</v>
      </c>
      <c r="F144" s="357" t="s">
        <v>76</v>
      </c>
      <c r="G144" s="395"/>
      <c r="H144" s="396"/>
      <c r="I144" s="391">
        <v>22020.1</v>
      </c>
    </row>
    <row r="145" spans="1:9" s="392" customFormat="1" ht="17.45" customHeight="1">
      <c r="A145" s="393" t="s">
        <v>345</v>
      </c>
      <c r="B145" s="524" t="s">
        <v>269</v>
      </c>
      <c r="C145" s="524"/>
      <c r="D145" s="524"/>
      <c r="E145" s="357" t="s">
        <v>266</v>
      </c>
      <c r="F145" s="357" t="s">
        <v>76</v>
      </c>
      <c r="G145" s="395"/>
      <c r="H145" s="396"/>
      <c r="I145" s="391">
        <v>-12684.4</v>
      </c>
    </row>
    <row r="146" spans="1:9" s="392" customFormat="1" ht="17.45" customHeight="1">
      <c r="A146" s="393" t="s">
        <v>299</v>
      </c>
      <c r="B146" s="524" t="s">
        <v>269</v>
      </c>
      <c r="C146" s="524"/>
      <c r="D146" s="524"/>
      <c r="E146" s="357" t="s">
        <v>266</v>
      </c>
      <c r="F146" s="357" t="s">
        <v>76</v>
      </c>
      <c r="G146" s="395"/>
      <c r="H146" s="396"/>
      <c r="I146" s="391">
        <v>134893.5</v>
      </c>
    </row>
    <row r="147" spans="1:9" s="392" customFormat="1" ht="17.45" customHeight="1">
      <c r="A147" s="393" t="s">
        <v>303</v>
      </c>
      <c r="B147" s="524" t="s">
        <v>269</v>
      </c>
      <c r="C147" s="524"/>
      <c r="D147" s="524"/>
      <c r="E147" s="357" t="s">
        <v>266</v>
      </c>
      <c r="F147" s="357" t="s">
        <v>76</v>
      </c>
      <c r="G147" s="395"/>
      <c r="H147" s="396"/>
      <c r="I147" s="391">
        <v>14854.5</v>
      </c>
    </row>
    <row r="148" spans="1:9" s="392" customFormat="1" ht="17.45" customHeight="1">
      <c r="A148" s="393" t="s">
        <v>387</v>
      </c>
      <c r="B148" s="524" t="s">
        <v>269</v>
      </c>
      <c r="C148" s="524"/>
      <c r="D148" s="524"/>
      <c r="E148" s="357" t="s">
        <v>266</v>
      </c>
      <c r="F148" s="357" t="s">
        <v>76</v>
      </c>
      <c r="G148" s="395"/>
      <c r="H148" s="396"/>
      <c r="I148" s="391">
        <v>-39533.4</v>
      </c>
    </row>
    <row r="149" spans="1:9" s="392" customFormat="1" ht="17.45" customHeight="1">
      <c r="A149" s="393" t="s">
        <v>388</v>
      </c>
      <c r="B149" s="524" t="s">
        <v>269</v>
      </c>
      <c r="C149" s="524"/>
      <c r="D149" s="524"/>
      <c r="E149" s="357" t="s">
        <v>266</v>
      </c>
      <c r="F149" s="357" t="s">
        <v>76</v>
      </c>
      <c r="G149" s="395"/>
      <c r="H149" s="396"/>
      <c r="I149" s="391">
        <v>25660.799999999999</v>
      </c>
    </row>
    <row r="150" spans="1:9" s="392" customFormat="1" ht="17.45" customHeight="1">
      <c r="A150" s="393" t="s">
        <v>397</v>
      </c>
      <c r="B150" s="524" t="s">
        <v>269</v>
      </c>
      <c r="C150" s="524"/>
      <c r="D150" s="524"/>
      <c r="E150" s="357" t="s">
        <v>266</v>
      </c>
      <c r="F150" s="357" t="s">
        <v>76</v>
      </c>
      <c r="G150" s="395"/>
      <c r="H150" s="396"/>
      <c r="I150" s="391">
        <v>70565.7</v>
      </c>
    </row>
    <row r="151" spans="1:9" s="392" customFormat="1" ht="17.45" customHeight="1">
      <c r="A151" s="393" t="s">
        <v>398</v>
      </c>
      <c r="B151" s="524" t="s">
        <v>269</v>
      </c>
      <c r="C151" s="524"/>
      <c r="D151" s="524"/>
      <c r="E151" s="357" t="s">
        <v>266</v>
      </c>
      <c r="F151" s="357" t="s">
        <v>76</v>
      </c>
      <c r="G151" s="395"/>
      <c r="H151" s="396"/>
      <c r="I151" s="391">
        <v>46831</v>
      </c>
    </row>
    <row r="152" spans="1:9" s="392" customFormat="1" ht="17.45" customHeight="1">
      <c r="A152" s="393" t="s">
        <v>399</v>
      </c>
      <c r="B152" s="524" t="s">
        <v>269</v>
      </c>
      <c r="C152" s="524"/>
      <c r="D152" s="524"/>
      <c r="E152" s="357" t="s">
        <v>266</v>
      </c>
      <c r="F152" s="357" t="s">
        <v>76</v>
      </c>
      <c r="G152" s="395"/>
      <c r="H152" s="396"/>
      <c r="I152" s="391">
        <v>81133.3</v>
      </c>
    </row>
    <row r="153" spans="1:9" s="392" customFormat="1" ht="17.45" customHeight="1">
      <c r="A153" s="393" t="s">
        <v>315</v>
      </c>
      <c r="B153" s="524" t="s">
        <v>269</v>
      </c>
      <c r="C153" s="524"/>
      <c r="D153" s="524"/>
      <c r="E153" s="357" t="s">
        <v>266</v>
      </c>
      <c r="F153" s="357" t="s">
        <v>76</v>
      </c>
      <c r="G153" s="395"/>
      <c r="H153" s="396"/>
      <c r="I153" s="391">
        <v>106562.8</v>
      </c>
    </row>
    <row r="154" spans="1:9" s="392" customFormat="1" ht="17.45" customHeight="1">
      <c r="A154" s="393" t="s">
        <v>400</v>
      </c>
      <c r="B154" s="524" t="s">
        <v>269</v>
      </c>
      <c r="C154" s="524"/>
      <c r="D154" s="524"/>
      <c r="E154" s="357" t="s">
        <v>266</v>
      </c>
      <c r="F154" s="357" t="s">
        <v>76</v>
      </c>
      <c r="G154" s="395"/>
      <c r="H154" s="396"/>
      <c r="I154" s="391">
        <v>90779.3</v>
      </c>
    </row>
    <row r="155" spans="1:9" s="392" customFormat="1" ht="17.45" customHeight="1">
      <c r="A155" s="393" t="s">
        <v>407</v>
      </c>
      <c r="B155" s="524" t="s">
        <v>269</v>
      </c>
      <c r="C155" s="524"/>
      <c r="D155" s="524"/>
      <c r="E155" s="357" t="s">
        <v>266</v>
      </c>
      <c r="F155" s="357" t="s">
        <v>76</v>
      </c>
      <c r="G155" s="395"/>
      <c r="H155" s="396"/>
      <c r="I155" s="391">
        <v>-156230.9</v>
      </c>
    </row>
    <row r="156" spans="1:9" s="392" customFormat="1" ht="20.85" customHeight="1">
      <c r="A156" s="393"/>
      <c r="B156" s="526" t="s">
        <v>78</v>
      </c>
      <c r="C156" s="527"/>
      <c r="D156" s="528"/>
      <c r="E156" s="383" t="s">
        <v>77</v>
      </c>
      <c r="F156" s="383" t="s">
        <v>77</v>
      </c>
      <c r="G156" s="383" t="s">
        <v>77</v>
      </c>
      <c r="H156" s="394"/>
      <c r="I156" s="385">
        <f>SUM(I157:I186)</f>
        <v>31074.7</v>
      </c>
    </row>
    <row r="157" spans="1:9" s="392" customFormat="1">
      <c r="A157" s="393" t="s">
        <v>161</v>
      </c>
      <c r="B157" s="524" t="s">
        <v>164</v>
      </c>
      <c r="C157" s="524"/>
      <c r="D157" s="524"/>
      <c r="E157" s="357" t="s">
        <v>74</v>
      </c>
      <c r="F157" s="357" t="s">
        <v>86</v>
      </c>
      <c r="G157" s="395"/>
      <c r="H157" s="396"/>
      <c r="I157" s="391">
        <v>1519.8</v>
      </c>
    </row>
    <row r="158" spans="1:9" s="392" customFormat="1">
      <c r="A158" s="393" t="s">
        <v>273</v>
      </c>
      <c r="B158" s="524" t="s">
        <v>164</v>
      </c>
      <c r="C158" s="524"/>
      <c r="D158" s="524"/>
      <c r="E158" s="357" t="s">
        <v>74</v>
      </c>
      <c r="F158" s="357" t="s">
        <v>86</v>
      </c>
      <c r="G158" s="395"/>
      <c r="H158" s="396"/>
      <c r="I158" s="391">
        <v>3052.3</v>
      </c>
    </row>
    <row r="159" spans="1:9" s="392" customFormat="1">
      <c r="A159" s="393" t="s">
        <v>277</v>
      </c>
      <c r="B159" s="524" t="s">
        <v>164</v>
      </c>
      <c r="C159" s="524"/>
      <c r="D159" s="524"/>
      <c r="E159" s="357" t="s">
        <v>74</v>
      </c>
      <c r="F159" s="357" t="s">
        <v>86</v>
      </c>
      <c r="G159" s="395"/>
      <c r="H159" s="396"/>
      <c r="I159" s="391">
        <v>1736.3</v>
      </c>
    </row>
    <row r="160" spans="1:9" s="392" customFormat="1">
      <c r="A160" s="393" t="s">
        <v>338</v>
      </c>
      <c r="B160" s="524" t="s">
        <v>164</v>
      </c>
      <c r="C160" s="524"/>
      <c r="D160" s="524"/>
      <c r="E160" s="357" t="s">
        <v>74</v>
      </c>
      <c r="F160" s="357" t="s">
        <v>86</v>
      </c>
      <c r="G160" s="395"/>
      <c r="H160" s="396"/>
      <c r="I160" s="391">
        <v>1382.7</v>
      </c>
    </row>
    <row r="161" spans="1:9" s="392" customFormat="1">
      <c r="A161" s="393" t="s">
        <v>357</v>
      </c>
      <c r="B161" s="524" t="s">
        <v>164</v>
      </c>
      <c r="C161" s="524"/>
      <c r="D161" s="524"/>
      <c r="E161" s="357" t="s">
        <v>74</v>
      </c>
      <c r="F161" s="357" t="s">
        <v>86</v>
      </c>
      <c r="G161" s="395"/>
      <c r="H161" s="396"/>
      <c r="I161" s="391">
        <v>858.7</v>
      </c>
    </row>
    <row r="162" spans="1:9" s="392" customFormat="1">
      <c r="A162" s="393" t="s">
        <v>346</v>
      </c>
      <c r="B162" s="524" t="s">
        <v>164</v>
      </c>
      <c r="C162" s="524"/>
      <c r="D162" s="524"/>
      <c r="E162" s="357" t="s">
        <v>74</v>
      </c>
      <c r="F162" s="357" t="s">
        <v>86</v>
      </c>
      <c r="G162" s="395"/>
      <c r="H162" s="396"/>
      <c r="I162" s="391">
        <v>207</v>
      </c>
    </row>
    <row r="163" spans="1:9" s="392" customFormat="1">
      <c r="A163" s="393" t="s">
        <v>300</v>
      </c>
      <c r="B163" s="524" t="s">
        <v>164</v>
      </c>
      <c r="C163" s="524"/>
      <c r="D163" s="524"/>
      <c r="E163" s="357" t="s">
        <v>74</v>
      </c>
      <c r="F163" s="357" t="s">
        <v>86</v>
      </c>
      <c r="G163" s="395"/>
      <c r="H163" s="396"/>
      <c r="I163" s="391">
        <v>4882.6000000000004</v>
      </c>
    </row>
    <row r="164" spans="1:9" s="392" customFormat="1">
      <c r="A164" s="393" t="s">
        <v>302</v>
      </c>
      <c r="B164" s="524" t="s">
        <v>164</v>
      </c>
      <c r="C164" s="524"/>
      <c r="D164" s="524"/>
      <c r="E164" s="357" t="s">
        <v>74</v>
      </c>
      <c r="F164" s="357" t="s">
        <v>86</v>
      </c>
      <c r="G164" s="395"/>
      <c r="H164" s="396"/>
      <c r="I164" s="391">
        <v>527</v>
      </c>
    </row>
    <row r="165" spans="1:9" s="392" customFormat="1">
      <c r="A165" s="393" t="s">
        <v>371</v>
      </c>
      <c r="B165" s="524" t="s">
        <v>164</v>
      </c>
      <c r="C165" s="524"/>
      <c r="D165" s="524"/>
      <c r="E165" s="357" t="s">
        <v>74</v>
      </c>
      <c r="F165" s="357" t="s">
        <v>86</v>
      </c>
      <c r="G165" s="395"/>
      <c r="H165" s="396"/>
      <c r="I165" s="391">
        <v>-494.3</v>
      </c>
    </row>
    <row r="166" spans="1:9" s="392" customFormat="1">
      <c r="A166" s="393" t="s">
        <v>389</v>
      </c>
      <c r="B166" s="524" t="s">
        <v>164</v>
      </c>
      <c r="C166" s="524"/>
      <c r="D166" s="524"/>
      <c r="E166" s="357" t="s">
        <v>74</v>
      </c>
      <c r="F166" s="357" t="s">
        <v>86</v>
      </c>
      <c r="G166" s="395"/>
      <c r="H166" s="396"/>
      <c r="I166" s="391">
        <v>1277.5999999999999</v>
      </c>
    </row>
    <row r="167" spans="1:9" s="392" customFormat="1">
      <c r="A167" s="393" t="s">
        <v>308</v>
      </c>
      <c r="B167" s="524" t="s">
        <v>164</v>
      </c>
      <c r="C167" s="524"/>
      <c r="D167" s="524"/>
      <c r="E167" s="357" t="s">
        <v>74</v>
      </c>
      <c r="F167" s="357" t="s">
        <v>86</v>
      </c>
      <c r="G167" s="395"/>
      <c r="H167" s="396"/>
      <c r="I167" s="391">
        <v>4031.9</v>
      </c>
    </row>
    <row r="168" spans="1:9" s="392" customFormat="1">
      <c r="A168" s="393" t="s">
        <v>401</v>
      </c>
      <c r="B168" s="524" t="s">
        <v>164</v>
      </c>
      <c r="C168" s="524"/>
      <c r="D168" s="524"/>
      <c r="E168" s="357" t="s">
        <v>74</v>
      </c>
      <c r="F168" s="357" t="s">
        <v>86</v>
      </c>
      <c r="G168" s="395"/>
      <c r="H168" s="396"/>
      <c r="I168" s="391">
        <v>1899.1</v>
      </c>
    </row>
    <row r="169" spans="1:9" s="392" customFormat="1">
      <c r="A169" s="393" t="s">
        <v>402</v>
      </c>
      <c r="B169" s="524" t="s">
        <v>164</v>
      </c>
      <c r="C169" s="524"/>
      <c r="D169" s="524"/>
      <c r="E169" s="357" t="s">
        <v>74</v>
      </c>
      <c r="F169" s="357" t="s">
        <v>86</v>
      </c>
      <c r="G169" s="395"/>
      <c r="H169" s="396"/>
      <c r="I169" s="391">
        <v>3285.2</v>
      </c>
    </row>
    <row r="170" spans="1:9" s="392" customFormat="1">
      <c r="A170" s="393" t="s">
        <v>316</v>
      </c>
      <c r="B170" s="524" t="s">
        <v>164</v>
      </c>
      <c r="C170" s="524"/>
      <c r="D170" s="524"/>
      <c r="E170" s="357" t="s">
        <v>74</v>
      </c>
      <c r="F170" s="357" t="s">
        <v>86</v>
      </c>
      <c r="G170" s="395"/>
      <c r="H170" s="396"/>
      <c r="I170" s="391">
        <v>4296.6000000000004</v>
      </c>
    </row>
    <row r="171" spans="1:9" s="392" customFormat="1">
      <c r="A171" s="393" t="s">
        <v>321</v>
      </c>
      <c r="B171" s="524" t="s">
        <v>164</v>
      </c>
      <c r="C171" s="524"/>
      <c r="D171" s="524"/>
      <c r="E171" s="357" t="s">
        <v>74</v>
      </c>
      <c r="F171" s="357" t="s">
        <v>86</v>
      </c>
      <c r="G171" s="395"/>
      <c r="H171" s="396"/>
      <c r="I171" s="391">
        <v>3670.5</v>
      </c>
    </row>
    <row r="172" spans="1:9" s="392" customFormat="1">
      <c r="A172" s="393" t="s">
        <v>406</v>
      </c>
      <c r="B172" s="524" t="s">
        <v>164</v>
      </c>
      <c r="C172" s="524"/>
      <c r="D172" s="524"/>
      <c r="E172" s="357" t="s">
        <v>74</v>
      </c>
      <c r="F172" s="357" t="s">
        <v>86</v>
      </c>
      <c r="G172" s="395"/>
      <c r="H172" s="396"/>
      <c r="I172" s="391">
        <v>-4418</v>
      </c>
    </row>
    <row r="173" spans="1:9" s="392" customFormat="1">
      <c r="A173" s="393" t="s">
        <v>162</v>
      </c>
      <c r="B173" s="524" t="s">
        <v>165</v>
      </c>
      <c r="C173" s="524"/>
      <c r="D173" s="524"/>
      <c r="E173" s="357" t="s">
        <v>87</v>
      </c>
      <c r="F173" s="357" t="s">
        <v>86</v>
      </c>
      <c r="G173" s="397"/>
      <c r="H173" s="398"/>
      <c r="I173" s="391">
        <v>312.8</v>
      </c>
    </row>
    <row r="174" spans="1:9" s="392" customFormat="1">
      <c r="A174" s="393" t="s">
        <v>274</v>
      </c>
      <c r="B174" s="524" t="s">
        <v>165</v>
      </c>
      <c r="C174" s="524"/>
      <c r="D174" s="524"/>
      <c r="E174" s="357" t="s">
        <v>87</v>
      </c>
      <c r="F174" s="357" t="s">
        <v>86</v>
      </c>
      <c r="G174" s="397"/>
      <c r="H174" s="398"/>
      <c r="I174" s="391">
        <v>444.1</v>
      </c>
    </row>
    <row r="175" spans="1:9" s="392" customFormat="1">
      <c r="A175" s="393" t="s">
        <v>278</v>
      </c>
      <c r="B175" s="524" t="s">
        <v>165</v>
      </c>
      <c r="C175" s="524"/>
      <c r="D175" s="524"/>
      <c r="E175" s="357" t="s">
        <v>87</v>
      </c>
      <c r="F175" s="357" t="s">
        <v>86</v>
      </c>
      <c r="G175" s="397"/>
      <c r="H175" s="398"/>
      <c r="I175" s="391">
        <v>594.4</v>
      </c>
    </row>
    <row r="176" spans="1:9" s="392" customFormat="1">
      <c r="A176" s="393" t="s">
        <v>339</v>
      </c>
      <c r="B176" s="524" t="s">
        <v>165</v>
      </c>
      <c r="C176" s="524"/>
      <c r="D176" s="524"/>
      <c r="E176" s="357" t="s">
        <v>87</v>
      </c>
      <c r="F176" s="357" t="s">
        <v>86</v>
      </c>
      <c r="G176" s="397"/>
      <c r="H176" s="398"/>
      <c r="I176" s="391">
        <v>401.3</v>
      </c>
    </row>
    <row r="177" spans="1:9" s="392" customFormat="1">
      <c r="A177" s="393" t="s">
        <v>380</v>
      </c>
      <c r="B177" s="524" t="s">
        <v>165</v>
      </c>
      <c r="C177" s="524"/>
      <c r="D177" s="524"/>
      <c r="E177" s="357" t="s">
        <v>87</v>
      </c>
      <c r="F177" s="357" t="s">
        <v>86</v>
      </c>
      <c r="G177" s="397"/>
      <c r="H177" s="398"/>
      <c r="I177" s="391">
        <v>103.5</v>
      </c>
    </row>
    <row r="178" spans="1:9" s="392" customFormat="1">
      <c r="A178" s="393" t="s">
        <v>298</v>
      </c>
      <c r="B178" s="524" t="s">
        <v>165</v>
      </c>
      <c r="C178" s="524"/>
      <c r="D178" s="524"/>
      <c r="E178" s="357" t="s">
        <v>87</v>
      </c>
      <c r="F178" s="357" t="s">
        <v>86</v>
      </c>
      <c r="G178" s="397"/>
      <c r="H178" s="398"/>
      <c r="I178" s="391">
        <v>431.8</v>
      </c>
    </row>
    <row r="179" spans="1:9" s="392" customFormat="1">
      <c r="A179" s="393" t="s">
        <v>390</v>
      </c>
      <c r="B179" s="524" t="s">
        <v>165</v>
      </c>
      <c r="C179" s="524"/>
      <c r="D179" s="524"/>
      <c r="E179" s="357" t="s">
        <v>87</v>
      </c>
      <c r="F179" s="357" t="s">
        <v>86</v>
      </c>
      <c r="G179" s="397"/>
      <c r="H179" s="398"/>
      <c r="I179" s="391">
        <v>-233.6</v>
      </c>
    </row>
    <row r="180" spans="1:9" s="392" customFormat="1">
      <c r="A180" s="393" t="s">
        <v>391</v>
      </c>
      <c r="B180" s="524" t="s">
        <v>165</v>
      </c>
      <c r="C180" s="524"/>
      <c r="D180" s="524"/>
      <c r="E180" s="357" t="s">
        <v>87</v>
      </c>
      <c r="F180" s="357" t="s">
        <v>86</v>
      </c>
      <c r="G180" s="397"/>
      <c r="H180" s="398"/>
      <c r="I180" s="391">
        <v>-25.2</v>
      </c>
    </row>
    <row r="181" spans="1:9" s="392" customFormat="1">
      <c r="A181" s="393" t="s">
        <v>307</v>
      </c>
      <c r="B181" s="524" t="s">
        <v>165</v>
      </c>
      <c r="C181" s="524"/>
      <c r="D181" s="524"/>
      <c r="E181" s="357" t="s">
        <v>87</v>
      </c>
      <c r="F181" s="357" t="s">
        <v>86</v>
      </c>
      <c r="G181" s="397"/>
      <c r="H181" s="398"/>
      <c r="I181" s="391">
        <v>431.9</v>
      </c>
    </row>
    <row r="182" spans="1:9" s="392" customFormat="1">
      <c r="A182" s="393" t="s">
        <v>403</v>
      </c>
      <c r="B182" s="524" t="s">
        <v>165</v>
      </c>
      <c r="C182" s="524"/>
      <c r="D182" s="524"/>
      <c r="E182" s="357" t="s">
        <v>87</v>
      </c>
      <c r="F182" s="357" t="s">
        <v>86</v>
      </c>
      <c r="G182" s="397"/>
      <c r="H182" s="398"/>
      <c r="I182" s="391">
        <v>297.5</v>
      </c>
    </row>
    <row r="183" spans="1:9" s="392" customFormat="1">
      <c r="A183" s="393" t="s">
        <v>404</v>
      </c>
      <c r="B183" s="524" t="s">
        <v>165</v>
      </c>
      <c r="C183" s="524"/>
      <c r="D183" s="524"/>
      <c r="E183" s="357" t="s">
        <v>87</v>
      </c>
      <c r="F183" s="357" t="s">
        <v>86</v>
      </c>
      <c r="G183" s="397"/>
      <c r="H183" s="398"/>
      <c r="I183" s="391">
        <v>389.9</v>
      </c>
    </row>
    <row r="184" spans="1:9" s="392" customFormat="1">
      <c r="A184" s="393" t="s">
        <v>317</v>
      </c>
      <c r="B184" s="524" t="s">
        <v>165</v>
      </c>
      <c r="C184" s="524"/>
      <c r="D184" s="524"/>
      <c r="E184" s="357" t="s">
        <v>87</v>
      </c>
      <c r="F184" s="357" t="s">
        <v>86</v>
      </c>
      <c r="G184" s="397"/>
      <c r="H184" s="398"/>
      <c r="I184" s="391">
        <v>682.8</v>
      </c>
    </row>
    <row r="185" spans="1:9" s="392" customFormat="1">
      <c r="A185" s="393" t="s">
        <v>320</v>
      </c>
      <c r="B185" s="524" t="s">
        <v>165</v>
      </c>
      <c r="C185" s="524"/>
      <c r="D185" s="524"/>
      <c r="E185" s="357" t="s">
        <v>87</v>
      </c>
      <c r="F185" s="357" t="s">
        <v>86</v>
      </c>
      <c r="G185" s="397"/>
      <c r="H185" s="398"/>
      <c r="I185" s="391">
        <v>512.1</v>
      </c>
    </row>
    <row r="186" spans="1:9" s="392" customFormat="1">
      <c r="A186" s="393" t="s">
        <v>405</v>
      </c>
      <c r="B186" s="524" t="s">
        <v>165</v>
      </c>
      <c r="C186" s="524"/>
      <c r="D186" s="524"/>
      <c r="E186" s="357" t="s">
        <v>87</v>
      </c>
      <c r="F186" s="357" t="s">
        <v>86</v>
      </c>
      <c r="G186" s="397"/>
      <c r="H186" s="398"/>
      <c r="I186" s="391">
        <v>-983.6</v>
      </c>
    </row>
    <row r="187" spans="1:9" s="381" customFormat="1" ht="54.95" customHeight="1">
      <c r="A187" s="67" t="s">
        <v>409</v>
      </c>
      <c r="B187" s="525" t="s">
        <v>408</v>
      </c>
      <c r="C187" s="525"/>
      <c r="D187" s="525"/>
      <c r="E187" s="525"/>
      <c r="F187" s="525"/>
      <c r="G187" s="525"/>
      <c r="H187" s="525"/>
      <c r="I187" s="380">
        <f>+I188+I195</f>
        <v>314836.60000000003</v>
      </c>
    </row>
    <row r="188" spans="1:9" s="31" customFormat="1" ht="20.85" customHeight="1">
      <c r="A188" s="382"/>
      <c r="B188" s="526" t="s">
        <v>75</v>
      </c>
      <c r="C188" s="527"/>
      <c r="D188" s="528"/>
      <c r="E188" s="383"/>
      <c r="F188" s="383"/>
      <c r="G188" s="383"/>
      <c r="H188" s="384"/>
      <c r="I188" s="385">
        <f>SUM(I189:I194)</f>
        <v>304454.10000000003</v>
      </c>
    </row>
    <row r="189" spans="1:9" s="392" customFormat="1" ht="17.45" customHeight="1">
      <c r="A189" s="393" t="s">
        <v>264</v>
      </c>
      <c r="B189" s="524" t="s">
        <v>416</v>
      </c>
      <c r="C189" s="524"/>
      <c r="D189" s="524"/>
      <c r="E189" s="357" t="s">
        <v>266</v>
      </c>
      <c r="F189" s="357" t="s">
        <v>76</v>
      </c>
      <c r="G189" s="395"/>
      <c r="H189" s="396"/>
      <c r="I189" s="391">
        <v>24121</v>
      </c>
    </row>
    <row r="190" spans="1:9" s="392" customFormat="1" ht="17.45" customHeight="1">
      <c r="A190" s="393" t="s">
        <v>411</v>
      </c>
      <c r="B190" s="524" t="s">
        <v>416</v>
      </c>
      <c r="C190" s="524"/>
      <c r="D190" s="524"/>
      <c r="E190" s="357" t="s">
        <v>266</v>
      </c>
      <c r="F190" s="357" t="s">
        <v>76</v>
      </c>
      <c r="G190" s="395"/>
      <c r="H190" s="396"/>
      <c r="I190" s="391">
        <v>17298.900000000001</v>
      </c>
    </row>
    <row r="191" spans="1:9" s="392" customFormat="1" ht="17.45" customHeight="1">
      <c r="A191" s="393" t="s">
        <v>413</v>
      </c>
      <c r="B191" s="524" t="s">
        <v>416</v>
      </c>
      <c r="C191" s="524"/>
      <c r="D191" s="524"/>
      <c r="E191" s="357" t="s">
        <v>266</v>
      </c>
      <c r="F191" s="357" t="s">
        <v>76</v>
      </c>
      <c r="G191" s="395"/>
      <c r="H191" s="396"/>
      <c r="I191" s="391">
        <v>2070</v>
      </c>
    </row>
    <row r="192" spans="1:9" s="392" customFormat="1" ht="17.45" customHeight="1">
      <c r="A192" s="393" t="s">
        <v>415</v>
      </c>
      <c r="B192" s="524" t="s">
        <v>416</v>
      </c>
      <c r="C192" s="524"/>
      <c r="D192" s="524"/>
      <c r="E192" s="357" t="s">
        <v>266</v>
      </c>
      <c r="F192" s="357" t="s">
        <v>76</v>
      </c>
      <c r="G192" s="395"/>
      <c r="H192" s="396"/>
      <c r="I192" s="391">
        <v>108958.8</v>
      </c>
    </row>
    <row r="193" spans="1:9" s="392" customFormat="1" ht="17.45" customHeight="1">
      <c r="A193" s="393" t="s">
        <v>419</v>
      </c>
      <c r="B193" s="524" t="s">
        <v>416</v>
      </c>
      <c r="C193" s="524"/>
      <c r="D193" s="524"/>
      <c r="E193" s="357" t="s">
        <v>266</v>
      </c>
      <c r="F193" s="357" t="s">
        <v>76</v>
      </c>
      <c r="G193" s="395"/>
      <c r="H193" s="396"/>
      <c r="I193" s="391">
        <v>114696.1</v>
      </c>
    </row>
    <row r="194" spans="1:9" s="392" customFormat="1" ht="17.45" customHeight="1">
      <c r="A194" s="393">
        <v>45451700</v>
      </c>
      <c r="B194" s="524" t="s">
        <v>416</v>
      </c>
      <c r="C194" s="524"/>
      <c r="D194" s="524"/>
      <c r="E194" s="357" t="s">
        <v>266</v>
      </c>
      <c r="F194" s="357" t="s">
        <v>76</v>
      </c>
      <c r="G194" s="395"/>
      <c r="H194" s="396"/>
      <c r="I194" s="391">
        <v>37309.300000000003</v>
      </c>
    </row>
    <row r="195" spans="1:9" s="392" customFormat="1" ht="20.85" customHeight="1">
      <c r="A195" s="393"/>
      <c r="B195" s="526" t="s">
        <v>78</v>
      </c>
      <c r="C195" s="527"/>
      <c r="D195" s="528"/>
      <c r="E195" s="383" t="s">
        <v>77</v>
      </c>
      <c r="F195" s="383" t="s">
        <v>77</v>
      </c>
      <c r="G195" s="383" t="s">
        <v>77</v>
      </c>
      <c r="H195" s="394"/>
      <c r="I195" s="385">
        <f>SUM(I196:I213)</f>
        <v>10382.500000000002</v>
      </c>
    </row>
    <row r="196" spans="1:9" s="392" customFormat="1">
      <c r="A196" s="393" t="s">
        <v>161</v>
      </c>
      <c r="B196" s="524" t="s">
        <v>164</v>
      </c>
      <c r="C196" s="524"/>
      <c r="D196" s="524"/>
      <c r="E196" s="357" t="s">
        <v>74</v>
      </c>
      <c r="F196" s="357" t="s">
        <v>86</v>
      </c>
      <c r="G196" s="395"/>
      <c r="H196" s="396"/>
      <c r="I196" s="391">
        <v>211.3</v>
      </c>
    </row>
    <row r="197" spans="1:9" s="392" customFormat="1">
      <c r="A197" s="393" t="s">
        <v>338</v>
      </c>
      <c r="B197" s="524" t="s">
        <v>164</v>
      </c>
      <c r="C197" s="524"/>
      <c r="D197" s="524"/>
      <c r="E197" s="357" t="s">
        <v>74</v>
      </c>
      <c r="F197" s="357" t="s">
        <v>86</v>
      </c>
      <c r="G197" s="395"/>
      <c r="H197" s="396"/>
      <c r="I197" s="391">
        <v>617.79999999999995</v>
      </c>
    </row>
    <row r="198" spans="1:9" s="392" customFormat="1">
      <c r="A198" s="393" t="s">
        <v>343</v>
      </c>
      <c r="B198" s="524" t="s">
        <v>164</v>
      </c>
      <c r="C198" s="524"/>
      <c r="D198" s="524"/>
      <c r="E198" s="357" t="s">
        <v>74</v>
      </c>
      <c r="F198" s="357" t="s">
        <v>86</v>
      </c>
      <c r="G198" s="395"/>
      <c r="H198" s="396"/>
      <c r="I198" s="391">
        <v>56.8</v>
      </c>
    </row>
    <row r="199" spans="1:9" s="392" customFormat="1">
      <c r="A199" s="393" t="s">
        <v>357</v>
      </c>
      <c r="B199" s="524" t="s">
        <v>164</v>
      </c>
      <c r="C199" s="524"/>
      <c r="D199" s="524"/>
      <c r="E199" s="357" t="s">
        <v>74</v>
      </c>
      <c r="F199" s="357" t="s">
        <v>86</v>
      </c>
      <c r="G199" s="395"/>
      <c r="H199" s="396"/>
      <c r="I199" s="391">
        <v>158</v>
      </c>
    </row>
    <row r="200" spans="1:9" s="392" customFormat="1">
      <c r="A200" s="393" t="s">
        <v>346</v>
      </c>
      <c r="B200" s="524" t="s">
        <v>164</v>
      </c>
      <c r="C200" s="524"/>
      <c r="D200" s="524"/>
      <c r="E200" s="357" t="s">
        <v>74</v>
      </c>
      <c r="F200" s="357" t="s">
        <v>86</v>
      </c>
      <c r="G200" s="395"/>
      <c r="H200" s="396"/>
      <c r="I200" s="391">
        <v>381</v>
      </c>
    </row>
    <row r="201" spans="1:9" s="392" customFormat="1">
      <c r="A201" s="393" t="s">
        <v>300</v>
      </c>
      <c r="B201" s="524" t="s">
        <v>164</v>
      </c>
      <c r="C201" s="524"/>
      <c r="D201" s="524"/>
      <c r="E201" s="357" t="s">
        <v>74</v>
      </c>
      <c r="F201" s="357" t="s">
        <v>86</v>
      </c>
      <c r="G201" s="395"/>
      <c r="H201" s="396"/>
      <c r="I201" s="391">
        <v>338</v>
      </c>
    </row>
    <row r="202" spans="1:9" s="392" customFormat="1">
      <c r="A202" s="393" t="s">
        <v>302</v>
      </c>
      <c r="B202" s="524" t="s">
        <v>164</v>
      </c>
      <c r="C202" s="524"/>
      <c r="D202" s="524"/>
      <c r="E202" s="357" t="s">
        <v>74</v>
      </c>
      <c r="F202" s="357" t="s">
        <v>86</v>
      </c>
      <c r="G202" s="395"/>
      <c r="H202" s="396"/>
      <c r="I202" s="391">
        <v>2947.8</v>
      </c>
    </row>
    <row r="203" spans="1:9" s="392" customFormat="1">
      <c r="A203" s="393" t="s">
        <v>420</v>
      </c>
      <c r="B203" s="524" t="s">
        <v>164</v>
      </c>
      <c r="C203" s="524"/>
      <c r="D203" s="524"/>
      <c r="E203" s="357" t="s">
        <v>74</v>
      </c>
      <c r="F203" s="357" t="s">
        <v>86</v>
      </c>
      <c r="G203" s="395"/>
      <c r="H203" s="396"/>
      <c r="I203" s="391">
        <v>1966.4</v>
      </c>
    </row>
    <row r="204" spans="1:9" s="392" customFormat="1">
      <c r="A204" s="393">
        <v>71351540</v>
      </c>
      <c r="B204" s="524" t="s">
        <v>164</v>
      </c>
      <c r="C204" s="524"/>
      <c r="D204" s="524"/>
      <c r="E204" s="357" t="s">
        <v>74</v>
      </c>
      <c r="F204" s="357" t="s">
        <v>86</v>
      </c>
      <c r="G204" s="395"/>
      <c r="H204" s="396"/>
      <c r="I204" s="391">
        <v>719.8</v>
      </c>
    </row>
    <row r="205" spans="1:9" s="392" customFormat="1" ht="17.45" customHeight="1">
      <c r="A205" s="393" t="s">
        <v>162</v>
      </c>
      <c r="B205" s="524" t="s">
        <v>165</v>
      </c>
      <c r="C205" s="524"/>
      <c r="D205" s="524"/>
      <c r="E205" s="357" t="s">
        <v>87</v>
      </c>
      <c r="F205" s="357" t="s">
        <v>86</v>
      </c>
      <c r="G205" s="397"/>
      <c r="H205" s="398"/>
      <c r="I205" s="391">
        <v>283.89999999999998</v>
      </c>
    </row>
    <row r="206" spans="1:9" s="392" customFormat="1" ht="17.45" customHeight="1">
      <c r="A206" s="393" t="s">
        <v>339</v>
      </c>
      <c r="B206" s="524" t="s">
        <v>165</v>
      </c>
      <c r="C206" s="524"/>
      <c r="D206" s="524"/>
      <c r="E206" s="357" t="s">
        <v>87</v>
      </c>
      <c r="F206" s="357" t="s">
        <v>86</v>
      </c>
      <c r="G206" s="397"/>
      <c r="H206" s="398"/>
      <c r="I206" s="391">
        <v>149</v>
      </c>
    </row>
    <row r="207" spans="1:9" s="392" customFormat="1" ht="17.45" customHeight="1">
      <c r="A207" s="393" t="s">
        <v>342</v>
      </c>
      <c r="B207" s="524" t="s">
        <v>165</v>
      </c>
      <c r="C207" s="524"/>
      <c r="D207" s="524"/>
      <c r="E207" s="357" t="s">
        <v>87</v>
      </c>
      <c r="F207" s="357" t="s">
        <v>86</v>
      </c>
      <c r="G207" s="397"/>
      <c r="H207" s="398"/>
      <c r="I207" s="391">
        <v>26.1</v>
      </c>
    </row>
    <row r="208" spans="1:9" s="392" customFormat="1" ht="17.45" customHeight="1">
      <c r="A208" s="393" t="s">
        <v>380</v>
      </c>
      <c r="B208" s="524" t="s">
        <v>165</v>
      </c>
      <c r="C208" s="524"/>
      <c r="D208" s="524"/>
      <c r="E208" s="357" t="s">
        <v>87</v>
      </c>
      <c r="F208" s="357" t="s">
        <v>86</v>
      </c>
      <c r="G208" s="397"/>
      <c r="H208" s="398"/>
      <c r="I208" s="391">
        <v>120.1</v>
      </c>
    </row>
    <row r="209" spans="1:9" s="392" customFormat="1" ht="17.45" customHeight="1">
      <c r="A209" s="393" t="s">
        <v>295</v>
      </c>
      <c r="B209" s="524" t="s">
        <v>165</v>
      </c>
      <c r="C209" s="524"/>
      <c r="D209" s="524"/>
      <c r="E209" s="357" t="s">
        <v>87</v>
      </c>
      <c r="F209" s="357" t="s">
        <v>86</v>
      </c>
      <c r="G209" s="397"/>
      <c r="H209" s="398"/>
      <c r="I209" s="391">
        <v>241.9</v>
      </c>
    </row>
    <row r="210" spans="1:9" s="392" customFormat="1" ht="17.45" customHeight="1">
      <c r="A210" s="393" t="s">
        <v>298</v>
      </c>
      <c r="B210" s="524" t="s">
        <v>165</v>
      </c>
      <c r="C210" s="524"/>
      <c r="D210" s="524"/>
      <c r="E210" s="357" t="s">
        <v>87</v>
      </c>
      <c r="F210" s="357" t="s">
        <v>86</v>
      </c>
      <c r="G210" s="397"/>
      <c r="H210" s="398"/>
      <c r="I210" s="391">
        <v>174.4</v>
      </c>
    </row>
    <row r="211" spans="1:9" s="392" customFormat="1" ht="17.45" customHeight="1">
      <c r="A211" s="393" t="s">
        <v>304</v>
      </c>
      <c r="B211" s="524" t="s">
        <v>165</v>
      </c>
      <c r="C211" s="524"/>
      <c r="D211" s="524"/>
      <c r="E211" s="357" t="s">
        <v>87</v>
      </c>
      <c r="F211" s="357" t="s">
        <v>86</v>
      </c>
      <c r="G211" s="397"/>
      <c r="H211" s="398"/>
      <c r="I211" s="391">
        <v>906.4</v>
      </c>
    </row>
    <row r="212" spans="1:9" s="392" customFormat="1" ht="17.45" customHeight="1">
      <c r="A212" s="393" t="s">
        <v>421</v>
      </c>
      <c r="B212" s="524" t="s">
        <v>165</v>
      </c>
      <c r="C212" s="524"/>
      <c r="D212" s="524"/>
      <c r="E212" s="357" t="s">
        <v>87</v>
      </c>
      <c r="F212" s="357" t="s">
        <v>86</v>
      </c>
      <c r="G212" s="397"/>
      <c r="H212" s="398"/>
      <c r="I212" s="391">
        <v>652.20000000000005</v>
      </c>
    </row>
    <row r="213" spans="1:9" s="392" customFormat="1" ht="17.45" customHeight="1">
      <c r="A213" s="393">
        <v>98111140</v>
      </c>
      <c r="B213" s="524" t="s">
        <v>165</v>
      </c>
      <c r="C213" s="524"/>
      <c r="D213" s="524"/>
      <c r="E213" s="357" t="s">
        <v>87</v>
      </c>
      <c r="F213" s="357" t="s">
        <v>86</v>
      </c>
      <c r="G213" s="397"/>
      <c r="H213" s="398"/>
      <c r="I213" s="391">
        <v>431.6</v>
      </c>
    </row>
  </sheetData>
  <mergeCells count="215">
    <mergeCell ref="B211:D211"/>
    <mergeCell ref="B193:D193"/>
    <mergeCell ref="B203:D203"/>
    <mergeCell ref="B204:D204"/>
    <mergeCell ref="B212:D212"/>
    <mergeCell ref="B213:D213"/>
    <mergeCell ref="B199:D199"/>
    <mergeCell ref="B207:D207"/>
    <mergeCell ref="B206:D206"/>
    <mergeCell ref="B208:D208"/>
    <mergeCell ref="B209:D209"/>
    <mergeCell ref="B210:D210"/>
    <mergeCell ref="B200:D200"/>
    <mergeCell ref="B201:D201"/>
    <mergeCell ref="B202:D202"/>
    <mergeCell ref="B188:D188"/>
    <mergeCell ref="B189:D189"/>
    <mergeCell ref="B191:D191"/>
    <mergeCell ref="B190:D190"/>
    <mergeCell ref="B195:D195"/>
    <mergeCell ref="B196:D196"/>
    <mergeCell ref="B205:D205"/>
    <mergeCell ref="B194:D194"/>
    <mergeCell ref="B198:D198"/>
    <mergeCell ref="B197:D197"/>
    <mergeCell ref="B192:D192"/>
    <mergeCell ref="B181:D181"/>
    <mergeCell ref="B182:D182"/>
    <mergeCell ref="B183:D183"/>
    <mergeCell ref="B184:D184"/>
    <mergeCell ref="B185:D185"/>
    <mergeCell ref="B155:D155"/>
    <mergeCell ref="B172:D172"/>
    <mergeCell ref="B186:D186"/>
    <mergeCell ref="B187:H187"/>
    <mergeCell ref="B178:D178"/>
    <mergeCell ref="B179:D179"/>
    <mergeCell ref="B180:D180"/>
    <mergeCell ref="B174:D174"/>
    <mergeCell ref="B175:D175"/>
    <mergeCell ref="B176:D176"/>
    <mergeCell ref="B112:D112"/>
    <mergeCell ref="B113:D113"/>
    <mergeCell ref="B95:D95"/>
    <mergeCell ref="B96:D96"/>
    <mergeCell ref="B101:D101"/>
    <mergeCell ref="B102:D102"/>
    <mergeCell ref="B107:D107"/>
    <mergeCell ref="B86:H86"/>
    <mergeCell ref="B91:D91"/>
    <mergeCell ref="B92:D92"/>
    <mergeCell ref="B93:D93"/>
    <mergeCell ref="B94:H94"/>
    <mergeCell ref="B97:D97"/>
    <mergeCell ref="B103:D103"/>
    <mergeCell ref="B108:D108"/>
    <mergeCell ref="B98:D98"/>
    <mergeCell ref="B104:D104"/>
    <mergeCell ref="B109:D109"/>
    <mergeCell ref="B99:D99"/>
    <mergeCell ref="B105:D105"/>
    <mergeCell ref="B110:D110"/>
    <mergeCell ref="B100:D100"/>
    <mergeCell ref="B106:D106"/>
    <mergeCell ref="B111:D111"/>
    <mergeCell ref="B81:D81"/>
    <mergeCell ref="A10:H10"/>
    <mergeCell ref="D20:H20"/>
    <mergeCell ref="B21:H21"/>
    <mergeCell ref="B22:D22"/>
    <mergeCell ref="B60:D60"/>
    <mergeCell ref="B64:D64"/>
    <mergeCell ref="B74:D74"/>
    <mergeCell ref="B51:D51"/>
    <mergeCell ref="B62:D62"/>
    <mergeCell ref="B72:D72"/>
    <mergeCell ref="B53:D53"/>
    <mergeCell ref="B65:D65"/>
    <mergeCell ref="B75:D75"/>
    <mergeCell ref="B56:D56"/>
    <mergeCell ref="B71:D71"/>
    <mergeCell ref="B45:D45"/>
    <mergeCell ref="B43:H43"/>
    <mergeCell ref="B44:D44"/>
    <mergeCell ref="B46:D46"/>
    <mergeCell ref="B50:D50"/>
    <mergeCell ref="B48:D48"/>
    <mergeCell ref="B47:D47"/>
    <mergeCell ref="B49:H49"/>
    <mergeCell ref="B61:D61"/>
    <mergeCell ref="B138:H138"/>
    <mergeCell ref="B156:D156"/>
    <mergeCell ref="B89:D89"/>
    <mergeCell ref="B88:D88"/>
    <mergeCell ref="B90:D90"/>
    <mergeCell ref="B87:D87"/>
    <mergeCell ref="B76:D76"/>
    <mergeCell ref="B54:D54"/>
    <mergeCell ref="B66:D66"/>
    <mergeCell ref="B77:D77"/>
    <mergeCell ref="B55:D55"/>
    <mergeCell ref="B67:D67"/>
    <mergeCell ref="B78:D78"/>
    <mergeCell ref="B73:D73"/>
    <mergeCell ref="B69:D69"/>
    <mergeCell ref="B70:D70"/>
    <mergeCell ref="B79:D79"/>
    <mergeCell ref="B83:D83"/>
    <mergeCell ref="B85:D85"/>
    <mergeCell ref="B82:D82"/>
    <mergeCell ref="B84:D84"/>
    <mergeCell ref="B80:D80"/>
    <mergeCell ref="B63:D63"/>
    <mergeCell ref="B52:D52"/>
    <mergeCell ref="B59:D59"/>
    <mergeCell ref="B68:D68"/>
    <mergeCell ref="B57:D57"/>
    <mergeCell ref="B58:D58"/>
    <mergeCell ref="H1:I1"/>
    <mergeCell ref="B7:D8"/>
    <mergeCell ref="B9:D9"/>
    <mergeCell ref="A5:I6"/>
    <mergeCell ref="A7:A8"/>
    <mergeCell ref="E7:E8"/>
    <mergeCell ref="H7:I7"/>
    <mergeCell ref="F7:F8"/>
    <mergeCell ref="G7:G8"/>
    <mergeCell ref="H2:I2"/>
    <mergeCell ref="H3:I3"/>
    <mergeCell ref="D11:H11"/>
    <mergeCell ref="B12:H12"/>
    <mergeCell ref="B13:D13"/>
    <mergeCell ref="B14:D14"/>
    <mergeCell ref="B19:D19"/>
    <mergeCell ref="B28:D28"/>
    <mergeCell ref="B29:D29"/>
    <mergeCell ref="B30:D30"/>
    <mergeCell ref="B25:D25"/>
    <mergeCell ref="B36:D36"/>
    <mergeCell ref="B39:D39"/>
    <mergeCell ref="B42:D42"/>
    <mergeCell ref="B41:D41"/>
    <mergeCell ref="B37:D37"/>
    <mergeCell ref="B40:D40"/>
    <mergeCell ref="B15:D15"/>
    <mergeCell ref="B16:D16"/>
    <mergeCell ref="B17:D17"/>
    <mergeCell ref="B18:D18"/>
    <mergeCell ref="B23:D23"/>
    <mergeCell ref="B24:D24"/>
    <mergeCell ref="D26:H26"/>
    <mergeCell ref="B27:H27"/>
    <mergeCell ref="B32:D32"/>
    <mergeCell ref="B33:D33"/>
    <mergeCell ref="B34:H34"/>
    <mergeCell ref="B38:D38"/>
    <mergeCell ref="B35:D35"/>
    <mergeCell ref="B31:D31"/>
    <mergeCell ref="B114:H114"/>
    <mergeCell ref="B115:D115"/>
    <mergeCell ref="B116:D116"/>
    <mergeCell ref="B117:D117"/>
    <mergeCell ref="B118:D118"/>
    <mergeCell ref="B119:D119"/>
    <mergeCell ref="B120:D120"/>
    <mergeCell ref="B126:D126"/>
    <mergeCell ref="B127:D127"/>
    <mergeCell ref="B130:D130"/>
    <mergeCell ref="B133:D133"/>
    <mergeCell ref="B128:D128"/>
    <mergeCell ref="B121:D121"/>
    <mergeCell ref="B129:D129"/>
    <mergeCell ref="B122:D122"/>
    <mergeCell ref="B123:D123"/>
    <mergeCell ref="B124:D124"/>
    <mergeCell ref="B131:D131"/>
    <mergeCell ref="B125:D125"/>
    <mergeCell ref="B132:D132"/>
    <mergeCell ref="B134:H134"/>
    <mergeCell ref="B135:D135"/>
    <mergeCell ref="B137:D137"/>
    <mergeCell ref="B136:D136"/>
    <mergeCell ref="B139:D139"/>
    <mergeCell ref="B140:D140"/>
    <mergeCell ref="B173:D173"/>
    <mergeCell ref="B141:D141"/>
    <mergeCell ref="B142:D142"/>
    <mergeCell ref="B143:D143"/>
    <mergeCell ref="B158:D158"/>
    <mergeCell ref="B159:D159"/>
    <mergeCell ref="B160:D160"/>
    <mergeCell ref="B157:D157"/>
    <mergeCell ref="B150:D150"/>
    <mergeCell ref="B151:D151"/>
    <mergeCell ref="B152:D152"/>
    <mergeCell ref="B153:D153"/>
    <mergeCell ref="B154:D154"/>
    <mergeCell ref="B167:D167"/>
    <mergeCell ref="B168:D168"/>
    <mergeCell ref="B169:D169"/>
    <mergeCell ref="B170:D170"/>
    <mergeCell ref="B171:D171"/>
    <mergeCell ref="B144:D144"/>
    <mergeCell ref="B161:D161"/>
    <mergeCell ref="B177:D177"/>
    <mergeCell ref="B145:D145"/>
    <mergeCell ref="B146:D146"/>
    <mergeCell ref="B147:D147"/>
    <mergeCell ref="B148:D148"/>
    <mergeCell ref="B149:D149"/>
    <mergeCell ref="B162:D162"/>
    <mergeCell ref="B163:D163"/>
    <mergeCell ref="B164:D164"/>
    <mergeCell ref="B165:D165"/>
    <mergeCell ref="B166:D166"/>
  </mergeCells>
  <phoneticPr fontId="98" type="noConversion"/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Milena</cp:lastModifiedBy>
  <cp:lastPrinted>2023-07-10T16:02:41Z</cp:lastPrinted>
  <dcterms:created xsi:type="dcterms:W3CDTF">2022-01-04T07:12:58Z</dcterms:created>
  <dcterms:modified xsi:type="dcterms:W3CDTF">2023-09-13T17:34:07Z</dcterms:modified>
</cp:coreProperties>
</file>