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1080" yWindow="495" windowWidth="32520" windowHeight="20505"/>
  </bookViews>
  <sheets>
    <sheet name="naxahashiv" sheetId="1" r:id="rId1"/>
  </sheets>
  <definedNames>
    <definedName name="_xlnm._FilterDatabase" localSheetId="0" hidden="1">naxahashiv!$A$3:$F$5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2" i="1" l="1"/>
  <c r="E100" i="1" l="1"/>
  <c r="E99" i="1"/>
  <c r="E98" i="1"/>
  <c r="F149" i="1" l="1"/>
  <c r="F144" i="1"/>
  <c r="F143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5" i="1"/>
  <c r="F114" i="1"/>
  <c r="F113" i="1"/>
  <c r="F112" i="1"/>
  <c r="F104" i="1"/>
  <c r="F92" i="1"/>
  <c r="F86" i="1"/>
  <c r="F83" i="1"/>
  <c r="F82" i="1"/>
  <c r="F79" i="1"/>
  <c r="F76" i="1"/>
  <c r="F74" i="1"/>
  <c r="F65" i="1"/>
  <c r="F64" i="1"/>
  <c r="F62" i="1"/>
  <c r="F60" i="1"/>
  <c r="F59" i="1"/>
  <c r="F58" i="1"/>
  <c r="F57" i="1"/>
  <c r="F56" i="1"/>
  <c r="F54" i="1"/>
  <c r="F53" i="1"/>
  <c r="F52" i="1"/>
  <c r="F50" i="1"/>
  <c r="F49" i="1"/>
  <c r="F48" i="1"/>
  <c r="F44" i="1"/>
  <c r="F43" i="1"/>
  <c r="F42" i="1"/>
  <c r="F41" i="1"/>
  <c r="F36" i="1"/>
  <c r="F30" i="1"/>
  <c r="F27" i="1"/>
  <c r="F24" i="1"/>
  <c r="F21" i="1"/>
  <c r="F7" i="1"/>
  <c r="F5" i="1"/>
  <c r="E155" i="1" l="1"/>
  <c r="F155" i="1" s="1"/>
  <c r="E154" i="1"/>
  <c r="F154" i="1" s="1"/>
  <c r="E153" i="1"/>
  <c r="F153" i="1" s="1"/>
  <c r="E152" i="1"/>
  <c r="F152" i="1" s="1"/>
  <c r="E151" i="1"/>
  <c r="F151" i="1" s="1"/>
  <c r="E150" i="1"/>
  <c r="F150" i="1" s="1"/>
  <c r="E148" i="1"/>
  <c r="F148" i="1" s="1"/>
  <c r="E147" i="1"/>
  <c r="F147" i="1" s="1"/>
  <c r="E146" i="1"/>
  <c r="F146" i="1" s="1"/>
  <c r="E145" i="1"/>
  <c r="F145" i="1" s="1"/>
  <c r="E142" i="1"/>
  <c r="F142" i="1" s="1"/>
  <c r="E141" i="1"/>
  <c r="F141" i="1" s="1"/>
  <c r="E139" i="1"/>
  <c r="F139" i="1" s="1"/>
  <c r="E138" i="1"/>
  <c r="F138" i="1" s="1"/>
  <c r="E110" i="1"/>
  <c r="F110" i="1" s="1"/>
  <c r="E109" i="1"/>
  <c r="F109" i="1" s="1"/>
  <c r="E106" i="1"/>
  <c r="F106" i="1" s="1"/>
  <c r="F102" i="1"/>
  <c r="E101" i="1"/>
  <c r="F101" i="1" s="1"/>
  <c r="F100" i="1"/>
  <c r="F99" i="1"/>
  <c r="F98" i="1"/>
  <c r="E72" i="1"/>
  <c r="F72" i="1" s="1"/>
  <c r="E71" i="1"/>
  <c r="F71" i="1" s="1"/>
  <c r="E61" i="1"/>
  <c r="F61" i="1" s="1"/>
  <c r="E55" i="1"/>
  <c r="F55" i="1" s="1"/>
  <c r="E108" i="1"/>
  <c r="F108" i="1" s="1"/>
  <c r="E107" i="1"/>
  <c r="F107" i="1" s="1"/>
  <c r="E105" i="1"/>
  <c r="F105" i="1" s="1"/>
  <c r="E103" i="1"/>
  <c r="F103" i="1" s="1"/>
  <c r="E97" i="1"/>
  <c r="F97" i="1" s="1"/>
  <c r="E96" i="1"/>
  <c r="F96" i="1" s="1"/>
  <c r="E95" i="1"/>
  <c r="F95" i="1" s="1"/>
  <c r="E94" i="1"/>
  <c r="F94" i="1" s="1"/>
  <c r="E93" i="1"/>
  <c r="F93" i="1" s="1"/>
  <c r="E90" i="1"/>
  <c r="F90" i="1" s="1"/>
  <c r="E89" i="1"/>
  <c r="F89" i="1" s="1"/>
  <c r="E88" i="1"/>
  <c r="F88" i="1" s="1"/>
  <c r="E85" i="1"/>
  <c r="F85" i="1" s="1"/>
  <c r="E84" i="1"/>
  <c r="F84" i="1" s="1"/>
  <c r="E81" i="1"/>
  <c r="F81" i="1" s="1"/>
  <c r="E80" i="1"/>
  <c r="F80" i="1" s="1"/>
  <c r="E78" i="1"/>
  <c r="F78" i="1" s="1"/>
  <c r="E77" i="1"/>
  <c r="F77" i="1" s="1"/>
  <c r="E75" i="1"/>
  <c r="F75" i="1" s="1"/>
  <c r="E73" i="1"/>
  <c r="F73" i="1" s="1"/>
  <c r="E70" i="1"/>
  <c r="F70" i="1" s="1"/>
  <c r="E69" i="1"/>
  <c r="F69" i="1" s="1"/>
  <c r="E68" i="1"/>
  <c r="F68" i="1" s="1"/>
  <c r="E67" i="1"/>
  <c r="F67" i="1" s="1"/>
  <c r="E66" i="1"/>
  <c r="F66" i="1" s="1"/>
  <c r="E51" i="1"/>
  <c r="F51" i="1" s="1"/>
  <c r="E47" i="1"/>
  <c r="F47" i="1" s="1"/>
  <c r="E46" i="1"/>
  <c r="F46" i="1" s="1"/>
  <c r="E45" i="1"/>
  <c r="F45" i="1" s="1"/>
  <c r="E40" i="1"/>
  <c r="F40" i="1" s="1"/>
  <c r="E39" i="1"/>
  <c r="F39" i="1" s="1"/>
  <c r="E38" i="1"/>
  <c r="F38" i="1" s="1"/>
  <c r="F35" i="1"/>
  <c r="E34" i="1"/>
  <c r="F34" i="1" s="1"/>
  <c r="E33" i="1"/>
  <c r="F33" i="1" s="1"/>
  <c r="E32" i="1"/>
  <c r="F32" i="1" s="1"/>
  <c r="E31" i="1"/>
  <c r="F31" i="1" s="1"/>
  <c r="E29" i="1"/>
  <c r="F29" i="1" s="1"/>
  <c r="E28" i="1"/>
  <c r="F28" i="1" s="1"/>
  <c r="E25" i="1" l="1"/>
  <c r="F25" i="1" s="1"/>
  <c r="E23" i="1"/>
  <c r="F23" i="1" s="1"/>
  <c r="E22" i="1"/>
  <c r="F22" i="1" s="1"/>
  <c r="E20" i="1"/>
  <c r="F20" i="1" s="1"/>
  <c r="E19" i="1"/>
  <c r="F19" i="1" s="1"/>
  <c r="E16" i="1"/>
  <c r="F16" i="1" s="1"/>
  <c r="F14" i="1"/>
  <c r="F13" i="1"/>
  <c r="E15" i="1"/>
  <c r="F15" i="1" s="1"/>
  <c r="E12" i="1"/>
  <c r="F12" i="1" s="1"/>
  <c r="E11" i="1"/>
  <c r="F11" i="1" s="1"/>
  <c r="E10" i="1"/>
  <c r="F10" i="1" s="1"/>
  <c r="E9" i="1"/>
  <c r="F9" i="1" s="1"/>
  <c r="E8" i="1"/>
  <c r="F8" i="1" s="1"/>
  <c r="F4" i="1" l="1"/>
  <c r="F87" i="1" l="1"/>
  <c r="E18" i="1"/>
  <c r="F18" i="1" s="1"/>
  <c r="E17" i="1"/>
  <c r="F17" i="1" s="1"/>
  <c r="F116" i="1" l="1"/>
  <c r="F63" i="1" l="1"/>
  <c r="F111" i="1"/>
  <c r="F37" i="1"/>
  <c r="F91" i="1"/>
  <c r="F140" i="1"/>
  <c r="F6" i="1"/>
  <c r="F26" i="1"/>
  <c r="F158" i="1" l="1"/>
  <c r="F159" i="1" l="1"/>
  <c r="F160" i="1" s="1"/>
</calcChain>
</file>

<file path=xl/sharedStrings.xml><?xml version="1.0" encoding="utf-8"?>
<sst xmlns="http://schemas.openxmlformats.org/spreadsheetml/2006/main" count="307" uniqueCount="168">
  <si>
    <t>հ/հ</t>
  </si>
  <si>
    <t>Ծախսատեսակների անվանումը</t>
  </si>
  <si>
    <t>Միավոր</t>
  </si>
  <si>
    <t>Քանակը</t>
  </si>
  <si>
    <t xml:space="preserve">հատ </t>
  </si>
  <si>
    <t xml:space="preserve">Այլ ծախսեր </t>
  </si>
  <si>
    <t>Համերգի կազմակերպման սարքավորումներ և ծառայություններ</t>
  </si>
  <si>
    <t xml:space="preserve">Ընդամենը </t>
  </si>
  <si>
    <t>ԱԱՀ</t>
  </si>
  <si>
    <t>այլ ծառայություններ (Երևան ամսագրի թողարկում նվիրված Snoop Dogg-ին)</t>
  </si>
  <si>
    <t>դրամ</t>
  </si>
  <si>
    <t>այլ ծառայություններ (ծրագրի մշակում երաժշտության սինխրոնիզացման ԼԵԴ-երով հեռարձակվող վիդեո պատկերների հետ ստադիոնում, ոչ ստանդարտ էֆեկտներից բաղկացած շոու-գովազդ)</t>
  </si>
  <si>
    <t>կարճ հաղորդագրությունների (sms) ուղարկման ծառայություններ (Viber և sms հաղորդագրություններ)</t>
  </si>
  <si>
    <t xml:space="preserve">Մարզադաշտի ծախսերի հետ կապված ծառայություններ </t>
  </si>
  <si>
    <t>Համերգի անվտանգության ապահովման ծառայություններ</t>
  </si>
  <si>
    <t xml:space="preserve">Համերգի սպասարկող անձնակազմի ծառայություններ </t>
  </si>
  <si>
    <t xml:space="preserve">LED և տեսասարքավորումների ապահովման ծառայություններ  </t>
  </si>
  <si>
    <t xml:space="preserve">Համերգի  ձայնային և լուսային սարքավորումների ծառայություններ </t>
  </si>
  <si>
    <t xml:space="preserve">Մարքեթինգային ծախսերի ծառայություններ   </t>
  </si>
  <si>
    <t>Հրավիրված արտիստների և անձնակազմի ծառայություններ</t>
  </si>
  <si>
    <t xml:space="preserve">Հավելված N 2
ՀՀ կառավարության  2023 թվականի 
______________ ի    ___Ն որոշման
</t>
  </si>
  <si>
    <t>այլ սարքավորումների վարձակալություն (դաշտի հատուկ ծածկի վարձակալություն) 7000 ք/մ</t>
  </si>
  <si>
    <t>մաքրման ծառայություններ («Հրազդան» մարզադաշտի և հարակից տարածքի մաքրություն)</t>
  </si>
  <si>
    <t>ամֆիթատրոնային լսարանների կառուցման աշխատանքներ (հանդիսատեսի համար երկհարկանի հարթակի (ամֆիթատրոն) կառուցում, ապամոնտաժում (ներառյալ բեռնափոխադրումը Հայաստան)</t>
  </si>
  <si>
    <t>այլ ծառայություններ (հանդիսատեսի հարթակների երեսպատման համար կավրալինի տրամադրում, մոնտաժում և ապամոնտաժում) 700ք/մ</t>
  </si>
  <si>
    <t>շենքերի, շինությունների ընթացիկ նորոգման աշխատանքներ (մարզադաշտի զուգարանների մասնակի վերանորոգում) 4 հատ</t>
  </si>
  <si>
    <t>այլ սարքավորումների վարձակալություն (հակահրդեհային սարքավորումների արդիականացում և սպասարկում)</t>
  </si>
  <si>
    <t xml:space="preserve"> հսկողության համակարգերի ծառայություններ (մետաղորսիչների տեղադրում և սպասարկում)</t>
  </si>
  <si>
    <t>այլ ծառայություններ (տոմսերի ստուգման ծառայություն)</t>
  </si>
  <si>
    <t xml:space="preserve"> ընդհանուր կառավարման խորհրդատվական ծառայություններ (տնօրենի օգնական)</t>
  </si>
  <si>
    <t>թատրոնի բեմի լուսաձայնային համակարգի վարձակալություն (հեռահար լինզաներ, 4 հատ, 3 օր)</t>
  </si>
  <si>
    <t>թատրոնի բեմի լուսաձայնային համակարգի վարձակալություն (ձայնային բեքլայն)</t>
  </si>
  <si>
    <t xml:space="preserve"> տեխնիկական վերլուծության և խրհրդատվության ծառայություններ (բեմի տեխնիկական անվտանգության եզրակացության պատրաստում)</t>
  </si>
  <si>
    <t>այլ ծառայություններ (հավասարակշիռ բաքերի տեղափոխում)</t>
  </si>
  <si>
    <t xml:space="preserve"> ուղղակի մարքեթինգի ծառայություններ (մարքեթինգային ռազմավարության մշակում, մարքեթինգային արշավների պլանավորում, մեդիա պլանավորում)</t>
  </si>
  <si>
    <t>այլ ծառայություններ (միջազգային լրատվականներում հոդվածների տեղադրման ծառայություն) </t>
  </si>
  <si>
    <t>ծառայություններ` կապված կինոֆիլմերի և տեսածրագրերի արտադրություն հետ (հոլովակների պատրաստման ծառայություն և ֆոտո/վիդեո նյութերի ձեռքբերում)</t>
  </si>
  <si>
    <t>գովազդի կառավարման (մենեջմենթի) ծառայություններ (սոցիալական ցանցերում գովազդների իրականացում)</t>
  </si>
  <si>
    <t>այլ ծառայություններ (սոցիալական ցանցերի համար ֆոտո և վիդեո նյութերի ստեղծման ծառայություն)</t>
  </si>
  <si>
    <t>գովազդային ծառայություններ (լրատվականներում հոդվածների տեղադրման ծառայություններ)</t>
  </si>
  <si>
    <t xml:space="preserve"> գովազդային ծառայություններ (ռադիո գովազդ)</t>
  </si>
  <si>
    <t xml:space="preserve"> հեռուստա- և ռադիոհաղորդումների հեռարձակման ծառայություններ (հեռուստատեսություն)</t>
  </si>
  <si>
    <t>ԱՄԲՈՂՋԸ</t>
  </si>
  <si>
    <r>
      <rPr>
        <b/>
        <sz val="12"/>
        <rFont val="GHEA Grapalat"/>
        <family val="3"/>
      </rPr>
      <t>Ն Ա Խ Ա Հ Ա Շ Ի Վ</t>
    </r>
    <r>
      <rPr>
        <sz val="12"/>
        <rFont val="GHEA Grapalat"/>
        <family val="3"/>
      </rPr>
      <t xml:space="preserve">
«Համաշխարհային աստղի հայաստանյան հյուրախաղեր» երաժշտական նախագծի իրականացման ծախսերի</t>
    </r>
  </si>
  <si>
    <t>ամֆիթատրոնային լսարանների կառուցման աշխատանքներ (հանդիսատեսի համար երկհարկանի հարթակի (ամֆիթատրոն) կառուցում, ապամոնտաժում  (ներառյալ բեռնափոխադրումը Հայաստան)</t>
  </si>
  <si>
    <t>բեմերի կառուցման աշխատանքներ (ուժեղացված հինական բեմ (22х16х17 մ, layher), բեմի թևեր,երկհարկանի կոնստրուկցիաներ, բեմական սարքավորումներ՝ ներառյալ հեռակառավարման վահանակը, տանիքի օգտակար ծանրաբեռնվածությունը ՝ 20 տոննա)</t>
  </si>
  <si>
    <t xml:space="preserve"> կոմուտացիոն սարքի վարձակալություն (Կոմուտացիա)</t>
  </si>
  <si>
    <t>մաքսային միջնորդի (բրոքեր) ծառայություններ (մաքսային ձևակերպումների հետ կապված ծախսեր)</t>
  </si>
  <si>
    <t>այլ ծառայություններ (հրավառություն և բեմական պիրոտեխնիկա, 1,25 - 7 կալիբր, 3 րոպե )</t>
  </si>
  <si>
    <t>հասարակայնության հետ կապերի ծառայության մատուցում</t>
  </si>
  <si>
    <t xml:space="preserve"> Ռիսկերի կառավարման ապահովագրման ծառայություններ  (համերգի ռիսկերի ապահովագրություն)</t>
  </si>
  <si>
    <t>միավորի արժեքը 
(դրամ)</t>
  </si>
  <si>
    <t>Ընդամենը 
գումարը
(հազար դրամ)</t>
  </si>
  <si>
    <t xml:space="preserve">շենքերի, շինությունների ընթացիկ նորոգման աշխատանքներ (տարածքի բարեկարգում) </t>
  </si>
  <si>
    <t xml:space="preserve"> էլեկտրականության բաշխում (էլեկտրաէներգիայի վճար)</t>
  </si>
  <si>
    <t>այլ սարքավորումների վարձակալություն (բիոզուգարանների տրամադրում, տեղադրում, տեղափոխում և սպասարկում)՝ 60 հատ</t>
  </si>
  <si>
    <t>այլ ծառայություններ (մարզադաշտում անվտանգային կետերի (բուժ. կետ և հակահրդեհային) ստեղծում, սպասարկում)՝ 4 հատ, 1 օր</t>
  </si>
  <si>
    <t xml:space="preserve"> հսկողության համակարգերի ծառայություններ (մետաղորսիչների վարձակալություն և տեղափոխում Հայաստան)՝ 22 հատ, 1 օր</t>
  </si>
  <si>
    <t>անվտանգության ապահովման ծառայություններ (պահնորդային ծառայություն համերգի օրվա համար)՝ 140 մարդ, 1 օր</t>
  </si>
  <si>
    <t>անվտանգության ապահովման ծառայություններ (պահնորդային ծառայություն համերգի նախապատրաստական և ապամոնտաժման փուլերի համար` 8 մարդ, 10 օր</t>
  </si>
  <si>
    <t>անվտանգության ապահովման ծառայություններ (անհատական անվտանգության ծառայություն)՝  
4 մարդ, 3 օր</t>
  </si>
  <si>
    <t xml:space="preserve">ձեռնաշղթաներ (մուտքի համար նախատեսված ձեռքի շղթաներ) </t>
  </si>
  <si>
    <t xml:space="preserve">այլ ծառայություններ (բանվորներ)՝  90 մարդ, 12 օր </t>
  </si>
  <si>
    <t xml:space="preserve">այլ ծառայություններ (բանվորներ)՝  55 մարդ, 12 օր </t>
  </si>
  <si>
    <t>Բեմի և բեմական սարքավորումների ապահովման ծառայություններ</t>
  </si>
  <si>
    <t xml:space="preserve"> դիզայնի օժանդակ ծառայություններ (բեմի ձևավորում, երեսպատում  նրբատախտակով)՝ 400ք/մ</t>
  </si>
  <si>
    <t>շենքերի, շինությունների ընթացիկ նորոգման աշխատանքներ (բեմի ձևավորում, բեմահարթակի ուժեղացում փայտե հեծաններով - 3մ)՝ 90 հատ</t>
  </si>
  <si>
    <t xml:space="preserve"> մետաղական կոնստրուկցիաների տեղադրում, բացառությամբ` դռների և պատուհանների (բեմի ռեկվիզիտի ապահովում, հեռախոսային 2 խցիկ)</t>
  </si>
  <si>
    <t xml:space="preserve">Տ անվտանգության տեսախցիկների վարձակալություն (տեսասարքավորումներ (տեսախցիկ PTZ)՝ 
4 հատ, 3 օր </t>
  </si>
  <si>
    <t xml:space="preserve"> անվտանգության տեսախցիկների վարձակալություն (տեսասարքավորումներ (տեսախցիկ SONY  X 320)՝ 4 հատ, 3 օր</t>
  </si>
  <si>
    <t>այլ ծառայություններ (օպերատոր)՝ 4 մարդ, 2 օր</t>
  </si>
  <si>
    <t>այլ ծառայություններ (տեխնիկ)՝ 2 մարդ, 3 օր</t>
  </si>
  <si>
    <t>այլ ծառայություններ (սև վարագույրի մոնտաժում, ապամոնտաժում)՝ 1400ք/մ</t>
  </si>
  <si>
    <t xml:space="preserve"> կռունկների վարձակալություն` մեքենավարի հետ մեկտեղ (վերամբարձ կռունկի ծառայություն)՝
 2 հատ, 8 օր</t>
  </si>
  <si>
    <t>այլ սարքավորումների վարձակալություն (կառի աշխատանքների ծառայություն)՝  3 հատ, 8 օր</t>
  </si>
  <si>
    <t xml:space="preserve"> աշխատանքային գծագրերի պատրաստում (հաստատման ներկայացվող պլաններ, աշխատանքային գծագրեր և մասնագրեր) </t>
  </si>
  <si>
    <t>այլ սարքավորումների վարձակալություն (LED էկրանների վարձակալություն, մոնտաժում և ապամոնտաժում, սպասարկում, փորձերի և համերգի համար, 5 օր)՝ 450 ք/մ</t>
  </si>
  <si>
    <t>այլ ծառայություններ (LED էկրաններ 2 տրիբունաներում, մոնտաժում և ապամոնտաժում, սպասարկում)՝ 160 ք/մ</t>
  </si>
  <si>
    <t>այլ սարքավորումների վարձակալություն (հոսանքի սինքրոն գեներատորներ 500KW հզորությամբ, մալուխներ, մոնտաժում, ապամոնտաժում, սպասարկում, վարձակալություն, 14 օր)</t>
  </si>
  <si>
    <t>այլ սարքավորումների վարձակալություն (հարթակներ տեսախցիկի տակ)՝ 4 հատ</t>
  </si>
  <si>
    <t>այլ սարքավորումների վարձակալություն (ձայնային դիլեյների համար աշտարակներ)՝  2 հատ</t>
  </si>
  <si>
    <t>տպագրական ծառայություններ (թերմոստվարաթղթի տպագրություն)՝  15000 հատ</t>
  </si>
  <si>
    <t>տպագրական ծառայություններ (բեյջերի տպագրություն, բեյջի թել, տպագրությունով)՝  1500 հատ</t>
  </si>
  <si>
    <t>տպագրական ծառայություններ (ուղենիշերի պատրաստում և տպագրություն ПВХ ի վրա)՝  60 հատ</t>
  </si>
  <si>
    <t>հատ</t>
  </si>
  <si>
    <t>գլխարկ՝ կամավորների համար</t>
  </si>
  <si>
    <t>շապիկ՝ կամավորների համար</t>
  </si>
  <si>
    <t>վրանների վարձակալության ծառայություն՝ 20 հատ</t>
  </si>
  <si>
    <t>լիտր</t>
  </si>
  <si>
    <t>այլ սարքավորումների վարձակալություն (դյուրակիր ռադիոկայանների վարձակալություն և սպասարկում)՝  30 հատ, 10 օր</t>
  </si>
  <si>
    <t>գովազդի կառավարման (մենեջմենթ) ծառայություններ (սոցիալական ցանցերում գովազդների պլանավորում, իրականացում, մոնիթորինգ, 24/7 հաղորդագրությունների և մեկնաբանությունների վերահսկողություն)</t>
  </si>
  <si>
    <t>գովազդային ծառայություններ (դիջիթալ հարթակներում գովազդի տեղադրում, google ads այլ մակերեսների վարձակալություն)</t>
  </si>
  <si>
    <t xml:space="preserve"> տեղեկատվական վահանակների վարձակալություն (արտաքին վահանակներ)՝ 5 հատ</t>
  </si>
  <si>
    <t xml:space="preserve"> թվային տպագրության ծառայություններ (վահանակների համար տպագրություն)՝ 675 հատ</t>
  </si>
  <si>
    <t>այլ ծառայություններ (VIP ելքեր օդանավակայանում, 2 անգամ)՝ 11 մարդ</t>
  </si>
  <si>
    <t>կանոնավոր օդային փոխադրման ծառայություն (ավիատոմս՝ Մոսկվա-Երևան-Մոսկվա)՝ 51 հատ</t>
  </si>
  <si>
    <t xml:space="preserve"> հյուրանոցային ծառայություններ՝ 30 մարդ, 10 օր</t>
  </si>
  <si>
    <t>այլ սարքավորումների վարձակալություն (հավասարակշիռ բաքերի տեղադրում)՝ 72 հատ</t>
  </si>
  <si>
    <t>այլ սարքավորումների վարձակալություն (հավասարակշիռ բաքերի տեղադրում)՝ 7 հատ</t>
  </si>
  <si>
    <t>բեռների փոխադրման ծառայություններ (բեռնափոխադրում, Մոսկվա-Երևան-Մոսկվա)՝ 
 բեռնատար մեքենա՝ 23 հատ</t>
  </si>
  <si>
    <t>այլ սարքավորումների վարձակալություն (ուժեղացված արգելապատնեշներ  (Mojo ապրանքանիշ)՝  400 հատ</t>
  </si>
  <si>
    <t>այլ սարքավորումների վարձակալություն (արգելապատնեշներ, 2,5 մ )՝ 800 հատ</t>
  </si>
  <si>
    <t>տպագրական ծառայություններ (բաներների տպագրություն)՝ 2350 ք/մ</t>
  </si>
  <si>
    <t>այլ ծառայություններ (բաներների մոնտաժում և ապամոնտաժում)՝ 2350 ք/մ</t>
  </si>
  <si>
    <t xml:space="preserve"> պլանավորման խորհրդատվական ծառայություններ (պրոդաքշն մենեջեր)</t>
  </si>
  <si>
    <t xml:space="preserve"> ընդհանուր կառավարման խորհրդատվական ծառայություններ (տեխնիկական տնօրեն)</t>
  </si>
  <si>
    <t xml:space="preserve"> տվյալների ցանցի կառավարման ծառայություններ (ցանցային ադմինիստրատոր)</t>
  </si>
  <si>
    <t xml:space="preserve"> հաշվապահական ծառայություններ (հաշվապահ)</t>
  </si>
  <si>
    <t xml:space="preserve"> իրավական խորհրդատվության ծառայություններ (իրավաբան)</t>
  </si>
  <si>
    <t>ֆինանսական խորհրդատվության ծառայություններ (ֆինանսիստ)</t>
  </si>
  <si>
    <t>այլ ծառայություններ (տրանսպորտի գծով մենեջեր)</t>
  </si>
  <si>
    <t>այլ ծառայություններ (հյուրանոցի գծով մենեջեր)</t>
  </si>
  <si>
    <t>այլ ծառայություններ (էներգետիկ)</t>
  </si>
  <si>
    <t>այլ ծառայություններ (էլեկտրիկ)՝ 4 մարդ</t>
  </si>
  <si>
    <t>այլ ծառայություններ (պրոդյուսերի ասիստենտ)</t>
  </si>
  <si>
    <t>այլ ծառայություններ (գրասենյակի մենեջեր)</t>
  </si>
  <si>
    <t>այլ ծառայություններ (ադմինիստրատոր)</t>
  </si>
  <si>
    <t>այլ ծառայություններ (ադմինիստրատորի օգնականներ)՝ 5 մարդ</t>
  </si>
  <si>
    <t>այլ ծառայություններ (տոմսերի վաճառքի մենեջեր)</t>
  </si>
  <si>
    <t>այլ ծառայություններ (ձայնային ինժեներ)</t>
  </si>
  <si>
    <t>այլ ծառայություններ (լուսային ինժեներ)</t>
  </si>
  <si>
    <t>այլ ծառայություններ (վիդեո ինժեներ)</t>
  </si>
  <si>
    <t>այլ ծառայություններ (համերգի ծրագրի պրոդյուսեր)</t>
  </si>
  <si>
    <t xml:space="preserve"> հեռախոսազանգերին պատասխանելու ծառայություններ (զանգերի կենտրոնի աշխատակիցներ)՝ 4 մարդ</t>
  </si>
  <si>
    <t>վարորդի ծառայություններ (վարորդ)</t>
  </si>
  <si>
    <t xml:space="preserve"> մետաղական կոնստրուկցիաների տեղադրում, բացառությամբ` դռների և պատուհանների (մետաղական կոնստրուկցիաներ  LED էկրանների համար)՝  610 ք/մ</t>
  </si>
  <si>
    <t>բեմերի կառուցման աշխատանքներ (ետնաբեմի կառուցում (արագ զգեստափոխման հանդերձասենյակի կառուցում՝ 8 մ х 10 մ, ներառյալ կահավորում անհրաժեշտ կենցաղային պարագաներով)՝ 2 հատ</t>
  </si>
  <si>
    <t>այլ սարքավորումների վարձակալություն (սերվեր)՝ 2 հատ</t>
  </si>
  <si>
    <t>այլ սարքավորումների վարձակալություն (հանդերձասենյակների պատրաստում (կահույքի վարձակալում, մասնակի վերանորոգում), այդ թվում հանդերձանքի տեղաշարժվող մեկ մեքենայի վարձակալություն (հագեցված խոհանոցով, հանգստի գոտիով և սանհանգույցով)՝ 6 հատ</t>
  </si>
  <si>
    <t>հավաքովի կառույցների տեղադրման և մոնտաժման աշխատանքներ (ծածկի մոնտաժում, ապամոնտաժում և սպասարկում) 7000 ք/մ</t>
  </si>
  <si>
    <t>ներկայացուցչական ծառայությունների հետ կապված ծախսեր (գրասենյակի ծախսեր՝ մարզադաշտի տարածքում)</t>
  </si>
  <si>
    <t>սեղանների վարձակալության ծառայություն (երկհարկանի հարթակներում)՝ 70 հատ, 1 օր</t>
  </si>
  <si>
    <t>աթոռների վարձակալության ծառայություն (երկհարկանի հարթակներում)՝ 280 հատ,  1 օր</t>
  </si>
  <si>
    <t>այլ ծառայություններ (երկհարկանի հարթակներում աթոռների և սեղանների տեղափոխում և  տեղադրում)</t>
  </si>
  <si>
    <t xml:space="preserve"> հակահրդեհային ծառայություններ (անվտանգություն (հակահրդեհային, տարհանման)՝
5 մարդ, 2 օր</t>
  </si>
  <si>
    <t xml:space="preserve"> սննդի առաքման ծառայություններ՝  70 մարդ, 14 օր</t>
  </si>
  <si>
    <t>բեմերի կառուցման աշխատանքներ (բեմի ձևավորում, ավտոմեքենայի համար ավտոտնակի կառուցում)</t>
  </si>
  <si>
    <t xml:space="preserve">թատրոնի բեմի լուսային համակարգ/ետնաբեմի լուսային ապահովում </t>
  </si>
  <si>
    <t>սրբիչ՝  բամբակյա</t>
  </si>
  <si>
    <t xml:space="preserve">դիզելային վառելիք, ամառային (գեներատորների համար) </t>
  </si>
  <si>
    <t xml:space="preserve">տրանսպորտային ծառայություններ (2 ամենագնաց Cadillac, 2 մինի վեն, 1 ավտոբուս, 1 բեռնատար մեքենա)՝ 2  օր </t>
  </si>
  <si>
    <t>ուղևորափոխադրող ավտոմեքենաների վարձակալություն (տրանսպորտային ծառայություններ, մարդատար մեքենա)՝ 2 հատ, 8 օր</t>
  </si>
  <si>
    <t>ուղևորափոխադրող ավտոմեքենաների վարձակալություն (տրանսպորտային ծառայություններ, մարդատար մեքենա)՝  12 հատ</t>
  </si>
  <si>
    <t>հյուրանոցային ծառայություններ՝  82 մարդ/օր</t>
  </si>
  <si>
    <t>բեռների փոխադրման ծառայություններ (տրանսպորտային ծառայություններ, բեռնատար մեքենա)՝ 
14 օր</t>
  </si>
  <si>
    <t>ձայնային և տեսողական ազդանշանային սարքավորումներ (ձայնային համակարգի վարձակալություն, մոնտաժում և ապամոնտաժում՝ համաձայն տեխնիկական պահանջների, D&amp;B,Audiotechnik, L-Acoustic,Yamaha և այլն )</t>
  </si>
  <si>
    <t>այլ սարքավորումների վարձակալություն (լուսային համակարգի  վարձակալություն, մոնտաժում և ապամոնտաժում՝ համաձայն տեխնիկական պահանջների, Clay Paky, Martin Mac, JB lighting և այլն)</t>
  </si>
  <si>
    <t>այլ սարքավորումների վարձակալություն (լազերային համակարգի վարձակալություն, մոնտաժում և ապամոնտաժում համաձայն տեխնիկական պահանջների, RTI Piko)</t>
  </si>
  <si>
    <t>գովազդային ծառայություններ (գովազդ Ռուսաստանի բնակչության համար)</t>
  </si>
  <si>
    <t>գովազդային ծառայություններ (գովազդ Վրաստանի բնակչության համար)</t>
  </si>
  <si>
    <t>գովազդային ծառայություններ (գովազդ Իրանի բնակչության համար)</t>
  </si>
  <si>
    <t>դիզայնի օժանդակ ծառայություններ  (դիզայներական ծառայությունների մատուցում)</t>
  </si>
  <si>
    <t>գովազդային  ծառայություններ (ինֆլուենսերների և հայտնիների սոցիալական էջերում հրապարակումների իրականացում, պարային մրցույթներ)</t>
  </si>
  <si>
    <t>գրաֆիտիի  ծառայություններ (գրաֆիտի իրականացման և համերգից հետո մաքրման ծախսեր)</t>
  </si>
  <si>
    <t>այլ ծառայություններ (օդանավակայանում դիմավորում նվագախմբով կամ այլ միջոցառումով)</t>
  </si>
  <si>
    <t>ներկայացուցչական, արարողակարգային ծառայություններ (հյուրասիրություն համաձայն տեխնիկական պահանջների)՝ 30 մարդ,  2 օր</t>
  </si>
  <si>
    <t xml:space="preserve"> սննդի ապահովման ծառայություններ (սնունդ մարզադաշտում)՝ 10 մարդ, 5 օր</t>
  </si>
  <si>
    <t xml:space="preserve">տեխնիկական պահանջներով նախատեսված ապրանքներ՝ ըստ պահանջի </t>
  </si>
  <si>
    <t xml:space="preserve"> ուղևորափոխադրող ավտոմեքենաների վարձակալություն (տրանսպորտ 15 տեղանոց)՝ 5 օր</t>
  </si>
  <si>
    <t xml:space="preserve"> ուղևորափոխադրող ավտոմեքենաների վարձակալություն (8 տեղանոց)՝ 4 օր</t>
  </si>
  <si>
    <t>անվտանգության ապահովման ծառայություններ՝ 4 օր</t>
  </si>
  <si>
    <t>կանոնավոր օդային փոխադրման ծառայություն (ավիատոմս)</t>
  </si>
  <si>
    <t>հյուրանոցային ծառայություններ՝ 3 օր</t>
  </si>
  <si>
    <t>հյուրանոցային ծառայություններ՝  35 մարդ, 3 օր</t>
  </si>
  <si>
    <t xml:space="preserve"> հյուրանոցային ծառայություններ՝ 4 մարդ, 3 օր</t>
  </si>
  <si>
    <t>ուղևորափոխադրող ավտոմեքենաների վարձակալություն (մեքենայի բեռնափոխադրում Գերմանիայից Հայաստան)</t>
  </si>
  <si>
    <t xml:space="preserve">Միջոցառումների հետ կապված ծառայություններ </t>
  </si>
  <si>
    <t>Միջոցառումների հետ կապված ծառայություններ (միջոցառման կազմակերպական ծառայությունների վճարներ և դրա հետ կապված կատարվելիք բոլոր պարտադիր վճարները (ծախսերը), այդ թվում՝ հարկերը, տուրքերը, փոխադրում և այլն)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</si>
</sst>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₽_-;\-* #,##0.00\ _₽_-;_-* &quot;-&quot;??\ _₽_-;_-@_-"/>
    <numFmt numFmtId="165" formatCode="_-* #,##0.0\ _₽_-;\-* #,##0.0\ _₽_-;_-* &quot;-&quot;??\ _₽_-;_-@_-"/>
    <numFmt numFmtId="166" formatCode="_-* #,##0\ _₽_-;\-* #,##0\ _₽_-;_-* &quot;-&quot;??\ _₽_-;_-@_-"/>
    <numFmt numFmtId="167" formatCode="_-* #,##0.000\ _₽_-;\-* #,##0.000\ _₽_-;_-* &quot;-&quot;??\ _₽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b/>
      <sz val="12"/>
      <name val="GHEA Grapalat"/>
      <family val="3"/>
    </font>
    <font>
      <sz val="12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0" applyFont="1"/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1" applyFont="1" applyFill="1" applyAlignment="1">
      <alignment horizontal="right" vertical="center"/>
    </xf>
    <xf numFmtId="0" fontId="2" fillId="0" borderId="9" xfId="0" applyFont="1" applyBorder="1" applyAlignment="1">
      <alignment vertical="center" wrapText="1"/>
    </xf>
    <xf numFmtId="0" fontId="2" fillId="0" borderId="9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2" fillId="0" borderId="10" xfId="0" applyFont="1" applyBorder="1" applyAlignment="1">
      <alignment horizontal="center" vertical="center"/>
    </xf>
    <xf numFmtId="164" fontId="2" fillId="0" borderId="0" xfId="1" applyFont="1" applyFill="1" applyAlignment="1">
      <alignment horizontal="right"/>
    </xf>
    <xf numFmtId="166" fontId="2" fillId="0" borderId="14" xfId="1" applyNumberFormat="1" applyFont="1" applyFill="1" applyBorder="1" applyAlignment="1">
      <alignment horizontal="right" vertical="center"/>
    </xf>
    <xf numFmtId="0" fontId="2" fillId="0" borderId="9" xfId="0" applyFont="1" applyBorder="1" applyAlignment="1">
      <alignment vertical="center"/>
    </xf>
    <xf numFmtId="0" fontId="2" fillId="0" borderId="7" xfId="0" applyFont="1" applyBorder="1" applyAlignment="1">
      <alignment horizontal="center"/>
    </xf>
    <xf numFmtId="166" fontId="2" fillId="0" borderId="14" xfId="1" applyNumberFormat="1" applyFont="1" applyFill="1" applyBorder="1" applyAlignment="1">
      <alignment horizontal="right"/>
    </xf>
    <xf numFmtId="0" fontId="2" fillId="0" borderId="11" xfId="0" applyFont="1" applyBorder="1" applyAlignment="1">
      <alignment vertical="center"/>
    </xf>
    <xf numFmtId="166" fontId="2" fillId="0" borderId="16" xfId="1" applyNumberFormat="1" applyFont="1" applyFill="1" applyBorder="1" applyAlignment="1">
      <alignment horizontal="right" vertical="center"/>
    </xf>
    <xf numFmtId="0" fontId="2" fillId="0" borderId="7" xfId="0" applyFont="1" applyBorder="1" applyAlignment="1">
      <alignment vertical="center" wrapText="1"/>
    </xf>
    <xf numFmtId="0" fontId="2" fillId="0" borderId="7" xfId="0" applyFont="1" applyBorder="1" applyAlignment="1">
      <alignment vertical="center"/>
    </xf>
    <xf numFmtId="167" fontId="2" fillId="0" borderId="14" xfId="1" applyNumberFormat="1" applyFont="1" applyFill="1" applyBorder="1" applyAlignment="1">
      <alignment horizontal="right" vertical="center"/>
    </xf>
    <xf numFmtId="166" fontId="2" fillId="0" borderId="14" xfId="1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vertical="center" wrapText="1"/>
    </xf>
    <xf numFmtId="0" fontId="2" fillId="0" borderId="10" xfId="0" applyFont="1" applyBorder="1" applyAlignment="1">
      <alignment horizontal="center"/>
    </xf>
    <xf numFmtId="0" fontId="2" fillId="0" borderId="7" xfId="0" applyFont="1" applyBorder="1" applyAlignment="1">
      <alignment horizontal="left" vertical="center" wrapText="1"/>
    </xf>
    <xf numFmtId="0" fontId="4" fillId="0" borderId="9" xfId="0" applyFont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164" fontId="3" fillId="0" borderId="15" xfId="1" applyFont="1" applyFill="1" applyBorder="1" applyAlignment="1">
      <alignment horizontal="center" vertical="center" wrapText="1"/>
    </xf>
    <xf numFmtId="164" fontId="3" fillId="0" borderId="17" xfId="1" applyFont="1" applyFill="1" applyBorder="1" applyAlignment="1">
      <alignment horizontal="center" vertical="center" wrapText="1"/>
    </xf>
    <xf numFmtId="165" fontId="3" fillId="0" borderId="18" xfId="1" applyNumberFormat="1" applyFont="1" applyFill="1" applyBorder="1" applyAlignment="1">
      <alignment horizontal="right" vertical="center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/>
    </xf>
    <xf numFmtId="166" fontId="2" fillId="0" borderId="21" xfId="1" applyNumberFormat="1" applyFont="1" applyFill="1" applyBorder="1" applyAlignment="1">
      <alignment horizontal="right" vertical="center"/>
    </xf>
    <xf numFmtId="165" fontId="2" fillId="0" borderId="22" xfId="1" applyNumberFormat="1" applyFont="1" applyFill="1" applyBorder="1" applyAlignment="1">
      <alignment horizontal="right" vertical="center"/>
    </xf>
    <xf numFmtId="165" fontId="2" fillId="0" borderId="26" xfId="1" applyNumberFormat="1" applyFont="1" applyFill="1" applyBorder="1" applyAlignment="1">
      <alignment horizontal="right" vertical="center"/>
    </xf>
    <xf numFmtId="165" fontId="2" fillId="0" borderId="26" xfId="1" applyNumberFormat="1" applyFont="1" applyFill="1" applyBorder="1" applyAlignment="1">
      <alignment horizontal="center" vertical="center"/>
    </xf>
    <xf numFmtId="0" fontId="2" fillId="0" borderId="27" xfId="0" applyFont="1" applyBorder="1" applyAlignment="1">
      <alignment vertical="center" wrapText="1"/>
    </xf>
    <xf numFmtId="0" fontId="2" fillId="0" borderId="27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10" xfId="0" applyFont="1" applyBorder="1" applyAlignment="1">
      <alignment vertical="center"/>
    </xf>
    <xf numFmtId="165" fontId="2" fillId="0" borderId="29" xfId="1" applyNumberFormat="1" applyFont="1" applyFill="1" applyBorder="1" applyAlignment="1">
      <alignment horizontal="right" vertical="center"/>
    </xf>
    <xf numFmtId="166" fontId="2" fillId="0" borderId="7" xfId="1" applyNumberFormat="1" applyFont="1" applyFill="1" applyBorder="1" applyAlignment="1">
      <alignment horizontal="right" vertical="center"/>
    </xf>
    <xf numFmtId="166" fontId="2" fillId="0" borderId="10" xfId="1" applyNumberFormat="1" applyFont="1" applyFill="1" applyBorder="1" applyAlignment="1">
      <alignment horizontal="right" vertical="center"/>
    </xf>
    <xf numFmtId="0" fontId="2" fillId="0" borderId="30" xfId="0" applyFont="1" applyBorder="1"/>
    <xf numFmtId="0" fontId="2" fillId="0" borderId="6" xfId="0" applyFont="1" applyBorder="1"/>
    <xf numFmtId="165" fontId="3" fillId="0" borderId="26" xfId="1" applyNumberFormat="1" applyFont="1" applyFill="1" applyBorder="1" applyAlignment="1">
      <alignment horizontal="right" vertical="center"/>
    </xf>
    <xf numFmtId="165" fontId="3" fillId="0" borderId="26" xfId="1" applyNumberFormat="1" applyFont="1" applyFill="1" applyBorder="1" applyAlignment="1">
      <alignment horizontal="right"/>
    </xf>
    <xf numFmtId="0" fontId="2" fillId="0" borderId="19" xfId="0" applyFont="1" applyBorder="1"/>
    <xf numFmtId="165" fontId="3" fillId="0" borderId="22" xfId="1" applyNumberFormat="1" applyFont="1" applyFill="1" applyBorder="1" applyAlignment="1">
      <alignment horizontal="right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wrapText="1"/>
    </xf>
    <xf numFmtId="0" fontId="0" fillId="0" borderId="7" xfId="0" applyBorder="1" applyAlignment="1">
      <alignment wrapText="1"/>
    </xf>
    <xf numFmtId="0" fontId="3" fillId="0" borderId="20" xfId="0" applyFont="1" applyBorder="1" applyAlignment="1">
      <alignment wrapText="1"/>
    </xf>
    <xf numFmtId="0" fontId="0" fillId="0" borderId="20" xfId="0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24" xfId="0" applyFont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0"/>
  <sheetViews>
    <sheetView tabSelected="1" zoomScaleNormal="140" workbookViewId="0">
      <pane ySplit="3" topLeftCell="A4" activePane="bottomLeft" state="frozen"/>
      <selection pane="bottomLeft" activeCell="B7" sqref="B7"/>
    </sheetView>
  </sheetViews>
  <sheetFormatPr defaultColWidth="9.140625" defaultRowHeight="17.25" x14ac:dyDescent="0.3"/>
  <cols>
    <col min="1" max="1" width="5.140625" style="1" bestFit="1" customWidth="1"/>
    <col min="2" max="2" width="110.140625" style="1" customWidth="1"/>
    <col min="3" max="3" width="10.28515625" style="3" customWidth="1"/>
    <col min="4" max="4" width="10.42578125" style="3" customWidth="1"/>
    <col min="5" max="5" width="19.85546875" style="4" bestFit="1" customWidth="1"/>
    <col min="6" max="6" width="18.42578125" style="9" bestFit="1" customWidth="1"/>
    <col min="7" max="9" width="9.140625" style="1"/>
    <col min="10" max="10" width="13.28515625" style="1" bestFit="1" customWidth="1"/>
    <col min="11" max="16384" width="9.140625" style="1"/>
  </cols>
  <sheetData>
    <row r="1" spans="1:6" ht="87.75" customHeight="1" x14ac:dyDescent="0.3">
      <c r="B1" s="50" t="s">
        <v>20</v>
      </c>
      <c r="C1" s="50"/>
      <c r="D1" s="50"/>
      <c r="E1" s="50"/>
      <c r="F1" s="50"/>
    </row>
    <row r="2" spans="1:6" ht="55.5" customHeight="1" thickBot="1" x14ac:dyDescent="0.35">
      <c r="B2" s="51" t="s">
        <v>43</v>
      </c>
      <c r="C2" s="51"/>
      <c r="D2" s="51"/>
      <c r="E2" s="51"/>
      <c r="F2" s="51"/>
    </row>
    <row r="3" spans="1:6" ht="57" customHeight="1" thickBot="1" x14ac:dyDescent="0.35">
      <c r="A3" s="24" t="s">
        <v>0</v>
      </c>
      <c r="B3" s="25" t="s">
        <v>1</v>
      </c>
      <c r="C3" s="26" t="s">
        <v>2</v>
      </c>
      <c r="D3" s="27" t="s">
        <v>3</v>
      </c>
      <c r="E3" s="28" t="s">
        <v>51</v>
      </c>
      <c r="F3" s="29" t="s">
        <v>52</v>
      </c>
    </row>
    <row r="4" spans="1:6" ht="30" customHeight="1" x14ac:dyDescent="0.3">
      <c r="A4" s="53">
        <v>1</v>
      </c>
      <c r="B4" s="55" t="s">
        <v>166</v>
      </c>
      <c r="C4" s="56"/>
      <c r="D4" s="56"/>
      <c r="E4" s="56"/>
      <c r="F4" s="30">
        <f>SUM(F5:F5)</f>
        <v>1142665</v>
      </c>
    </row>
    <row r="5" spans="1:6" ht="59.25" customHeight="1" thickBot="1" x14ac:dyDescent="0.35">
      <c r="A5" s="54"/>
      <c r="B5" s="31" t="s">
        <v>167</v>
      </c>
      <c r="C5" s="32" t="s">
        <v>10</v>
      </c>
      <c r="D5" s="32">
        <v>1</v>
      </c>
      <c r="E5" s="33">
        <v>1142665000</v>
      </c>
      <c r="F5" s="34">
        <f>D5*E5/1000</f>
        <v>1142665</v>
      </c>
    </row>
    <row r="6" spans="1:6" ht="27.75" customHeight="1" x14ac:dyDescent="0.3">
      <c r="A6" s="53">
        <v>2</v>
      </c>
      <c r="B6" s="57" t="s">
        <v>13</v>
      </c>
      <c r="C6" s="58"/>
      <c r="D6" s="58"/>
      <c r="E6" s="59"/>
      <c r="F6" s="30">
        <f>SUM(F7:F25)</f>
        <v>115315</v>
      </c>
    </row>
    <row r="7" spans="1:6" ht="24" customHeight="1" x14ac:dyDescent="0.3">
      <c r="A7" s="61"/>
      <c r="B7" s="5" t="s">
        <v>53</v>
      </c>
      <c r="C7" s="2" t="s">
        <v>10</v>
      </c>
      <c r="D7" s="2">
        <v>1</v>
      </c>
      <c r="E7" s="10">
        <v>15000000</v>
      </c>
      <c r="F7" s="35">
        <f>D7*E7/1000</f>
        <v>15000</v>
      </c>
    </row>
    <row r="8" spans="1:6" s="7" customFormat="1" ht="57" customHeight="1" x14ac:dyDescent="0.3">
      <c r="A8" s="61"/>
      <c r="B8" s="5" t="s">
        <v>128</v>
      </c>
      <c r="C8" s="2" t="s">
        <v>10</v>
      </c>
      <c r="D8" s="2">
        <v>1</v>
      </c>
      <c r="E8" s="18">
        <f>1790000*6/1000</f>
        <v>10740</v>
      </c>
      <c r="F8" s="36">
        <f>E8</f>
        <v>10740</v>
      </c>
    </row>
    <row r="9" spans="1:6" ht="34.5" x14ac:dyDescent="0.3">
      <c r="A9" s="61"/>
      <c r="B9" s="5" t="s">
        <v>100</v>
      </c>
      <c r="C9" s="2" t="s">
        <v>10</v>
      </c>
      <c r="D9" s="2">
        <v>1</v>
      </c>
      <c r="E9" s="18">
        <f>26400*400/1000</f>
        <v>10560</v>
      </c>
      <c r="F9" s="36">
        <f>E9</f>
        <v>10560</v>
      </c>
    </row>
    <row r="10" spans="1:6" ht="22.5" customHeight="1" x14ac:dyDescent="0.3">
      <c r="A10" s="61"/>
      <c r="B10" s="5" t="s">
        <v>101</v>
      </c>
      <c r="C10" s="2" t="s">
        <v>10</v>
      </c>
      <c r="D10" s="2">
        <v>1</v>
      </c>
      <c r="E10" s="18">
        <f>5500*800/1000</f>
        <v>4400</v>
      </c>
      <c r="F10" s="36">
        <f>E10</f>
        <v>4400</v>
      </c>
    </row>
    <row r="11" spans="1:6" ht="22.5" customHeight="1" x14ac:dyDescent="0.3">
      <c r="A11" s="61"/>
      <c r="B11" s="5" t="s">
        <v>21</v>
      </c>
      <c r="C11" s="2" t="s">
        <v>10</v>
      </c>
      <c r="D11" s="2">
        <v>1</v>
      </c>
      <c r="E11" s="18">
        <f>1960*7000/1000</f>
        <v>13720</v>
      </c>
      <c r="F11" s="36">
        <f>E11</f>
        <v>13720</v>
      </c>
    </row>
    <row r="12" spans="1:6" ht="34.5" x14ac:dyDescent="0.3">
      <c r="A12" s="61"/>
      <c r="B12" s="5" t="s">
        <v>129</v>
      </c>
      <c r="C12" s="2" t="s">
        <v>10</v>
      </c>
      <c r="D12" s="2">
        <v>1</v>
      </c>
      <c r="E12" s="18">
        <f>420*7000/1000</f>
        <v>2940</v>
      </c>
      <c r="F12" s="36">
        <f>E12</f>
        <v>2940</v>
      </c>
    </row>
    <row r="13" spans="1:6" ht="34.5" x14ac:dyDescent="0.3">
      <c r="A13" s="61"/>
      <c r="B13" s="5" t="s">
        <v>130</v>
      </c>
      <c r="C13" s="2" t="s">
        <v>10</v>
      </c>
      <c r="D13" s="2">
        <v>1</v>
      </c>
      <c r="E13" s="10">
        <v>385000</v>
      </c>
      <c r="F13" s="36">
        <f>E13/1000</f>
        <v>385</v>
      </c>
    </row>
    <row r="14" spans="1:6" x14ac:dyDescent="0.3">
      <c r="A14" s="61"/>
      <c r="B14" s="5" t="s">
        <v>22</v>
      </c>
      <c r="C14" s="2" t="s">
        <v>10</v>
      </c>
      <c r="D14" s="2">
        <v>1</v>
      </c>
      <c r="E14" s="10">
        <v>7200000</v>
      </c>
      <c r="F14" s="36">
        <f>E14/1000</f>
        <v>7200</v>
      </c>
    </row>
    <row r="15" spans="1:6" x14ac:dyDescent="0.3">
      <c r="A15" s="61"/>
      <c r="B15" s="5" t="s">
        <v>102</v>
      </c>
      <c r="C15" s="2" t="s">
        <v>10</v>
      </c>
      <c r="D15" s="2">
        <v>1</v>
      </c>
      <c r="E15" s="18">
        <f>1800*2350/1000</f>
        <v>4230</v>
      </c>
      <c r="F15" s="36">
        <f>E15</f>
        <v>4230</v>
      </c>
    </row>
    <row r="16" spans="1:6" x14ac:dyDescent="0.3">
      <c r="A16" s="61"/>
      <c r="B16" s="5" t="s">
        <v>103</v>
      </c>
      <c r="C16" s="2" t="s">
        <v>10</v>
      </c>
      <c r="D16" s="2">
        <v>1</v>
      </c>
      <c r="E16" s="18">
        <f>1180*2350/1000</f>
        <v>2773</v>
      </c>
      <c r="F16" s="36">
        <f>E16</f>
        <v>2773</v>
      </c>
    </row>
    <row r="17" spans="1:6" ht="51.75" x14ac:dyDescent="0.3">
      <c r="A17" s="61"/>
      <c r="B17" s="5" t="s">
        <v>44</v>
      </c>
      <c r="C17" s="2" t="s">
        <v>10</v>
      </c>
      <c r="D17" s="2">
        <v>1</v>
      </c>
      <c r="E17" s="10">
        <f>12430000/D17</f>
        <v>12430000</v>
      </c>
      <c r="F17" s="35">
        <f t="shared" ref="F17:F25" si="0">D17*E17/1000</f>
        <v>12430</v>
      </c>
    </row>
    <row r="18" spans="1:6" ht="34.5" x14ac:dyDescent="0.3">
      <c r="A18" s="61"/>
      <c r="B18" s="5" t="s">
        <v>23</v>
      </c>
      <c r="C18" s="2" t="s">
        <v>10</v>
      </c>
      <c r="D18" s="2">
        <v>1</v>
      </c>
      <c r="E18" s="10">
        <f>18250000/D18</f>
        <v>18250000</v>
      </c>
      <c r="F18" s="35">
        <f t="shared" si="0"/>
        <v>18250</v>
      </c>
    </row>
    <row r="19" spans="1:6" x14ac:dyDescent="0.3">
      <c r="A19" s="61"/>
      <c r="B19" s="5" t="s">
        <v>131</v>
      </c>
      <c r="C19" s="2" t="s">
        <v>10</v>
      </c>
      <c r="D19" s="2">
        <v>1</v>
      </c>
      <c r="E19" s="10">
        <f>5500*70</f>
        <v>385000</v>
      </c>
      <c r="F19" s="35">
        <f t="shared" si="0"/>
        <v>385</v>
      </c>
    </row>
    <row r="20" spans="1:6" x14ac:dyDescent="0.3">
      <c r="A20" s="61"/>
      <c r="B20" s="5" t="s">
        <v>132</v>
      </c>
      <c r="C20" s="2" t="s">
        <v>10</v>
      </c>
      <c r="D20" s="2">
        <v>1</v>
      </c>
      <c r="E20" s="10">
        <f>1400*280</f>
        <v>392000</v>
      </c>
      <c r="F20" s="35">
        <f t="shared" si="0"/>
        <v>392</v>
      </c>
    </row>
    <row r="21" spans="1:6" ht="34.5" x14ac:dyDescent="0.3">
      <c r="A21" s="61"/>
      <c r="B21" s="5" t="s">
        <v>133</v>
      </c>
      <c r="C21" s="2" t="s">
        <v>10</v>
      </c>
      <c r="D21" s="2">
        <v>1</v>
      </c>
      <c r="E21" s="10">
        <v>230000</v>
      </c>
      <c r="F21" s="35">
        <f t="shared" si="0"/>
        <v>230</v>
      </c>
    </row>
    <row r="22" spans="1:6" ht="34.5" x14ac:dyDescent="0.3">
      <c r="A22" s="61"/>
      <c r="B22" s="5" t="s">
        <v>24</v>
      </c>
      <c r="C22" s="2" t="s">
        <v>10</v>
      </c>
      <c r="D22" s="2">
        <v>1</v>
      </c>
      <c r="E22" s="10">
        <f>6800*700</f>
        <v>4760000</v>
      </c>
      <c r="F22" s="35">
        <f t="shared" si="0"/>
        <v>4760</v>
      </c>
    </row>
    <row r="23" spans="1:6" ht="34.5" x14ac:dyDescent="0.3">
      <c r="A23" s="61"/>
      <c r="B23" s="5" t="s">
        <v>25</v>
      </c>
      <c r="C23" s="2" t="s">
        <v>10</v>
      </c>
      <c r="D23" s="2">
        <v>1</v>
      </c>
      <c r="E23" s="10">
        <f>360000*4</f>
        <v>1440000</v>
      </c>
      <c r="F23" s="35">
        <f t="shared" si="0"/>
        <v>1440</v>
      </c>
    </row>
    <row r="24" spans="1:6" x14ac:dyDescent="0.3">
      <c r="A24" s="61"/>
      <c r="B24" s="11" t="s">
        <v>54</v>
      </c>
      <c r="C24" s="2" t="s">
        <v>10</v>
      </c>
      <c r="D24" s="2">
        <v>1</v>
      </c>
      <c r="E24" s="10">
        <v>2000000</v>
      </c>
      <c r="F24" s="35">
        <f t="shared" si="0"/>
        <v>2000</v>
      </c>
    </row>
    <row r="25" spans="1:6" ht="35.25" thickBot="1" x14ac:dyDescent="0.35">
      <c r="A25" s="54"/>
      <c r="B25" s="37" t="s">
        <v>55</v>
      </c>
      <c r="C25" s="32" t="s">
        <v>10</v>
      </c>
      <c r="D25" s="32">
        <v>1</v>
      </c>
      <c r="E25" s="33">
        <f>58000*60</f>
        <v>3480000</v>
      </c>
      <c r="F25" s="34">
        <f t="shared" si="0"/>
        <v>3480</v>
      </c>
    </row>
    <row r="26" spans="1:6" x14ac:dyDescent="0.3">
      <c r="A26" s="62">
        <v>3</v>
      </c>
      <c r="B26" s="57" t="s">
        <v>14</v>
      </c>
      <c r="C26" s="58"/>
      <c r="D26" s="58"/>
      <c r="E26" s="59"/>
      <c r="F26" s="30">
        <f>SUM(F27:F36)</f>
        <v>18610</v>
      </c>
    </row>
    <row r="27" spans="1:6" ht="34.5" x14ac:dyDescent="0.3">
      <c r="A27" s="63"/>
      <c r="B27" s="6" t="s">
        <v>26</v>
      </c>
      <c r="C27" s="2" t="s">
        <v>10</v>
      </c>
      <c r="D27" s="2">
        <v>1</v>
      </c>
      <c r="E27" s="10">
        <v>3900000</v>
      </c>
      <c r="F27" s="35">
        <f t="shared" ref="F27:F36" si="1">D27*E27/1000</f>
        <v>3900</v>
      </c>
    </row>
    <row r="28" spans="1:6" ht="34.5" x14ac:dyDescent="0.3">
      <c r="A28" s="63"/>
      <c r="B28" s="5" t="s">
        <v>56</v>
      </c>
      <c r="C28" s="2" t="s">
        <v>10</v>
      </c>
      <c r="D28" s="2">
        <v>1</v>
      </c>
      <c r="E28" s="10">
        <f>200000*4</f>
        <v>800000</v>
      </c>
      <c r="F28" s="35">
        <f t="shared" si="1"/>
        <v>800</v>
      </c>
    </row>
    <row r="29" spans="1:6" ht="34.5" x14ac:dyDescent="0.3">
      <c r="A29" s="63"/>
      <c r="B29" s="5" t="s">
        <v>57</v>
      </c>
      <c r="C29" s="2" t="s">
        <v>10</v>
      </c>
      <c r="D29" s="2">
        <v>1</v>
      </c>
      <c r="E29" s="10">
        <f>220000*22</f>
        <v>4840000</v>
      </c>
      <c r="F29" s="35">
        <f t="shared" si="1"/>
        <v>4840</v>
      </c>
    </row>
    <row r="30" spans="1:6" x14ac:dyDescent="0.3">
      <c r="A30" s="63"/>
      <c r="B30" s="5" t="s">
        <v>27</v>
      </c>
      <c r="C30" s="2" t="s">
        <v>10</v>
      </c>
      <c r="D30" s="2">
        <v>1</v>
      </c>
      <c r="E30" s="10">
        <v>520000</v>
      </c>
      <c r="F30" s="35">
        <f t="shared" si="1"/>
        <v>520</v>
      </c>
    </row>
    <row r="31" spans="1:6" ht="34.5" x14ac:dyDescent="0.3">
      <c r="A31" s="63"/>
      <c r="B31" s="5" t="s">
        <v>58</v>
      </c>
      <c r="C31" s="2" t="s">
        <v>10</v>
      </c>
      <c r="D31" s="2">
        <v>1</v>
      </c>
      <c r="E31" s="10">
        <f>14000*140</f>
        <v>1960000</v>
      </c>
      <c r="F31" s="35">
        <f t="shared" si="1"/>
        <v>1960</v>
      </c>
    </row>
    <row r="32" spans="1:6" ht="34.5" x14ac:dyDescent="0.3">
      <c r="A32" s="63"/>
      <c r="B32" s="5" t="s">
        <v>59</v>
      </c>
      <c r="C32" s="2" t="s">
        <v>10</v>
      </c>
      <c r="D32" s="2">
        <v>1</v>
      </c>
      <c r="E32" s="10">
        <f>20000*8*10</f>
        <v>1600000</v>
      </c>
      <c r="F32" s="35">
        <f t="shared" si="1"/>
        <v>1600</v>
      </c>
    </row>
    <row r="33" spans="1:6" ht="34.5" x14ac:dyDescent="0.3">
      <c r="A33" s="63"/>
      <c r="B33" s="5" t="s">
        <v>60</v>
      </c>
      <c r="C33" s="2" t="s">
        <v>10</v>
      </c>
      <c r="D33" s="2">
        <v>1</v>
      </c>
      <c r="E33" s="10">
        <f>120000*4*3</f>
        <v>1440000</v>
      </c>
      <c r="F33" s="35">
        <f t="shared" si="1"/>
        <v>1440</v>
      </c>
    </row>
    <row r="34" spans="1:6" ht="34.5" x14ac:dyDescent="0.3">
      <c r="A34" s="63"/>
      <c r="B34" s="6" t="s">
        <v>134</v>
      </c>
      <c r="C34" s="2" t="s">
        <v>10</v>
      </c>
      <c r="D34" s="2">
        <v>1</v>
      </c>
      <c r="E34" s="10">
        <f>170000*5*2</f>
        <v>1700000</v>
      </c>
      <c r="F34" s="35">
        <f t="shared" si="1"/>
        <v>1700</v>
      </c>
    </row>
    <row r="35" spans="1:6" x14ac:dyDescent="0.3">
      <c r="A35" s="63"/>
      <c r="B35" s="5" t="s">
        <v>61</v>
      </c>
      <c r="C35" s="2" t="s">
        <v>4</v>
      </c>
      <c r="D35" s="2">
        <v>20000</v>
      </c>
      <c r="E35" s="10">
        <v>15</v>
      </c>
      <c r="F35" s="35">
        <f t="shared" si="1"/>
        <v>300</v>
      </c>
    </row>
    <row r="36" spans="1:6" ht="18" thickBot="1" x14ac:dyDescent="0.35">
      <c r="A36" s="64"/>
      <c r="B36" s="37" t="s">
        <v>28</v>
      </c>
      <c r="C36" s="32" t="s">
        <v>10</v>
      </c>
      <c r="D36" s="32">
        <v>1</v>
      </c>
      <c r="E36" s="33">
        <v>1550000</v>
      </c>
      <c r="F36" s="34">
        <f t="shared" si="1"/>
        <v>1550</v>
      </c>
    </row>
    <row r="37" spans="1:6" x14ac:dyDescent="0.3">
      <c r="A37" s="65">
        <v>4</v>
      </c>
      <c r="B37" s="57" t="s">
        <v>15</v>
      </c>
      <c r="C37" s="58"/>
      <c r="D37" s="58"/>
      <c r="E37" s="59"/>
      <c r="F37" s="30">
        <f>SUM(F38:F62)</f>
        <v>60296</v>
      </c>
    </row>
    <row r="38" spans="1:6" x14ac:dyDescent="0.3">
      <c r="A38" s="66"/>
      <c r="B38" s="11" t="s">
        <v>135</v>
      </c>
      <c r="C38" s="2" t="s">
        <v>10</v>
      </c>
      <c r="D38" s="2">
        <v>1</v>
      </c>
      <c r="E38" s="10">
        <f>4500*70*14</f>
        <v>4410000</v>
      </c>
      <c r="F38" s="35">
        <f t="shared" ref="F38:F62" si="2">D38*E38/1000</f>
        <v>4410</v>
      </c>
    </row>
    <row r="39" spans="1:6" x14ac:dyDescent="0.3">
      <c r="A39" s="66"/>
      <c r="B39" s="23" t="s">
        <v>62</v>
      </c>
      <c r="C39" s="2" t="s">
        <v>10</v>
      </c>
      <c r="D39" s="2">
        <v>1</v>
      </c>
      <c r="E39" s="10">
        <f>6600*90*12</f>
        <v>7128000</v>
      </c>
      <c r="F39" s="35">
        <f t="shared" si="2"/>
        <v>7128</v>
      </c>
    </row>
    <row r="40" spans="1:6" x14ac:dyDescent="0.3">
      <c r="A40" s="66"/>
      <c r="B40" s="23" t="s">
        <v>63</v>
      </c>
      <c r="C40" s="2" t="s">
        <v>10</v>
      </c>
      <c r="D40" s="2">
        <v>1</v>
      </c>
      <c r="E40" s="10">
        <f>6600*55*12</f>
        <v>4356000</v>
      </c>
      <c r="F40" s="35">
        <f t="shared" si="2"/>
        <v>4356</v>
      </c>
    </row>
    <row r="41" spans="1:6" x14ac:dyDescent="0.3">
      <c r="A41" s="66"/>
      <c r="B41" s="23" t="s">
        <v>104</v>
      </c>
      <c r="C41" s="2" t="s">
        <v>10</v>
      </c>
      <c r="D41" s="2">
        <v>1</v>
      </c>
      <c r="E41" s="10">
        <v>6590000</v>
      </c>
      <c r="F41" s="35">
        <f t="shared" si="2"/>
        <v>6590</v>
      </c>
    </row>
    <row r="42" spans="1:6" x14ac:dyDescent="0.3">
      <c r="A42" s="66"/>
      <c r="B42" s="11" t="s">
        <v>105</v>
      </c>
      <c r="C42" s="2" t="s">
        <v>10</v>
      </c>
      <c r="D42" s="2">
        <v>1</v>
      </c>
      <c r="E42" s="10">
        <v>5175000</v>
      </c>
      <c r="F42" s="35">
        <f t="shared" si="2"/>
        <v>5175</v>
      </c>
    </row>
    <row r="43" spans="1:6" x14ac:dyDescent="0.3">
      <c r="A43" s="66"/>
      <c r="B43" s="11" t="s">
        <v>29</v>
      </c>
      <c r="C43" s="2" t="s">
        <v>10</v>
      </c>
      <c r="D43" s="2">
        <v>1</v>
      </c>
      <c r="E43" s="10">
        <v>1387000</v>
      </c>
      <c r="F43" s="35">
        <f t="shared" si="2"/>
        <v>1387</v>
      </c>
    </row>
    <row r="44" spans="1:6" x14ac:dyDescent="0.3">
      <c r="A44" s="66"/>
      <c r="B44" s="11" t="s">
        <v>106</v>
      </c>
      <c r="C44" s="2" t="s">
        <v>10</v>
      </c>
      <c r="D44" s="2">
        <v>1</v>
      </c>
      <c r="E44" s="10">
        <v>2070000</v>
      </c>
      <c r="F44" s="35">
        <f t="shared" si="2"/>
        <v>2070</v>
      </c>
    </row>
    <row r="45" spans="1:6" x14ac:dyDescent="0.3">
      <c r="A45" s="66"/>
      <c r="B45" s="5" t="s">
        <v>107</v>
      </c>
      <c r="C45" s="2" t="s">
        <v>10</v>
      </c>
      <c r="D45" s="2">
        <v>1</v>
      </c>
      <c r="E45" s="10">
        <f>410000*2</f>
        <v>820000</v>
      </c>
      <c r="F45" s="35">
        <f t="shared" si="2"/>
        <v>820</v>
      </c>
    </row>
    <row r="46" spans="1:6" x14ac:dyDescent="0.3">
      <c r="A46" s="66"/>
      <c r="B46" s="11" t="s">
        <v>108</v>
      </c>
      <c r="C46" s="2" t="s">
        <v>10</v>
      </c>
      <c r="D46" s="2">
        <v>1</v>
      </c>
      <c r="E46" s="10">
        <f>475000*2</f>
        <v>950000</v>
      </c>
      <c r="F46" s="35">
        <f t="shared" si="2"/>
        <v>950</v>
      </c>
    </row>
    <row r="47" spans="1:6" x14ac:dyDescent="0.3">
      <c r="A47" s="66"/>
      <c r="B47" s="11" t="s">
        <v>109</v>
      </c>
      <c r="C47" s="2" t="s">
        <v>10</v>
      </c>
      <c r="D47" s="2">
        <v>1</v>
      </c>
      <c r="E47" s="10">
        <f>620000*2</f>
        <v>1240000</v>
      </c>
      <c r="F47" s="35">
        <f t="shared" si="2"/>
        <v>1240</v>
      </c>
    </row>
    <row r="48" spans="1:6" x14ac:dyDescent="0.3">
      <c r="A48" s="66"/>
      <c r="B48" s="11" t="s">
        <v>110</v>
      </c>
      <c r="C48" s="2" t="s">
        <v>10</v>
      </c>
      <c r="D48" s="2">
        <v>1</v>
      </c>
      <c r="E48" s="10">
        <v>690000</v>
      </c>
      <c r="F48" s="35">
        <f t="shared" si="2"/>
        <v>690</v>
      </c>
    </row>
    <row r="49" spans="1:6" x14ac:dyDescent="0.3">
      <c r="A49" s="66"/>
      <c r="B49" s="11" t="s">
        <v>111</v>
      </c>
      <c r="C49" s="2" t="s">
        <v>10</v>
      </c>
      <c r="D49" s="2">
        <v>1</v>
      </c>
      <c r="E49" s="10">
        <v>1130000</v>
      </c>
      <c r="F49" s="35">
        <f t="shared" si="2"/>
        <v>1130</v>
      </c>
    </row>
    <row r="50" spans="1:6" x14ac:dyDescent="0.3">
      <c r="A50" s="66"/>
      <c r="B50" s="11" t="s">
        <v>112</v>
      </c>
      <c r="C50" s="2" t="s">
        <v>10</v>
      </c>
      <c r="D50" s="2">
        <v>1</v>
      </c>
      <c r="E50" s="10">
        <v>1380000</v>
      </c>
      <c r="F50" s="35">
        <f t="shared" si="2"/>
        <v>1380</v>
      </c>
    </row>
    <row r="51" spans="1:6" x14ac:dyDescent="0.3">
      <c r="A51" s="66"/>
      <c r="B51" s="11" t="s">
        <v>113</v>
      </c>
      <c r="C51" s="2" t="s">
        <v>10</v>
      </c>
      <c r="D51" s="2">
        <v>1</v>
      </c>
      <c r="E51" s="10">
        <f>690000*4</f>
        <v>2760000</v>
      </c>
      <c r="F51" s="35">
        <f t="shared" si="2"/>
        <v>2760</v>
      </c>
    </row>
    <row r="52" spans="1:6" x14ac:dyDescent="0.3">
      <c r="A52" s="66"/>
      <c r="B52" s="11" t="s">
        <v>114</v>
      </c>
      <c r="C52" s="2" t="s">
        <v>10</v>
      </c>
      <c r="D52" s="2">
        <v>1</v>
      </c>
      <c r="E52" s="10">
        <v>1480000</v>
      </c>
      <c r="F52" s="35">
        <f t="shared" si="2"/>
        <v>1480</v>
      </c>
    </row>
    <row r="53" spans="1:6" x14ac:dyDescent="0.3">
      <c r="A53" s="66"/>
      <c r="B53" s="11" t="s">
        <v>115</v>
      </c>
      <c r="C53" s="2" t="s">
        <v>10</v>
      </c>
      <c r="D53" s="2">
        <v>1</v>
      </c>
      <c r="E53" s="10">
        <v>690000</v>
      </c>
      <c r="F53" s="35">
        <f t="shared" si="2"/>
        <v>690</v>
      </c>
    </row>
    <row r="54" spans="1:6" x14ac:dyDescent="0.3">
      <c r="A54" s="66"/>
      <c r="B54" s="11" t="s">
        <v>116</v>
      </c>
      <c r="C54" s="2" t="s">
        <v>10</v>
      </c>
      <c r="D54" s="2">
        <v>1</v>
      </c>
      <c r="E54" s="10">
        <v>1480000</v>
      </c>
      <c r="F54" s="35">
        <f t="shared" si="2"/>
        <v>1480</v>
      </c>
    </row>
    <row r="55" spans="1:6" x14ac:dyDescent="0.3">
      <c r="A55" s="66"/>
      <c r="B55" s="11" t="s">
        <v>117</v>
      </c>
      <c r="C55" s="2" t="s">
        <v>10</v>
      </c>
      <c r="D55" s="2">
        <v>1</v>
      </c>
      <c r="E55" s="10">
        <f>410000*5</f>
        <v>2050000</v>
      </c>
      <c r="F55" s="35">
        <f t="shared" si="2"/>
        <v>2050</v>
      </c>
    </row>
    <row r="56" spans="1:6" x14ac:dyDescent="0.3">
      <c r="A56" s="66"/>
      <c r="B56" s="14" t="s">
        <v>118</v>
      </c>
      <c r="C56" s="2" t="s">
        <v>10</v>
      </c>
      <c r="D56" s="8">
        <v>1</v>
      </c>
      <c r="E56" s="15">
        <v>1480000</v>
      </c>
      <c r="F56" s="35">
        <f t="shared" si="2"/>
        <v>1480</v>
      </c>
    </row>
    <row r="57" spans="1:6" x14ac:dyDescent="0.3">
      <c r="A57" s="66"/>
      <c r="B57" s="11" t="s">
        <v>119</v>
      </c>
      <c r="C57" s="2" t="s">
        <v>10</v>
      </c>
      <c r="D57" s="2">
        <v>1</v>
      </c>
      <c r="E57" s="10">
        <v>1480000</v>
      </c>
      <c r="F57" s="35">
        <f t="shared" si="2"/>
        <v>1480</v>
      </c>
    </row>
    <row r="58" spans="1:6" x14ac:dyDescent="0.3">
      <c r="A58" s="66"/>
      <c r="B58" s="11" t="s">
        <v>120</v>
      </c>
      <c r="C58" s="2" t="s">
        <v>10</v>
      </c>
      <c r="D58" s="2">
        <v>1</v>
      </c>
      <c r="E58" s="10">
        <v>1480000</v>
      </c>
      <c r="F58" s="35">
        <f t="shared" si="2"/>
        <v>1480</v>
      </c>
    </row>
    <row r="59" spans="1:6" x14ac:dyDescent="0.3">
      <c r="A59" s="66"/>
      <c r="B59" s="11" t="s">
        <v>121</v>
      </c>
      <c r="C59" s="2" t="s">
        <v>10</v>
      </c>
      <c r="D59" s="2">
        <v>1</v>
      </c>
      <c r="E59" s="10">
        <v>1480000</v>
      </c>
      <c r="F59" s="35">
        <f t="shared" si="2"/>
        <v>1480</v>
      </c>
    </row>
    <row r="60" spans="1:6" x14ac:dyDescent="0.3">
      <c r="A60" s="66"/>
      <c r="B60" s="11" t="s">
        <v>122</v>
      </c>
      <c r="C60" s="2" t="s">
        <v>10</v>
      </c>
      <c r="D60" s="2">
        <v>1</v>
      </c>
      <c r="E60" s="10">
        <v>5850000</v>
      </c>
      <c r="F60" s="35">
        <f t="shared" si="2"/>
        <v>5850</v>
      </c>
    </row>
    <row r="61" spans="1:6" ht="34.5" x14ac:dyDescent="0.3">
      <c r="A61" s="66"/>
      <c r="B61" s="5" t="s">
        <v>123</v>
      </c>
      <c r="C61" s="2" t="s">
        <v>10</v>
      </c>
      <c r="D61" s="2">
        <v>1</v>
      </c>
      <c r="E61" s="10">
        <f>548000*4</f>
        <v>2192000</v>
      </c>
      <c r="F61" s="35">
        <f t="shared" si="2"/>
        <v>2192</v>
      </c>
    </row>
    <row r="62" spans="1:6" ht="18" thickBot="1" x14ac:dyDescent="0.35">
      <c r="A62" s="67"/>
      <c r="B62" s="38" t="s">
        <v>124</v>
      </c>
      <c r="C62" s="32" t="s">
        <v>10</v>
      </c>
      <c r="D62" s="32">
        <v>1</v>
      </c>
      <c r="E62" s="33">
        <v>548000</v>
      </c>
      <c r="F62" s="34">
        <f t="shared" si="2"/>
        <v>548</v>
      </c>
    </row>
    <row r="63" spans="1:6" x14ac:dyDescent="0.3">
      <c r="A63" s="62">
        <v>5</v>
      </c>
      <c r="B63" s="57" t="s">
        <v>64</v>
      </c>
      <c r="C63" s="58"/>
      <c r="D63" s="58"/>
      <c r="E63" s="59"/>
      <c r="F63" s="30">
        <f>SUM(F64:F86)</f>
        <v>112949</v>
      </c>
    </row>
    <row r="64" spans="1:6" ht="51.75" x14ac:dyDescent="0.3">
      <c r="A64" s="63"/>
      <c r="B64" s="5" t="s">
        <v>45</v>
      </c>
      <c r="C64" s="2" t="s">
        <v>10</v>
      </c>
      <c r="D64" s="2">
        <v>1</v>
      </c>
      <c r="E64" s="10">
        <v>68654000</v>
      </c>
      <c r="F64" s="35">
        <f t="shared" ref="F64:F86" si="3">D64*E64/1000</f>
        <v>68654</v>
      </c>
    </row>
    <row r="65" spans="1:6" ht="34.5" x14ac:dyDescent="0.3">
      <c r="A65" s="63"/>
      <c r="B65" s="5" t="s">
        <v>136</v>
      </c>
      <c r="C65" s="2" t="s">
        <v>10</v>
      </c>
      <c r="D65" s="2">
        <v>1</v>
      </c>
      <c r="E65" s="10">
        <v>1845000</v>
      </c>
      <c r="F65" s="35">
        <f t="shared" si="3"/>
        <v>1845</v>
      </c>
    </row>
    <row r="66" spans="1:6" ht="34.5" x14ac:dyDescent="0.3">
      <c r="A66" s="63"/>
      <c r="B66" s="5" t="s">
        <v>66</v>
      </c>
      <c r="C66" s="2" t="s">
        <v>10</v>
      </c>
      <c r="D66" s="2">
        <v>1</v>
      </c>
      <c r="E66" s="10">
        <f>35000*90</f>
        <v>3150000</v>
      </c>
      <c r="F66" s="35">
        <f t="shared" si="3"/>
        <v>3150</v>
      </c>
    </row>
    <row r="67" spans="1:6" x14ac:dyDescent="0.3">
      <c r="A67" s="63"/>
      <c r="B67" s="5" t="s">
        <v>65</v>
      </c>
      <c r="C67" s="2" t="s">
        <v>10</v>
      </c>
      <c r="D67" s="2">
        <v>1</v>
      </c>
      <c r="E67" s="10">
        <f>6200*400</f>
        <v>2480000</v>
      </c>
      <c r="F67" s="35">
        <f t="shared" si="3"/>
        <v>2480</v>
      </c>
    </row>
    <row r="68" spans="1:6" ht="34.5" x14ac:dyDescent="0.3">
      <c r="A68" s="63"/>
      <c r="B68" s="39" t="s">
        <v>67</v>
      </c>
      <c r="C68" s="2" t="s">
        <v>10</v>
      </c>
      <c r="D68" s="2">
        <v>1</v>
      </c>
      <c r="E68" s="10">
        <f>2160000*2</f>
        <v>4320000</v>
      </c>
      <c r="F68" s="35">
        <f t="shared" si="3"/>
        <v>4320</v>
      </c>
    </row>
    <row r="69" spans="1:6" ht="34.5" x14ac:dyDescent="0.3">
      <c r="A69" s="63"/>
      <c r="B69" s="5" t="s">
        <v>68</v>
      </c>
      <c r="C69" s="2" t="s">
        <v>10</v>
      </c>
      <c r="D69" s="2">
        <v>1</v>
      </c>
      <c r="E69" s="10">
        <f>17000*4*3</f>
        <v>204000</v>
      </c>
      <c r="F69" s="35">
        <f t="shared" si="3"/>
        <v>204</v>
      </c>
    </row>
    <row r="70" spans="1:6" ht="34.5" x14ac:dyDescent="0.3">
      <c r="A70" s="63"/>
      <c r="B70" s="5" t="s">
        <v>69</v>
      </c>
      <c r="C70" s="2" t="s">
        <v>10</v>
      </c>
      <c r="D70" s="2">
        <v>1</v>
      </c>
      <c r="E70" s="10">
        <f>10000*4*3</f>
        <v>120000</v>
      </c>
      <c r="F70" s="35">
        <f t="shared" si="3"/>
        <v>120</v>
      </c>
    </row>
    <row r="71" spans="1:6" x14ac:dyDescent="0.3">
      <c r="A71" s="63"/>
      <c r="B71" s="11" t="s">
        <v>70</v>
      </c>
      <c r="C71" s="2" t="s">
        <v>10</v>
      </c>
      <c r="D71" s="2">
        <v>1</v>
      </c>
      <c r="E71" s="10">
        <f>92000*4*2</f>
        <v>736000</v>
      </c>
      <c r="F71" s="35">
        <f t="shared" si="3"/>
        <v>736</v>
      </c>
    </row>
    <row r="72" spans="1:6" x14ac:dyDescent="0.3">
      <c r="A72" s="63"/>
      <c r="B72" s="11" t="s">
        <v>71</v>
      </c>
      <c r="C72" s="2" t="s">
        <v>10</v>
      </c>
      <c r="D72" s="2">
        <v>1</v>
      </c>
      <c r="E72" s="10">
        <f>20000*2*3</f>
        <v>120000</v>
      </c>
      <c r="F72" s="35">
        <f t="shared" si="3"/>
        <v>120</v>
      </c>
    </row>
    <row r="73" spans="1:6" x14ac:dyDescent="0.3">
      <c r="A73" s="63"/>
      <c r="B73" s="11" t="s">
        <v>127</v>
      </c>
      <c r="C73" s="2" t="s">
        <v>10</v>
      </c>
      <c r="D73" s="2">
        <v>1</v>
      </c>
      <c r="E73" s="10">
        <f>120000*2</f>
        <v>240000</v>
      </c>
      <c r="F73" s="35">
        <f t="shared" si="3"/>
        <v>240</v>
      </c>
    </row>
    <row r="74" spans="1:6" x14ac:dyDescent="0.3">
      <c r="A74" s="63"/>
      <c r="B74" s="11" t="s">
        <v>46</v>
      </c>
      <c r="C74" s="2" t="s">
        <v>10</v>
      </c>
      <c r="D74" s="2">
        <v>1</v>
      </c>
      <c r="E74" s="10">
        <v>160000</v>
      </c>
      <c r="F74" s="35">
        <f t="shared" si="3"/>
        <v>160</v>
      </c>
    </row>
    <row r="75" spans="1:6" x14ac:dyDescent="0.3">
      <c r="A75" s="63"/>
      <c r="B75" s="11" t="s">
        <v>30</v>
      </c>
      <c r="C75" s="2" t="s">
        <v>10</v>
      </c>
      <c r="D75" s="2">
        <v>1</v>
      </c>
      <c r="E75" s="10">
        <f>60000*4*3</f>
        <v>720000</v>
      </c>
      <c r="F75" s="35">
        <f t="shared" si="3"/>
        <v>720</v>
      </c>
    </row>
    <row r="76" spans="1:6" x14ac:dyDescent="0.3">
      <c r="A76" s="63"/>
      <c r="B76" s="11" t="s">
        <v>31</v>
      </c>
      <c r="C76" s="2" t="s">
        <v>10</v>
      </c>
      <c r="D76" s="2">
        <v>1</v>
      </c>
      <c r="E76" s="10">
        <v>3750000</v>
      </c>
      <c r="F76" s="35">
        <f t="shared" si="3"/>
        <v>3750</v>
      </c>
    </row>
    <row r="77" spans="1:6" ht="51.75" x14ac:dyDescent="0.3">
      <c r="A77" s="63"/>
      <c r="B77" s="5" t="s">
        <v>126</v>
      </c>
      <c r="C77" s="2" t="s">
        <v>10</v>
      </c>
      <c r="D77" s="2">
        <v>1</v>
      </c>
      <c r="E77" s="10">
        <f>5850000*2</f>
        <v>11700000</v>
      </c>
      <c r="F77" s="35">
        <f t="shared" si="3"/>
        <v>11700</v>
      </c>
    </row>
    <row r="78" spans="1:6" x14ac:dyDescent="0.3">
      <c r="A78" s="63"/>
      <c r="B78" s="11" t="s">
        <v>72</v>
      </c>
      <c r="C78" s="2" t="s">
        <v>10</v>
      </c>
      <c r="D78" s="2">
        <v>1</v>
      </c>
      <c r="E78" s="10">
        <f>1350*1400</f>
        <v>1890000</v>
      </c>
      <c r="F78" s="35">
        <f t="shared" si="3"/>
        <v>1890</v>
      </c>
    </row>
    <row r="79" spans="1:6" x14ac:dyDescent="0.3">
      <c r="A79" s="63"/>
      <c r="B79" s="5" t="s">
        <v>137</v>
      </c>
      <c r="C79" s="2" t="s">
        <v>10</v>
      </c>
      <c r="D79" s="2">
        <v>1</v>
      </c>
      <c r="E79" s="10">
        <v>1950000</v>
      </c>
      <c r="F79" s="35">
        <f t="shared" si="3"/>
        <v>1950</v>
      </c>
    </row>
    <row r="80" spans="1:6" ht="34.5" x14ac:dyDescent="0.3">
      <c r="A80" s="63"/>
      <c r="B80" s="5" t="s">
        <v>73</v>
      </c>
      <c r="C80" s="2" t="s">
        <v>10</v>
      </c>
      <c r="D80" s="2">
        <v>1</v>
      </c>
      <c r="E80" s="10">
        <f>150000*2*8</f>
        <v>2400000</v>
      </c>
      <c r="F80" s="35">
        <f t="shared" si="3"/>
        <v>2400</v>
      </c>
    </row>
    <row r="81" spans="1:6" x14ac:dyDescent="0.3">
      <c r="A81" s="63"/>
      <c r="B81" s="11" t="s">
        <v>74</v>
      </c>
      <c r="C81" s="2" t="s">
        <v>10</v>
      </c>
      <c r="D81" s="2">
        <v>1</v>
      </c>
      <c r="E81" s="10">
        <f>90000*3*8</f>
        <v>2160000</v>
      </c>
      <c r="F81" s="35">
        <f t="shared" si="3"/>
        <v>2160</v>
      </c>
    </row>
    <row r="82" spans="1:6" ht="34.5" x14ac:dyDescent="0.3">
      <c r="A82" s="63"/>
      <c r="B82" s="5" t="s">
        <v>32</v>
      </c>
      <c r="C82" s="2" t="s">
        <v>10</v>
      </c>
      <c r="D82" s="2">
        <v>1</v>
      </c>
      <c r="E82" s="10">
        <v>2250000</v>
      </c>
      <c r="F82" s="35">
        <f t="shared" si="3"/>
        <v>2250</v>
      </c>
    </row>
    <row r="83" spans="1:6" ht="34.5" x14ac:dyDescent="0.3">
      <c r="A83" s="63"/>
      <c r="B83" s="5" t="s">
        <v>75</v>
      </c>
      <c r="C83" s="2" t="s">
        <v>10</v>
      </c>
      <c r="D83" s="2">
        <v>1</v>
      </c>
      <c r="E83" s="10">
        <v>2250000</v>
      </c>
      <c r="F83" s="35">
        <f t="shared" si="3"/>
        <v>2250</v>
      </c>
    </row>
    <row r="84" spans="1:6" x14ac:dyDescent="0.3">
      <c r="A84" s="63"/>
      <c r="B84" s="20" t="s">
        <v>97</v>
      </c>
      <c r="C84" s="2" t="s">
        <v>10</v>
      </c>
      <c r="D84" s="2">
        <v>1</v>
      </c>
      <c r="E84" s="10">
        <f>20000*72</f>
        <v>1440000</v>
      </c>
      <c r="F84" s="35">
        <f t="shared" si="3"/>
        <v>1440</v>
      </c>
    </row>
    <row r="85" spans="1:6" x14ac:dyDescent="0.3">
      <c r="A85" s="63"/>
      <c r="B85" s="20" t="s">
        <v>98</v>
      </c>
      <c r="C85" s="2" t="s">
        <v>10</v>
      </c>
      <c r="D85" s="2">
        <v>1</v>
      </c>
      <c r="E85" s="10">
        <f>30000*7</f>
        <v>210000</v>
      </c>
      <c r="F85" s="35">
        <f t="shared" si="3"/>
        <v>210</v>
      </c>
    </row>
    <row r="86" spans="1:6" ht="18" thickBot="1" x14ac:dyDescent="0.35">
      <c r="A86" s="64"/>
      <c r="B86" s="37" t="s">
        <v>33</v>
      </c>
      <c r="C86" s="32" t="s">
        <v>10</v>
      </c>
      <c r="D86" s="32">
        <v>1</v>
      </c>
      <c r="E86" s="33">
        <v>200000</v>
      </c>
      <c r="F86" s="34">
        <f t="shared" si="3"/>
        <v>200</v>
      </c>
    </row>
    <row r="87" spans="1:6" x14ac:dyDescent="0.3">
      <c r="A87" s="62">
        <v>6</v>
      </c>
      <c r="B87" s="57" t="s">
        <v>16</v>
      </c>
      <c r="C87" s="58"/>
      <c r="D87" s="58"/>
      <c r="E87" s="59"/>
      <c r="F87" s="30">
        <f>SUM(F88:F90)</f>
        <v>38979</v>
      </c>
    </row>
    <row r="88" spans="1:6" ht="34.5" x14ac:dyDescent="0.3">
      <c r="A88" s="63"/>
      <c r="B88" s="5" t="s">
        <v>76</v>
      </c>
      <c r="C88" s="2" t="s">
        <v>10</v>
      </c>
      <c r="D88" s="2">
        <v>1</v>
      </c>
      <c r="E88" s="10">
        <f>57800*450</f>
        <v>26010000</v>
      </c>
      <c r="F88" s="35">
        <f t="shared" ref="F88:F90" si="4">D88*E88/1000</f>
        <v>26010</v>
      </c>
    </row>
    <row r="89" spans="1:6" ht="34.5" x14ac:dyDescent="0.3">
      <c r="A89" s="63"/>
      <c r="B89" s="5" t="s">
        <v>77</v>
      </c>
      <c r="C89" s="2" t="s">
        <v>10</v>
      </c>
      <c r="D89" s="2">
        <v>1</v>
      </c>
      <c r="E89" s="10">
        <f>57800*160</f>
        <v>9248000</v>
      </c>
      <c r="F89" s="35">
        <f t="shared" si="4"/>
        <v>9248</v>
      </c>
    </row>
    <row r="90" spans="1:6" ht="35.25" thickBot="1" x14ac:dyDescent="0.35">
      <c r="A90" s="64"/>
      <c r="B90" s="37" t="s">
        <v>125</v>
      </c>
      <c r="C90" s="32" t="s">
        <v>10</v>
      </c>
      <c r="D90" s="32">
        <v>1</v>
      </c>
      <c r="E90" s="33">
        <f>6100*610</f>
        <v>3721000</v>
      </c>
      <c r="F90" s="34">
        <f t="shared" si="4"/>
        <v>3721</v>
      </c>
    </row>
    <row r="91" spans="1:6" x14ac:dyDescent="0.3">
      <c r="A91" s="62">
        <v>7</v>
      </c>
      <c r="B91" s="57" t="s">
        <v>6</v>
      </c>
      <c r="C91" s="58"/>
      <c r="D91" s="58"/>
      <c r="E91" s="59"/>
      <c r="F91" s="30">
        <f>SUM(F92:F110)</f>
        <v>113172</v>
      </c>
    </row>
    <row r="92" spans="1:6" ht="34.5" x14ac:dyDescent="0.3">
      <c r="A92" s="63"/>
      <c r="B92" s="5" t="s">
        <v>78</v>
      </c>
      <c r="C92" s="2" t="s">
        <v>10</v>
      </c>
      <c r="D92" s="2">
        <v>1</v>
      </c>
      <c r="E92" s="10">
        <v>40950000</v>
      </c>
      <c r="F92" s="35">
        <f t="shared" ref="F92:F110" si="5">D92*E92/1000</f>
        <v>40950</v>
      </c>
    </row>
    <row r="93" spans="1:6" x14ac:dyDescent="0.3">
      <c r="A93" s="63"/>
      <c r="B93" s="11" t="s">
        <v>79</v>
      </c>
      <c r="C93" s="2" t="s">
        <v>10</v>
      </c>
      <c r="D93" s="2">
        <v>1</v>
      </c>
      <c r="E93" s="10">
        <f>160000*4</f>
        <v>640000</v>
      </c>
      <c r="F93" s="35">
        <f t="shared" si="5"/>
        <v>640</v>
      </c>
    </row>
    <row r="94" spans="1:6" x14ac:dyDescent="0.3">
      <c r="A94" s="63"/>
      <c r="B94" s="11" t="s">
        <v>80</v>
      </c>
      <c r="C94" s="2" t="s">
        <v>10</v>
      </c>
      <c r="D94" s="2">
        <v>1</v>
      </c>
      <c r="E94" s="10">
        <f>920000*2</f>
        <v>1840000</v>
      </c>
      <c r="F94" s="35">
        <f t="shared" si="5"/>
        <v>1840</v>
      </c>
    </row>
    <row r="95" spans="1:6" x14ac:dyDescent="0.3">
      <c r="A95" s="63"/>
      <c r="B95" s="11" t="s">
        <v>81</v>
      </c>
      <c r="C95" s="2" t="s">
        <v>10</v>
      </c>
      <c r="D95" s="2">
        <v>1</v>
      </c>
      <c r="E95" s="10">
        <f>40*15000</f>
        <v>600000</v>
      </c>
      <c r="F95" s="35">
        <f t="shared" si="5"/>
        <v>600</v>
      </c>
    </row>
    <row r="96" spans="1:6" x14ac:dyDescent="0.3">
      <c r="A96" s="63"/>
      <c r="B96" s="11" t="s">
        <v>82</v>
      </c>
      <c r="C96" s="2" t="s">
        <v>10</v>
      </c>
      <c r="D96" s="2">
        <v>1</v>
      </c>
      <c r="E96" s="10">
        <f>300*1500</f>
        <v>450000</v>
      </c>
      <c r="F96" s="35">
        <f t="shared" si="5"/>
        <v>450</v>
      </c>
    </row>
    <row r="97" spans="1:6" x14ac:dyDescent="0.3">
      <c r="A97" s="63"/>
      <c r="B97" s="11" t="s">
        <v>83</v>
      </c>
      <c r="C97" s="2" t="s">
        <v>10</v>
      </c>
      <c r="D97" s="2">
        <v>1</v>
      </c>
      <c r="E97" s="10">
        <f>5700*60</f>
        <v>342000</v>
      </c>
      <c r="F97" s="35">
        <f t="shared" si="5"/>
        <v>342</v>
      </c>
    </row>
    <row r="98" spans="1:6" x14ac:dyDescent="0.3">
      <c r="A98" s="63"/>
      <c r="B98" s="11" t="s">
        <v>86</v>
      </c>
      <c r="C98" s="2" t="s">
        <v>84</v>
      </c>
      <c r="D98" s="2">
        <v>70</v>
      </c>
      <c r="E98" s="10">
        <f>3600</f>
        <v>3600</v>
      </c>
      <c r="F98" s="35">
        <f t="shared" si="5"/>
        <v>252</v>
      </c>
    </row>
    <row r="99" spans="1:6" x14ac:dyDescent="0.3">
      <c r="A99" s="63"/>
      <c r="B99" s="11" t="s">
        <v>85</v>
      </c>
      <c r="C99" s="2" t="s">
        <v>84</v>
      </c>
      <c r="D99" s="2">
        <v>70</v>
      </c>
      <c r="E99" s="10">
        <f>1800</f>
        <v>1800</v>
      </c>
      <c r="F99" s="35">
        <f t="shared" si="5"/>
        <v>126</v>
      </c>
    </row>
    <row r="100" spans="1:6" x14ac:dyDescent="0.3">
      <c r="A100" s="63"/>
      <c r="B100" s="11" t="s">
        <v>138</v>
      </c>
      <c r="C100" s="2" t="s">
        <v>84</v>
      </c>
      <c r="D100" s="2">
        <v>100</v>
      </c>
      <c r="E100" s="10">
        <f>4000</f>
        <v>4000</v>
      </c>
      <c r="F100" s="35">
        <f t="shared" si="5"/>
        <v>400</v>
      </c>
    </row>
    <row r="101" spans="1:6" x14ac:dyDescent="0.3">
      <c r="A101" s="63"/>
      <c r="B101" s="11" t="s">
        <v>87</v>
      </c>
      <c r="C101" s="2" t="s">
        <v>10</v>
      </c>
      <c r="D101" s="2">
        <v>1</v>
      </c>
      <c r="E101" s="10">
        <f>30000*20</f>
        <v>600000</v>
      </c>
      <c r="F101" s="35">
        <f t="shared" si="5"/>
        <v>600</v>
      </c>
    </row>
    <row r="102" spans="1:6" x14ac:dyDescent="0.3">
      <c r="A102" s="63"/>
      <c r="B102" s="11" t="s">
        <v>139</v>
      </c>
      <c r="C102" s="2" t="s">
        <v>88</v>
      </c>
      <c r="D102" s="2">
        <v>5000</v>
      </c>
      <c r="E102" s="19">
        <f>470</f>
        <v>470</v>
      </c>
      <c r="F102" s="35">
        <f t="shared" si="5"/>
        <v>2350</v>
      </c>
    </row>
    <row r="103" spans="1:6" ht="34.5" x14ac:dyDescent="0.3">
      <c r="A103" s="63"/>
      <c r="B103" s="5" t="s">
        <v>89</v>
      </c>
      <c r="C103" s="2" t="s">
        <v>10</v>
      </c>
      <c r="D103" s="2">
        <v>1</v>
      </c>
      <c r="E103" s="10">
        <f>5000*30*10</f>
        <v>1500000</v>
      </c>
      <c r="F103" s="35">
        <f t="shared" si="5"/>
        <v>1500</v>
      </c>
    </row>
    <row r="104" spans="1:6" x14ac:dyDescent="0.3">
      <c r="A104" s="63"/>
      <c r="B104" s="11" t="s">
        <v>47</v>
      </c>
      <c r="C104" s="2" t="s">
        <v>10</v>
      </c>
      <c r="D104" s="2">
        <v>1</v>
      </c>
      <c r="E104" s="10">
        <v>920000</v>
      </c>
      <c r="F104" s="35">
        <f t="shared" si="5"/>
        <v>920</v>
      </c>
    </row>
    <row r="105" spans="1:6" ht="34.5" x14ac:dyDescent="0.3">
      <c r="A105" s="63"/>
      <c r="B105" s="5" t="s">
        <v>99</v>
      </c>
      <c r="C105" s="2" t="s">
        <v>10</v>
      </c>
      <c r="D105" s="2">
        <v>1</v>
      </c>
      <c r="E105" s="10">
        <f>2340000*23</f>
        <v>53820000</v>
      </c>
      <c r="F105" s="35">
        <f t="shared" si="5"/>
        <v>53820</v>
      </c>
    </row>
    <row r="106" spans="1:6" ht="34.5" x14ac:dyDescent="0.3">
      <c r="A106" s="63"/>
      <c r="B106" s="5" t="s">
        <v>140</v>
      </c>
      <c r="C106" s="2" t="s">
        <v>10</v>
      </c>
      <c r="D106" s="2">
        <v>1</v>
      </c>
      <c r="E106" s="10">
        <f>3600000</f>
        <v>3600000</v>
      </c>
      <c r="F106" s="35">
        <f t="shared" si="5"/>
        <v>3600</v>
      </c>
    </row>
    <row r="107" spans="1:6" x14ac:dyDescent="0.3">
      <c r="A107" s="63"/>
      <c r="B107" s="5" t="s">
        <v>143</v>
      </c>
      <c r="C107" s="2" t="s">
        <v>10</v>
      </c>
      <c r="D107" s="2">
        <v>1</v>
      </c>
      <c r="E107" s="10">
        <f>31000*82</f>
        <v>2542000</v>
      </c>
      <c r="F107" s="35">
        <f t="shared" si="5"/>
        <v>2542</v>
      </c>
    </row>
    <row r="108" spans="1:6" ht="34.5" x14ac:dyDescent="0.3">
      <c r="A108" s="63"/>
      <c r="B108" s="5" t="s">
        <v>142</v>
      </c>
      <c r="C108" s="2" t="s">
        <v>10</v>
      </c>
      <c r="D108" s="2">
        <v>1</v>
      </c>
      <c r="E108" s="10">
        <f>40000*12</f>
        <v>480000</v>
      </c>
      <c r="F108" s="35">
        <f t="shared" si="5"/>
        <v>480</v>
      </c>
    </row>
    <row r="109" spans="1:6" ht="34.5" x14ac:dyDescent="0.3">
      <c r="A109" s="63"/>
      <c r="B109" s="5" t="s">
        <v>141</v>
      </c>
      <c r="C109" s="2" t="s">
        <v>10</v>
      </c>
      <c r="D109" s="2">
        <v>1</v>
      </c>
      <c r="E109" s="10">
        <f>40000*8*2</f>
        <v>640000</v>
      </c>
      <c r="F109" s="35">
        <f t="shared" si="5"/>
        <v>640</v>
      </c>
    </row>
    <row r="110" spans="1:6" ht="35.25" thickBot="1" x14ac:dyDescent="0.35">
      <c r="A110" s="64"/>
      <c r="B110" s="37" t="s">
        <v>144</v>
      </c>
      <c r="C110" s="32" t="s">
        <v>10</v>
      </c>
      <c r="D110" s="32">
        <v>1</v>
      </c>
      <c r="E110" s="33">
        <f>80000*14</f>
        <v>1120000</v>
      </c>
      <c r="F110" s="34">
        <f t="shared" si="5"/>
        <v>1120</v>
      </c>
    </row>
    <row r="111" spans="1:6" x14ac:dyDescent="0.3">
      <c r="A111" s="62">
        <v>8</v>
      </c>
      <c r="B111" s="57" t="s">
        <v>17</v>
      </c>
      <c r="C111" s="58"/>
      <c r="D111" s="58"/>
      <c r="E111" s="59"/>
      <c r="F111" s="30">
        <f>SUM(F112:F115)</f>
        <v>131160</v>
      </c>
    </row>
    <row r="112" spans="1:6" ht="51.75" x14ac:dyDescent="0.3">
      <c r="A112" s="63"/>
      <c r="B112" s="5" t="s">
        <v>145</v>
      </c>
      <c r="C112" s="2" t="s">
        <v>10</v>
      </c>
      <c r="D112" s="2">
        <v>1</v>
      </c>
      <c r="E112" s="10">
        <v>47580000</v>
      </c>
      <c r="F112" s="35">
        <f t="shared" ref="F112:F115" si="6">D112*E112/1000</f>
        <v>47580</v>
      </c>
    </row>
    <row r="113" spans="1:6" ht="34.5" x14ac:dyDescent="0.3">
      <c r="A113" s="63"/>
      <c r="B113" s="5" t="s">
        <v>146</v>
      </c>
      <c r="C113" s="2" t="s">
        <v>10</v>
      </c>
      <c r="D113" s="2">
        <v>1</v>
      </c>
      <c r="E113" s="10">
        <v>51580000</v>
      </c>
      <c r="F113" s="35">
        <f t="shared" si="6"/>
        <v>51580</v>
      </c>
    </row>
    <row r="114" spans="1:6" ht="34.5" x14ac:dyDescent="0.3">
      <c r="A114" s="63"/>
      <c r="B114" s="5" t="s">
        <v>147</v>
      </c>
      <c r="C114" s="2" t="s">
        <v>10</v>
      </c>
      <c r="D114" s="2">
        <v>1</v>
      </c>
      <c r="E114" s="10">
        <v>15600000</v>
      </c>
      <c r="F114" s="35">
        <f t="shared" si="6"/>
        <v>15600</v>
      </c>
    </row>
    <row r="115" spans="1:6" ht="18" thickBot="1" x14ac:dyDescent="0.35">
      <c r="A115" s="64"/>
      <c r="B115" s="38" t="s">
        <v>48</v>
      </c>
      <c r="C115" s="32" t="s">
        <v>10</v>
      </c>
      <c r="D115" s="32">
        <v>1</v>
      </c>
      <c r="E115" s="33">
        <v>16400000</v>
      </c>
      <c r="F115" s="34">
        <f t="shared" si="6"/>
        <v>16400</v>
      </c>
    </row>
    <row r="116" spans="1:6" x14ac:dyDescent="0.3">
      <c r="A116" s="72">
        <v>9</v>
      </c>
      <c r="B116" s="57" t="s">
        <v>18</v>
      </c>
      <c r="C116" s="58"/>
      <c r="D116" s="58"/>
      <c r="E116" s="59"/>
      <c r="F116" s="30">
        <f>F117+F118+F119+F120+F121+F122+F123+F124+F125+F126+F127+F128+F129+F130+F131+F132+F133+F134+F135+F136+F137+F138+F139</f>
        <v>73448</v>
      </c>
    </row>
    <row r="117" spans="1:6" x14ac:dyDescent="0.3">
      <c r="A117" s="73"/>
      <c r="B117" s="5" t="s">
        <v>148</v>
      </c>
      <c r="C117" s="2" t="s">
        <v>10</v>
      </c>
      <c r="D117" s="2">
        <v>1</v>
      </c>
      <c r="E117" s="10">
        <v>2000000</v>
      </c>
      <c r="F117" s="35">
        <f t="shared" ref="F117:F139" si="7">D117*E117/1000</f>
        <v>2000</v>
      </c>
    </row>
    <row r="118" spans="1:6" x14ac:dyDescent="0.3">
      <c r="A118" s="73"/>
      <c r="B118" s="5" t="s">
        <v>149</v>
      </c>
      <c r="C118" s="2" t="s">
        <v>10</v>
      </c>
      <c r="D118" s="2">
        <v>1</v>
      </c>
      <c r="E118" s="10">
        <v>6500000</v>
      </c>
      <c r="F118" s="35">
        <f t="shared" si="7"/>
        <v>6500</v>
      </c>
    </row>
    <row r="119" spans="1:6" x14ac:dyDescent="0.3">
      <c r="A119" s="73"/>
      <c r="B119" s="5" t="s">
        <v>150</v>
      </c>
      <c r="C119" s="2" t="s">
        <v>10</v>
      </c>
      <c r="D119" s="2">
        <v>1</v>
      </c>
      <c r="E119" s="10">
        <v>4000000</v>
      </c>
      <c r="F119" s="35">
        <f t="shared" si="7"/>
        <v>4000</v>
      </c>
    </row>
    <row r="120" spans="1:6" ht="51.75" x14ac:dyDescent="0.3">
      <c r="A120" s="73"/>
      <c r="B120" s="5" t="s">
        <v>90</v>
      </c>
      <c r="C120" s="2" t="s">
        <v>10</v>
      </c>
      <c r="D120" s="2">
        <v>1</v>
      </c>
      <c r="E120" s="10">
        <v>840000</v>
      </c>
      <c r="F120" s="35">
        <f t="shared" si="7"/>
        <v>840</v>
      </c>
    </row>
    <row r="121" spans="1:6" x14ac:dyDescent="0.3">
      <c r="A121" s="73"/>
      <c r="B121" s="5" t="s">
        <v>49</v>
      </c>
      <c r="C121" s="2" t="s">
        <v>10</v>
      </c>
      <c r="D121" s="2">
        <v>1</v>
      </c>
      <c r="E121" s="10">
        <v>500000</v>
      </c>
      <c r="F121" s="35">
        <f t="shared" si="7"/>
        <v>500</v>
      </c>
    </row>
    <row r="122" spans="1:6" x14ac:dyDescent="0.3">
      <c r="A122" s="73"/>
      <c r="B122" s="5" t="s">
        <v>151</v>
      </c>
      <c r="C122" s="2" t="s">
        <v>10</v>
      </c>
      <c r="D122" s="2">
        <v>1</v>
      </c>
      <c r="E122" s="10">
        <v>1000000</v>
      </c>
      <c r="F122" s="35">
        <f t="shared" si="7"/>
        <v>1000</v>
      </c>
    </row>
    <row r="123" spans="1:6" ht="34.5" x14ac:dyDescent="0.3">
      <c r="A123" s="73"/>
      <c r="B123" s="5" t="s">
        <v>34</v>
      </c>
      <c r="C123" s="2" t="s">
        <v>10</v>
      </c>
      <c r="D123" s="2">
        <v>1</v>
      </c>
      <c r="E123" s="10">
        <v>6000000</v>
      </c>
      <c r="F123" s="35">
        <f t="shared" si="7"/>
        <v>6000</v>
      </c>
    </row>
    <row r="124" spans="1:6" x14ac:dyDescent="0.3">
      <c r="A124" s="73"/>
      <c r="B124" s="5" t="s">
        <v>35</v>
      </c>
      <c r="C124" s="2" t="s">
        <v>10</v>
      </c>
      <c r="D124" s="2">
        <v>1</v>
      </c>
      <c r="E124" s="10">
        <v>8000000</v>
      </c>
      <c r="F124" s="35">
        <f t="shared" si="7"/>
        <v>8000</v>
      </c>
    </row>
    <row r="125" spans="1:6" ht="34.5" x14ac:dyDescent="0.3">
      <c r="A125" s="73"/>
      <c r="B125" s="16" t="s">
        <v>36</v>
      </c>
      <c r="C125" s="2" t="s">
        <v>10</v>
      </c>
      <c r="D125" s="2">
        <v>1</v>
      </c>
      <c r="E125" s="10">
        <v>8500000</v>
      </c>
      <c r="F125" s="35">
        <f t="shared" si="7"/>
        <v>8500</v>
      </c>
    </row>
    <row r="126" spans="1:6" ht="34.5" x14ac:dyDescent="0.3">
      <c r="A126" s="73"/>
      <c r="B126" s="16" t="s">
        <v>91</v>
      </c>
      <c r="C126" s="2" t="s">
        <v>10</v>
      </c>
      <c r="D126" s="2">
        <v>1</v>
      </c>
      <c r="E126" s="10">
        <v>1400000</v>
      </c>
      <c r="F126" s="35">
        <f t="shared" si="7"/>
        <v>1400</v>
      </c>
    </row>
    <row r="127" spans="1:6" ht="34.5" x14ac:dyDescent="0.3">
      <c r="A127" s="73"/>
      <c r="B127" s="22" t="s">
        <v>37</v>
      </c>
      <c r="C127" s="2" t="s">
        <v>10</v>
      </c>
      <c r="D127" s="2">
        <v>1</v>
      </c>
      <c r="E127" s="10">
        <v>2000000</v>
      </c>
      <c r="F127" s="35">
        <f t="shared" si="7"/>
        <v>2000</v>
      </c>
    </row>
    <row r="128" spans="1:6" ht="34.5" x14ac:dyDescent="0.3">
      <c r="A128" s="73"/>
      <c r="B128" s="16" t="s">
        <v>38</v>
      </c>
      <c r="C128" s="2" t="s">
        <v>10</v>
      </c>
      <c r="D128" s="2">
        <v>1</v>
      </c>
      <c r="E128" s="10">
        <v>1600000</v>
      </c>
      <c r="F128" s="35">
        <f t="shared" si="7"/>
        <v>1600</v>
      </c>
    </row>
    <row r="129" spans="1:6" x14ac:dyDescent="0.3">
      <c r="A129" s="73"/>
      <c r="B129" s="17" t="s">
        <v>39</v>
      </c>
      <c r="C129" s="2" t="s">
        <v>10</v>
      </c>
      <c r="D129" s="2">
        <v>1</v>
      </c>
      <c r="E129" s="10">
        <v>1000000</v>
      </c>
      <c r="F129" s="35">
        <f t="shared" si="7"/>
        <v>1000</v>
      </c>
    </row>
    <row r="130" spans="1:6" ht="34.5" x14ac:dyDescent="0.3">
      <c r="A130" s="73"/>
      <c r="B130" s="16" t="s">
        <v>152</v>
      </c>
      <c r="C130" s="2" t="s">
        <v>10</v>
      </c>
      <c r="D130" s="2">
        <v>1</v>
      </c>
      <c r="E130" s="10">
        <v>12000000</v>
      </c>
      <c r="F130" s="35">
        <f t="shared" si="7"/>
        <v>12000</v>
      </c>
    </row>
    <row r="131" spans="1:6" ht="34.5" x14ac:dyDescent="0.3">
      <c r="A131" s="73"/>
      <c r="B131" s="16" t="s">
        <v>11</v>
      </c>
      <c r="C131" s="12" t="s">
        <v>10</v>
      </c>
      <c r="D131" s="12">
        <v>1</v>
      </c>
      <c r="E131" s="13">
        <v>5000000</v>
      </c>
      <c r="F131" s="35">
        <f t="shared" si="7"/>
        <v>5000</v>
      </c>
    </row>
    <row r="132" spans="1:6" x14ac:dyDescent="0.3">
      <c r="A132" s="73"/>
      <c r="B132" s="17" t="s">
        <v>12</v>
      </c>
      <c r="C132" s="2" t="s">
        <v>10</v>
      </c>
      <c r="D132" s="2">
        <v>1</v>
      </c>
      <c r="E132" s="10">
        <v>2000000</v>
      </c>
      <c r="F132" s="35">
        <f t="shared" si="7"/>
        <v>2000</v>
      </c>
    </row>
    <row r="133" spans="1:6" x14ac:dyDescent="0.3">
      <c r="A133" s="73"/>
      <c r="B133" s="17" t="s">
        <v>9</v>
      </c>
      <c r="C133" s="2" t="s">
        <v>10</v>
      </c>
      <c r="D133" s="2">
        <v>1</v>
      </c>
      <c r="E133" s="10">
        <v>2900000</v>
      </c>
      <c r="F133" s="35">
        <f t="shared" si="7"/>
        <v>2900</v>
      </c>
    </row>
    <row r="134" spans="1:6" x14ac:dyDescent="0.3">
      <c r="A134" s="73"/>
      <c r="B134" s="16" t="s">
        <v>153</v>
      </c>
      <c r="C134" s="2" t="s">
        <v>10</v>
      </c>
      <c r="D134" s="2">
        <v>1</v>
      </c>
      <c r="E134" s="10">
        <v>1000000</v>
      </c>
      <c r="F134" s="35">
        <f t="shared" si="7"/>
        <v>1000</v>
      </c>
    </row>
    <row r="135" spans="1:6" x14ac:dyDescent="0.3">
      <c r="A135" s="73"/>
      <c r="B135" s="16" t="s">
        <v>154</v>
      </c>
      <c r="C135" s="2" t="s">
        <v>10</v>
      </c>
      <c r="D135" s="2">
        <v>1</v>
      </c>
      <c r="E135" s="10">
        <v>1500000</v>
      </c>
      <c r="F135" s="35">
        <f t="shared" si="7"/>
        <v>1500</v>
      </c>
    </row>
    <row r="136" spans="1:6" x14ac:dyDescent="0.3">
      <c r="A136" s="73"/>
      <c r="B136" s="17" t="s">
        <v>40</v>
      </c>
      <c r="C136" s="2" t="s">
        <v>10</v>
      </c>
      <c r="D136" s="2">
        <v>1</v>
      </c>
      <c r="E136" s="10">
        <v>1000000</v>
      </c>
      <c r="F136" s="35">
        <f t="shared" si="7"/>
        <v>1000</v>
      </c>
    </row>
    <row r="137" spans="1:6" x14ac:dyDescent="0.3">
      <c r="A137" s="73"/>
      <c r="B137" s="17" t="s">
        <v>41</v>
      </c>
      <c r="C137" s="2" t="s">
        <v>10</v>
      </c>
      <c r="D137" s="2">
        <v>1</v>
      </c>
      <c r="E137" s="10">
        <v>2000000</v>
      </c>
      <c r="F137" s="35">
        <f t="shared" si="7"/>
        <v>2000</v>
      </c>
    </row>
    <row r="138" spans="1:6" x14ac:dyDescent="0.3">
      <c r="A138" s="73"/>
      <c r="B138" s="17" t="s">
        <v>92</v>
      </c>
      <c r="C138" s="2" t="s">
        <v>10</v>
      </c>
      <c r="D138" s="2">
        <v>1</v>
      </c>
      <c r="E138" s="10">
        <f>250000*5</f>
        <v>1250000</v>
      </c>
      <c r="F138" s="35">
        <f t="shared" si="7"/>
        <v>1250</v>
      </c>
    </row>
    <row r="139" spans="1:6" ht="18" thickBot="1" x14ac:dyDescent="0.35">
      <c r="A139" s="73"/>
      <c r="B139" s="40" t="s">
        <v>93</v>
      </c>
      <c r="C139" s="8" t="s">
        <v>10</v>
      </c>
      <c r="D139" s="8">
        <v>1</v>
      </c>
      <c r="E139" s="15">
        <f>2160*675</f>
        <v>1458000</v>
      </c>
      <c r="F139" s="41">
        <f t="shared" si="7"/>
        <v>1458</v>
      </c>
    </row>
    <row r="140" spans="1:6" x14ac:dyDescent="0.3">
      <c r="A140" s="74">
        <v>10</v>
      </c>
      <c r="B140" s="77" t="s">
        <v>19</v>
      </c>
      <c r="C140" s="58"/>
      <c r="D140" s="58"/>
      <c r="E140" s="58"/>
      <c r="F140" s="30">
        <f>SUM(F141:F155)</f>
        <v>63570</v>
      </c>
    </row>
    <row r="141" spans="1:6" ht="34.5" x14ac:dyDescent="0.3">
      <c r="A141" s="75"/>
      <c r="B141" s="16" t="s">
        <v>155</v>
      </c>
      <c r="C141" s="2" t="s">
        <v>10</v>
      </c>
      <c r="D141" s="2">
        <v>1</v>
      </c>
      <c r="E141" s="42">
        <f>130000*30*2</f>
        <v>7800000</v>
      </c>
      <c r="F141" s="35">
        <f t="shared" ref="F141:F155" si="8">D141*E141/1000</f>
        <v>7800</v>
      </c>
    </row>
    <row r="142" spans="1:6" x14ac:dyDescent="0.3">
      <c r="A142" s="75"/>
      <c r="B142" s="16" t="s">
        <v>156</v>
      </c>
      <c r="C142" s="2" t="s">
        <v>10</v>
      </c>
      <c r="D142" s="2">
        <v>1</v>
      </c>
      <c r="E142" s="42">
        <f>16800*10*5</f>
        <v>840000</v>
      </c>
      <c r="F142" s="35">
        <f t="shared" si="8"/>
        <v>840</v>
      </c>
    </row>
    <row r="143" spans="1:6" x14ac:dyDescent="0.3">
      <c r="A143" s="75"/>
      <c r="B143" s="16" t="s">
        <v>157</v>
      </c>
      <c r="C143" s="2" t="s">
        <v>10</v>
      </c>
      <c r="D143" s="2">
        <v>1</v>
      </c>
      <c r="E143" s="42">
        <v>950000</v>
      </c>
      <c r="F143" s="35">
        <f t="shared" si="8"/>
        <v>950</v>
      </c>
    </row>
    <row r="144" spans="1:6" ht="34.5" x14ac:dyDescent="0.3">
      <c r="A144" s="75"/>
      <c r="B144" s="16" t="s">
        <v>165</v>
      </c>
      <c r="C144" s="12" t="s">
        <v>10</v>
      </c>
      <c r="D144" s="12">
        <v>1</v>
      </c>
      <c r="E144" s="42">
        <v>1882000</v>
      </c>
      <c r="F144" s="35">
        <f t="shared" si="8"/>
        <v>1882</v>
      </c>
    </row>
    <row r="145" spans="1:6" x14ac:dyDescent="0.3">
      <c r="A145" s="75"/>
      <c r="B145" s="16" t="s">
        <v>158</v>
      </c>
      <c r="C145" s="12" t="s">
        <v>10</v>
      </c>
      <c r="D145" s="12">
        <v>1</v>
      </c>
      <c r="E145" s="42">
        <f>70000*5</f>
        <v>350000</v>
      </c>
      <c r="F145" s="35">
        <f t="shared" si="8"/>
        <v>350</v>
      </c>
    </row>
    <row r="146" spans="1:6" x14ac:dyDescent="0.3">
      <c r="A146" s="75"/>
      <c r="B146" s="16" t="s">
        <v>159</v>
      </c>
      <c r="C146" s="2" t="s">
        <v>10</v>
      </c>
      <c r="D146" s="12">
        <v>1</v>
      </c>
      <c r="E146" s="42">
        <f>100000*4</f>
        <v>400000</v>
      </c>
      <c r="F146" s="35">
        <f t="shared" si="8"/>
        <v>400</v>
      </c>
    </row>
    <row r="147" spans="1:6" x14ac:dyDescent="0.3">
      <c r="A147" s="75"/>
      <c r="B147" s="17" t="s">
        <v>160</v>
      </c>
      <c r="C147" s="2" t="s">
        <v>10</v>
      </c>
      <c r="D147" s="12">
        <v>1</v>
      </c>
      <c r="E147" s="42">
        <f>100000*4</f>
        <v>400000</v>
      </c>
      <c r="F147" s="35">
        <f t="shared" si="8"/>
        <v>400</v>
      </c>
    </row>
    <row r="148" spans="1:6" x14ac:dyDescent="0.3">
      <c r="A148" s="75"/>
      <c r="B148" s="17" t="s">
        <v>94</v>
      </c>
      <c r="C148" s="2" t="s">
        <v>10</v>
      </c>
      <c r="D148" s="12">
        <v>1</v>
      </c>
      <c r="E148" s="42">
        <f>140000*11</f>
        <v>1540000</v>
      </c>
      <c r="F148" s="35">
        <f t="shared" si="8"/>
        <v>1540</v>
      </c>
    </row>
    <row r="149" spans="1:6" x14ac:dyDescent="0.3">
      <c r="A149" s="75"/>
      <c r="B149" s="17" t="s">
        <v>161</v>
      </c>
      <c r="C149" s="2" t="s">
        <v>10</v>
      </c>
      <c r="D149" s="12">
        <v>1</v>
      </c>
      <c r="E149" s="42">
        <v>484000</v>
      </c>
      <c r="F149" s="35">
        <f t="shared" si="8"/>
        <v>484</v>
      </c>
    </row>
    <row r="150" spans="1:6" x14ac:dyDescent="0.3">
      <c r="A150" s="75"/>
      <c r="B150" s="17" t="s">
        <v>162</v>
      </c>
      <c r="C150" s="2" t="s">
        <v>10</v>
      </c>
      <c r="D150" s="12">
        <v>1</v>
      </c>
      <c r="E150" s="42">
        <f>318000*3</f>
        <v>954000</v>
      </c>
      <c r="F150" s="35">
        <f t="shared" si="8"/>
        <v>954</v>
      </c>
    </row>
    <row r="151" spans="1:6" x14ac:dyDescent="0.3">
      <c r="A151" s="75"/>
      <c r="B151" s="17" t="s">
        <v>95</v>
      </c>
      <c r="C151" s="2" t="s">
        <v>10</v>
      </c>
      <c r="D151" s="12">
        <v>1</v>
      </c>
      <c r="E151" s="42">
        <f>150000*51</f>
        <v>7650000</v>
      </c>
      <c r="F151" s="35">
        <f t="shared" si="8"/>
        <v>7650</v>
      </c>
    </row>
    <row r="152" spans="1:6" x14ac:dyDescent="0.3">
      <c r="A152" s="75"/>
      <c r="B152" s="17" t="s">
        <v>162</v>
      </c>
      <c r="C152" s="2" t="s">
        <v>10</v>
      </c>
      <c r="D152" s="12">
        <v>1</v>
      </c>
      <c r="E152" s="42">
        <f>1700000*3</f>
        <v>5100000</v>
      </c>
      <c r="F152" s="35">
        <f t="shared" si="8"/>
        <v>5100</v>
      </c>
    </row>
    <row r="153" spans="1:6" x14ac:dyDescent="0.3">
      <c r="A153" s="75"/>
      <c r="B153" s="17" t="s">
        <v>163</v>
      </c>
      <c r="C153" s="2" t="s">
        <v>10</v>
      </c>
      <c r="D153" s="12">
        <v>1</v>
      </c>
      <c r="E153" s="42">
        <f>220000*35*3</f>
        <v>23100000</v>
      </c>
      <c r="F153" s="35">
        <f t="shared" si="8"/>
        <v>23100</v>
      </c>
    </row>
    <row r="154" spans="1:6" x14ac:dyDescent="0.3">
      <c r="A154" s="75"/>
      <c r="B154" s="16" t="s">
        <v>164</v>
      </c>
      <c r="C154" s="2" t="s">
        <v>10</v>
      </c>
      <c r="D154" s="12">
        <v>1</v>
      </c>
      <c r="E154" s="42">
        <f>60000*4*3</f>
        <v>720000</v>
      </c>
      <c r="F154" s="35">
        <f t="shared" si="8"/>
        <v>720</v>
      </c>
    </row>
    <row r="155" spans="1:6" ht="18" thickBot="1" x14ac:dyDescent="0.35">
      <c r="A155" s="76"/>
      <c r="B155" s="40" t="s">
        <v>96</v>
      </c>
      <c r="C155" s="8" t="s">
        <v>10</v>
      </c>
      <c r="D155" s="21">
        <v>1</v>
      </c>
      <c r="E155" s="43">
        <f>38000*30*10</f>
        <v>11400000</v>
      </c>
      <c r="F155" s="41">
        <f t="shared" si="8"/>
        <v>11400</v>
      </c>
    </row>
    <row r="156" spans="1:6" x14ac:dyDescent="0.3">
      <c r="A156" s="44"/>
      <c r="B156" s="77" t="s">
        <v>50</v>
      </c>
      <c r="C156" s="58"/>
      <c r="D156" s="58"/>
      <c r="E156" s="58"/>
      <c r="F156" s="30">
        <v>12000</v>
      </c>
    </row>
    <row r="157" spans="1:6" ht="18" customHeight="1" x14ac:dyDescent="0.3">
      <c r="A157" s="45"/>
      <c r="B157" s="52" t="s">
        <v>5</v>
      </c>
      <c r="C157" s="60"/>
      <c r="D157" s="60"/>
      <c r="E157" s="60"/>
      <c r="F157" s="46">
        <v>50000</v>
      </c>
    </row>
    <row r="158" spans="1:6" x14ac:dyDescent="0.3">
      <c r="A158" s="45"/>
      <c r="B158" s="52" t="s">
        <v>7</v>
      </c>
      <c r="C158" s="52"/>
      <c r="D158" s="52"/>
      <c r="E158" s="52"/>
      <c r="F158" s="46">
        <f>F4+F6+F26+F37+F63+F87+F91+F111+F116+F140+F157+F156</f>
        <v>1932164</v>
      </c>
    </row>
    <row r="159" spans="1:6" x14ac:dyDescent="0.3">
      <c r="A159" s="45"/>
      <c r="B159" s="68" t="s">
        <v>8</v>
      </c>
      <c r="C159" s="69"/>
      <c r="D159" s="69"/>
      <c r="E159" s="69"/>
      <c r="F159" s="47">
        <f>(F158)*20%</f>
        <v>386432.80000000005</v>
      </c>
    </row>
    <row r="160" spans="1:6" ht="18" thickBot="1" x14ac:dyDescent="0.35">
      <c r="A160" s="48"/>
      <c r="B160" s="70" t="s">
        <v>42</v>
      </c>
      <c r="C160" s="71"/>
      <c r="D160" s="71"/>
      <c r="E160" s="71"/>
      <c r="F160" s="49">
        <f>F158+F159</f>
        <v>2318596.7999999998</v>
      </c>
    </row>
  </sheetData>
  <autoFilter ref="A3:F5"/>
  <mergeCells count="27">
    <mergeCell ref="B159:E159"/>
    <mergeCell ref="B160:E160"/>
    <mergeCell ref="A116:A139"/>
    <mergeCell ref="A140:A155"/>
    <mergeCell ref="B156:E156"/>
    <mergeCell ref="B140:E140"/>
    <mergeCell ref="B63:E63"/>
    <mergeCell ref="B87:E87"/>
    <mergeCell ref="B91:E91"/>
    <mergeCell ref="B111:E111"/>
    <mergeCell ref="B116:E116"/>
    <mergeCell ref="B1:F1"/>
    <mergeCell ref="B2:F2"/>
    <mergeCell ref="B158:E158"/>
    <mergeCell ref="A4:A5"/>
    <mergeCell ref="B4:E4"/>
    <mergeCell ref="B6:E6"/>
    <mergeCell ref="B26:E26"/>
    <mergeCell ref="B37:E37"/>
    <mergeCell ref="B157:E157"/>
    <mergeCell ref="A6:A25"/>
    <mergeCell ref="A26:A36"/>
    <mergeCell ref="A37:A62"/>
    <mergeCell ref="A63:A86"/>
    <mergeCell ref="A87:A90"/>
    <mergeCell ref="A91:A110"/>
    <mergeCell ref="A111:A115"/>
  </mergeCells>
  <pageMargins left="0.7" right="0.7" top="0.75" bottom="0.75" header="0.3" footer="0.3"/>
  <pageSetup paperSize="9" scale="75" orientation="landscape" r:id="rId1"/>
  <ignoredErrors>
    <ignoredError sqref="F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naxahashiv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2023-08-10T12:44:44Z</dcterms:modified>
  <cp:keywords>https://mul2.gov.am/tasks/835162/oneclick/havelvac_2_naxahashiv.xlsx?token=984d4bcc3c36caf1756ac1936243c153</cp:keywords>
</cp:coreProperties>
</file>