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0" yWindow="0" windowWidth="14618" windowHeight="7658" tabRatio="942" activeTab="3"/>
  </bookViews>
  <sheets>
    <sheet name="Havelvats 1" sheetId="27" r:id="rId1"/>
    <sheet name="Havelvats 2 " sheetId="32" r:id="rId2"/>
    <sheet name="Havelvats 3" sheetId="36" r:id="rId3"/>
    <sheet name="Havelvats 4" sheetId="35" r:id="rId4"/>
    <sheet name="Havelvats 5" sheetId="29" r:id="rId5"/>
    <sheet name="Havelvats 6" sheetId="48" r:id="rId6"/>
    <sheet name="Havelvats 7" sheetId="41" r:id="rId7"/>
    <sheet name="Havelvats 8" sheetId="46" r:id="rId8"/>
    <sheet name="Havelvats 9" sheetId="47" r:id="rId9"/>
  </sheets>
  <definedNames>
    <definedName name="AgencyCode" localSheetId="1">#REF!</definedName>
    <definedName name="AgencyCode" localSheetId="5">#REF!</definedName>
    <definedName name="AgencyCode" localSheetId="8">#REF!</definedName>
    <definedName name="AgencyCode">#REF!</definedName>
    <definedName name="AgencyName" localSheetId="1">#REF!</definedName>
    <definedName name="AgencyName" localSheetId="5">#REF!</definedName>
    <definedName name="AgencyName" localSheetId="8">#REF!</definedName>
    <definedName name="AgencyName">#REF!</definedName>
    <definedName name="davit" localSheetId="5">#REF!</definedName>
    <definedName name="davit" localSheetId="8">#REF!</definedName>
    <definedName name="davit">#REF!</definedName>
    <definedName name="Functional1" localSheetId="1">#REF!</definedName>
    <definedName name="Functional1" localSheetId="5">#REF!</definedName>
    <definedName name="Functional1" localSheetId="8">#REF!</definedName>
    <definedName name="Functional1">#REF!</definedName>
    <definedName name="ggg" localSheetId="5">#REF!</definedName>
    <definedName name="ggg" localSheetId="8">#REF!</definedName>
    <definedName name="ggg">#REF!</definedName>
    <definedName name="PANature" localSheetId="1">#REF!</definedName>
    <definedName name="PANature" localSheetId="5">#REF!</definedName>
    <definedName name="PANature" localSheetId="8">#REF!</definedName>
    <definedName name="PANature">#REF!</definedName>
    <definedName name="PAType" localSheetId="1">#REF!</definedName>
    <definedName name="PAType" localSheetId="5">#REF!</definedName>
    <definedName name="PAType" localSheetId="8">#REF!</definedName>
    <definedName name="PAType">#REF!</definedName>
    <definedName name="Performance2" localSheetId="1">#REF!</definedName>
    <definedName name="Performance2" localSheetId="5">#REF!</definedName>
    <definedName name="Performance2" localSheetId="8">#REF!</definedName>
    <definedName name="Performance2">#REF!</definedName>
    <definedName name="PerformanceType" localSheetId="1">#REF!</definedName>
    <definedName name="PerformanceType" localSheetId="5">#REF!</definedName>
    <definedName name="PerformanceType" localSheetId="8">#REF!</definedName>
    <definedName name="PerformanceType">#REF!</definedName>
    <definedName name="Հավելված" localSheetId="5">#REF!</definedName>
    <definedName name="Հավելված" localSheetId="8">#REF!</definedName>
    <definedName name="Հավելված">#REF!</definedName>
    <definedName name="Մաս" localSheetId="5">#REF!</definedName>
    <definedName name="Մաս" localSheetId="8">#REF!</definedName>
    <definedName name="Մաս">#REF!</definedName>
    <definedName name="շախմատիստ" localSheetId="5">#REF!</definedName>
    <definedName name="շախմատիստ" localSheetId="8">#REF!</definedName>
    <definedName name="շախմատիստ">#REF!</definedName>
  </definedNames>
  <calcPr calcId="125725"/>
</workbook>
</file>

<file path=xl/calcChain.xml><?xml version="1.0" encoding="utf-8"?>
<calcChain xmlns="http://schemas.openxmlformats.org/spreadsheetml/2006/main">
  <c r="E215" i="48"/>
  <c r="F215"/>
  <c r="G215"/>
  <c r="D215"/>
  <c r="H203" i="32"/>
  <c r="I203"/>
  <c r="J203"/>
  <c r="G203"/>
  <c r="F12" i="35"/>
  <c r="G12"/>
  <c r="H12"/>
  <c r="E12"/>
  <c r="F125"/>
  <c r="G125"/>
  <c r="H125"/>
  <c r="E125"/>
  <c r="H130"/>
  <c r="H129"/>
  <c r="H127" s="1"/>
  <c r="G129"/>
  <c r="F129"/>
  <c r="F127" s="1"/>
  <c r="E129"/>
  <c r="G127"/>
  <c r="E127"/>
  <c r="F13" i="36"/>
  <c r="G13"/>
  <c r="H13"/>
  <c r="E13"/>
  <c r="F105"/>
  <c r="G105"/>
  <c r="H105"/>
  <c r="E105"/>
  <c r="F107"/>
  <c r="G107"/>
  <c r="H107"/>
  <c r="E107"/>
  <c r="F108"/>
  <c r="D108" s="1"/>
  <c r="I167" i="41"/>
  <c r="I169"/>
  <c r="F41" i="36"/>
  <c r="F40"/>
  <c r="F36"/>
  <c r="F35"/>
  <c r="I166" i="41" l="1"/>
  <c r="I71" s="1"/>
  <c r="F113" i="36"/>
  <c r="I22" i="41"/>
  <c r="H165" i="32" l="1"/>
  <c r="G165"/>
  <c r="H101" l="1"/>
  <c r="I101"/>
  <c r="J101"/>
  <c r="F21" i="36" l="1"/>
  <c r="I232" i="32"/>
  <c r="J116" l="1"/>
  <c r="J115" s="1"/>
  <c r="J114" s="1"/>
  <c r="J113" s="1"/>
  <c r="J111" s="1"/>
  <c r="I116"/>
  <c r="H116"/>
  <c r="G116"/>
  <c r="G115" s="1"/>
  <c r="G114" s="1"/>
  <c r="G113" s="1"/>
  <c r="G111" s="1"/>
  <c r="I115"/>
  <c r="I114" s="1"/>
  <c r="I113" s="1"/>
  <c r="I111" s="1"/>
  <c r="H115"/>
  <c r="H114" s="1"/>
  <c r="H113" s="1"/>
  <c r="H111" s="1"/>
  <c r="I17" i="41"/>
  <c r="I16"/>
  <c r="I14"/>
  <c r="F55" i="36" l="1"/>
  <c r="G109" i="32"/>
  <c r="D75" i="48"/>
  <c r="J109" i="32"/>
  <c r="G75" i="48"/>
  <c r="I109" i="32"/>
  <c r="F75" i="48"/>
  <c r="H109" i="32"/>
  <c r="E75" i="48"/>
  <c r="I99" i="32"/>
  <c r="I98" s="1"/>
  <c r="I97" s="1"/>
  <c r="I96" s="1"/>
  <c r="I94" s="1"/>
  <c r="H99"/>
  <c r="H98" s="1"/>
  <c r="H97" s="1"/>
  <c r="H96" s="1"/>
  <c r="H94" s="1"/>
  <c r="G99"/>
  <c r="G98" s="1"/>
  <c r="G97" s="1"/>
  <c r="G96" s="1"/>
  <c r="G94" s="1"/>
  <c r="G64"/>
  <c r="G63" s="1"/>
  <c r="G62" s="1"/>
  <c r="G61" s="1"/>
  <c r="G60" s="1"/>
  <c r="G58" s="1"/>
  <c r="G56" s="1"/>
  <c r="H64"/>
  <c r="H63" s="1"/>
  <c r="H62" s="1"/>
  <c r="H61" s="1"/>
  <c r="H60" s="1"/>
  <c r="H58" s="1"/>
  <c r="H56" s="1"/>
  <c r="H55"/>
  <c r="H54" s="1"/>
  <c r="H53" s="1"/>
  <c r="H52" s="1"/>
  <c r="H51" s="1"/>
  <c r="H49" s="1"/>
  <c r="G55"/>
  <c r="G54" s="1"/>
  <c r="G53" s="1"/>
  <c r="G52" s="1"/>
  <c r="G51" s="1"/>
  <c r="G49" s="1"/>
  <c r="H48"/>
  <c r="G48"/>
  <c r="H46"/>
  <c r="H45" s="1"/>
  <c r="G46"/>
  <c r="G45" s="1"/>
  <c r="G92" l="1"/>
  <c r="D65" i="48"/>
  <c r="G107" i="32"/>
  <c r="G105" s="1"/>
  <c r="D78" i="27"/>
  <c r="D100" i="29" s="1"/>
  <c r="I92" i="32"/>
  <c r="F65" i="48"/>
  <c r="J107" i="32"/>
  <c r="J105" s="1"/>
  <c r="G78" i="27"/>
  <c r="G100" i="29" s="1"/>
  <c r="I107" i="32"/>
  <c r="I105" s="1"/>
  <c r="F78" i="27"/>
  <c r="F100" i="29" s="1"/>
  <c r="H107" i="32"/>
  <c r="H105" s="1"/>
  <c r="E78" i="27"/>
  <c r="E100" i="29" s="1"/>
  <c r="H92" i="32"/>
  <c r="E65" i="48"/>
  <c r="E104" i="36"/>
  <c r="E101"/>
  <c r="I158" i="41"/>
  <c r="F23" i="36"/>
  <c r="G222" i="35"/>
  <c r="D72" i="27" l="1"/>
  <c r="G90" i="32"/>
  <c r="G88" s="1"/>
  <c r="F72" i="27"/>
  <c r="I90" i="32"/>
  <c r="I88" s="1"/>
  <c r="E72" i="27"/>
  <c r="H90" i="32"/>
  <c r="H88" s="1"/>
  <c r="G210" i="35"/>
  <c r="G24"/>
  <c r="F24"/>
  <c r="G40"/>
  <c r="F40"/>
  <c r="D90" i="29" l="1"/>
  <c r="E90"/>
  <c r="F90"/>
  <c r="I15" i="41"/>
  <c r="I13" l="1"/>
  <c r="I12" s="1"/>
  <c r="I11" s="1"/>
  <c r="G61" i="35"/>
  <c r="G59" s="1"/>
  <c r="F61"/>
  <c r="F59" s="1"/>
  <c r="E61"/>
  <c r="E59" s="1"/>
  <c r="D55" i="36"/>
  <c r="H62" i="35" s="1"/>
  <c r="H54" i="36"/>
  <c r="H52" s="1"/>
  <c r="G54"/>
  <c r="G52" s="1"/>
  <c r="F54"/>
  <c r="F52" s="1"/>
  <c r="E54"/>
  <c r="H61" i="35" l="1"/>
  <c r="H59" s="1"/>
  <c r="J31" i="32" s="1"/>
  <c r="J100"/>
  <c r="J99" s="1"/>
  <c r="J98" s="1"/>
  <c r="J97" s="1"/>
  <c r="J96" s="1"/>
  <c r="J94" s="1"/>
  <c r="G57" i="35"/>
  <c r="I31" i="32"/>
  <c r="F57" i="35"/>
  <c r="H31" i="32"/>
  <c r="E57" i="35"/>
  <c r="G31" i="32"/>
  <c r="H57" i="35"/>
  <c r="D54" i="36"/>
  <c r="E52"/>
  <c r="D52" s="1"/>
  <c r="J92" i="32" l="1"/>
  <c r="G65" i="48"/>
  <c r="G30" i="32"/>
  <c r="G29" s="1"/>
  <c r="G28" s="1"/>
  <c r="G27" s="1"/>
  <c r="G25" s="1"/>
  <c r="G51" i="47"/>
  <c r="G50" s="1"/>
  <c r="G49" s="1"/>
  <c r="G48" s="1"/>
  <c r="G47" s="1"/>
  <c r="G45" s="1"/>
  <c r="G43" s="1"/>
  <c r="G41" s="1"/>
  <c r="G39" s="1"/>
  <c r="G37" s="1"/>
  <c r="G35" s="1"/>
  <c r="I30" i="32"/>
  <c r="I29" s="1"/>
  <c r="I28" s="1"/>
  <c r="I27" s="1"/>
  <c r="I25" s="1"/>
  <c r="I51" i="47"/>
  <c r="I50" s="1"/>
  <c r="I49" s="1"/>
  <c r="I48" s="1"/>
  <c r="I47" s="1"/>
  <c r="I45" s="1"/>
  <c r="I43" s="1"/>
  <c r="I41" s="1"/>
  <c r="I39" s="1"/>
  <c r="I37" s="1"/>
  <c r="I35" s="1"/>
  <c r="J30" i="32"/>
  <c r="J29" s="1"/>
  <c r="J28" s="1"/>
  <c r="J27" s="1"/>
  <c r="J25" s="1"/>
  <c r="J51" i="47"/>
  <c r="J50" s="1"/>
  <c r="J49" s="1"/>
  <c r="J48" s="1"/>
  <c r="J47" s="1"/>
  <c r="J45" s="1"/>
  <c r="J43" s="1"/>
  <c r="J41" s="1"/>
  <c r="J39" s="1"/>
  <c r="J37" s="1"/>
  <c r="J35" s="1"/>
  <c r="H30" i="32"/>
  <c r="H29" s="1"/>
  <c r="H28" s="1"/>
  <c r="H27" s="1"/>
  <c r="H25" s="1"/>
  <c r="H51" i="47"/>
  <c r="H50" s="1"/>
  <c r="H49" s="1"/>
  <c r="H48" s="1"/>
  <c r="H47" s="1"/>
  <c r="H45" s="1"/>
  <c r="H43" s="1"/>
  <c r="H41" s="1"/>
  <c r="H39" s="1"/>
  <c r="H37" s="1"/>
  <c r="H35" s="1"/>
  <c r="F289" i="35"/>
  <c r="G289"/>
  <c r="H289"/>
  <c r="E289"/>
  <c r="F291"/>
  <c r="G291"/>
  <c r="H291"/>
  <c r="E291"/>
  <c r="G242"/>
  <c r="F242"/>
  <c r="G240"/>
  <c r="F240"/>
  <c r="G238"/>
  <c r="G236"/>
  <c r="G234"/>
  <c r="G228"/>
  <c r="G227"/>
  <c r="G226"/>
  <c r="G225"/>
  <c r="G224"/>
  <c r="G220"/>
  <c r="G219"/>
  <c r="G218"/>
  <c r="G217"/>
  <c r="G216"/>
  <c r="G214"/>
  <c r="G213"/>
  <c r="G211"/>
  <c r="F210"/>
  <c r="E210"/>
  <c r="G209"/>
  <c r="F209"/>
  <c r="E209"/>
  <c r="G208"/>
  <c r="G72" i="27" l="1"/>
  <c r="G90" i="29" s="1"/>
  <c r="J90" i="32"/>
  <c r="J88" s="1"/>
  <c r="J23"/>
  <c r="G52" i="48"/>
  <c r="G23" i="32"/>
  <c r="D52" i="48"/>
  <c r="H23" i="32"/>
  <c r="E52" i="48"/>
  <c r="I23" i="32"/>
  <c r="F52" i="48"/>
  <c r="G160" i="35"/>
  <c r="F160"/>
  <c r="E160"/>
  <c r="I21" i="32" l="1"/>
  <c r="F46" i="27"/>
  <c r="F64" i="29" s="1"/>
  <c r="G21" i="32"/>
  <c r="D46" i="27"/>
  <c r="D64" i="29" s="1"/>
  <c r="H21" i="32"/>
  <c r="E46" i="27"/>
  <c r="E64" i="29" s="1"/>
  <c r="J21" i="32"/>
  <c r="G46" i="27"/>
  <c r="G64" i="29" s="1"/>
  <c r="G105" i="35"/>
  <c r="F105"/>
  <c r="E105"/>
  <c r="E102"/>
  <c r="G101"/>
  <c r="F101"/>
  <c r="E101"/>
  <c r="E94"/>
  <c r="E89"/>
  <c r="H71"/>
  <c r="G46"/>
  <c r="F46"/>
  <c r="G45"/>
  <c r="F45"/>
  <c r="G41"/>
  <c r="F41"/>
  <c r="E24" l="1"/>
  <c r="G22"/>
  <c r="F22"/>
  <c r="E22"/>
  <c r="F203" i="36"/>
  <c r="G203"/>
  <c r="H203"/>
  <c r="E203"/>
  <c r="E245"/>
  <c r="F245"/>
  <c r="G245"/>
  <c r="H245"/>
  <c r="D247"/>
  <c r="D248"/>
  <c r="D244"/>
  <c r="H243"/>
  <c r="G243"/>
  <c r="F243"/>
  <c r="E243"/>
  <c r="D243"/>
  <c r="F201" l="1"/>
  <c r="F199"/>
  <c r="F197"/>
  <c r="F195"/>
  <c r="F193"/>
  <c r="E189"/>
  <c r="E188"/>
  <c r="E187"/>
  <c r="E186"/>
  <c r="E185"/>
  <c r="E183"/>
  <c r="E181"/>
  <c r="E180"/>
  <c r="E179"/>
  <c r="E178"/>
  <c r="E177"/>
  <c r="E175"/>
  <c r="E174"/>
  <c r="E172"/>
  <c r="E171"/>
  <c r="E170"/>
  <c r="E169"/>
  <c r="E165" l="1"/>
  <c r="I221" i="41"/>
  <c r="E162" i="36"/>
  <c r="I219" i="41"/>
  <c r="E159" i="36"/>
  <c r="E158"/>
  <c r="E157"/>
  <c r="I218" i="41"/>
  <c r="E155" i="36"/>
  <c r="E154"/>
  <c r="E153"/>
  <c r="I217" i="41"/>
  <c r="E148" i="36"/>
  <c r="I215" i="41"/>
  <c r="I214"/>
  <c r="E145" i="36"/>
  <c r="E144"/>
  <c r="E141"/>
  <c r="E137"/>
  <c r="E136"/>
  <c r="I211" i="41"/>
  <c r="E127" i="36"/>
  <c r="E130"/>
  <c r="G154" i="35"/>
  <c r="F154"/>
  <c r="F123" i="36"/>
  <c r="I20" i="41"/>
  <c r="F135" i="35"/>
  <c r="E135"/>
  <c r="D113" i="36"/>
  <c r="F140" i="35"/>
  <c r="E140"/>
  <c r="F138"/>
  <c r="E138"/>
  <c r="F115" i="36"/>
  <c r="D115" s="1"/>
  <c r="G142" i="35" s="1"/>
  <c r="G140" s="1"/>
  <c r="G138" s="1"/>
  <c r="I55" i="32" s="1"/>
  <c r="I54" s="1"/>
  <c r="I53" s="1"/>
  <c r="I52" s="1"/>
  <c r="I51" s="1"/>
  <c r="I49" s="1"/>
  <c r="I66" i="41"/>
  <c r="I68"/>
  <c r="G111" i="36"/>
  <c r="H111"/>
  <c r="E111"/>
  <c r="D114"/>
  <c r="H141" i="35" s="1"/>
  <c r="I65" i="41" l="1"/>
  <c r="I64" s="1"/>
  <c r="G137" i="35"/>
  <c r="I46" i="32" s="1"/>
  <c r="I45" s="1"/>
  <c r="H137" i="35"/>
  <c r="J46" i="32" s="1"/>
  <c r="J45" s="1"/>
  <c r="I19" i="41"/>
  <c r="H142" i="35"/>
  <c r="H140" s="1"/>
  <c r="H138" s="1"/>
  <c r="J55" i="32" s="1"/>
  <c r="J54" s="1"/>
  <c r="J53" s="1"/>
  <c r="J52" s="1"/>
  <c r="J51" s="1"/>
  <c r="J49" s="1"/>
  <c r="F111" i="36"/>
  <c r="E99"/>
  <c r="F89"/>
  <c r="H89"/>
  <c r="E89"/>
  <c r="G90"/>
  <c r="G89" s="1"/>
  <c r="G92"/>
  <c r="E92"/>
  <c r="E88"/>
  <c r="E82"/>
  <c r="E81" s="1"/>
  <c r="G88"/>
  <c r="G86"/>
  <c r="G85"/>
  <c r="D85" s="1"/>
  <c r="H84"/>
  <c r="F84"/>
  <c r="E84"/>
  <c r="F81"/>
  <c r="H81"/>
  <c r="E78"/>
  <c r="E77"/>
  <c r="E75"/>
  <c r="E69"/>
  <c r="G83"/>
  <c r="D83" s="1"/>
  <c r="F76"/>
  <c r="H76"/>
  <c r="G80"/>
  <c r="D80" s="1"/>
  <c r="G79"/>
  <c r="D79" s="1"/>
  <c r="F67"/>
  <c r="H67"/>
  <c r="G73"/>
  <c r="D73" s="1"/>
  <c r="G72"/>
  <c r="D72" s="1"/>
  <c r="G71"/>
  <c r="D71" s="1"/>
  <c r="G70"/>
  <c r="D70" s="1"/>
  <c r="H86" i="35" l="1"/>
  <c r="F86"/>
  <c r="G86"/>
  <c r="H93"/>
  <c r="F93"/>
  <c r="G93"/>
  <c r="H92"/>
  <c r="F92"/>
  <c r="G92"/>
  <c r="H96"/>
  <c r="F96"/>
  <c r="F94" s="1"/>
  <c r="G96"/>
  <c r="G94" s="1"/>
  <c r="E84"/>
  <c r="F84"/>
  <c r="G84"/>
  <c r="H84"/>
  <c r="F83"/>
  <c r="G83"/>
  <c r="H83"/>
  <c r="E83"/>
  <c r="H98"/>
  <c r="F98"/>
  <c r="G98"/>
  <c r="E98"/>
  <c r="E97" s="1"/>
  <c r="F85"/>
  <c r="H85"/>
  <c r="G85"/>
  <c r="E85"/>
  <c r="D90" i="36"/>
  <c r="G84"/>
  <c r="D84" s="1"/>
  <c r="D86"/>
  <c r="G81"/>
  <c r="E76"/>
  <c r="G76"/>
  <c r="G67"/>
  <c r="G167" i="32" l="1"/>
  <c r="G166" s="1"/>
  <c r="F89" i="35"/>
  <c r="F99"/>
  <c r="F97" s="1"/>
  <c r="G99"/>
  <c r="G97" s="1"/>
  <c r="H99"/>
  <c r="H97" s="1"/>
  <c r="H103"/>
  <c r="H102" s="1"/>
  <c r="G103"/>
  <c r="G102" s="1"/>
  <c r="F103"/>
  <c r="F102" s="1"/>
  <c r="E80"/>
  <c r="F80"/>
  <c r="G89"/>
  <c r="E66" i="36"/>
  <c r="J167" i="32" l="1"/>
  <c r="J166" s="1"/>
  <c r="H167"/>
  <c r="H166" s="1"/>
  <c r="I167"/>
  <c r="I166" s="1"/>
  <c r="E64" i="36"/>
  <c r="I106" i="41"/>
  <c r="E68" i="36"/>
  <c r="E67" s="1"/>
  <c r="F18" l="1"/>
  <c r="H70" i="47" l="1"/>
  <c r="I70"/>
  <c r="H230" i="32" l="1"/>
  <c r="H234"/>
  <c r="H233" s="1"/>
  <c r="I234"/>
  <c r="I233" s="1"/>
  <c r="J234"/>
  <c r="J233" s="1"/>
  <c r="G234"/>
  <c r="G233" s="1"/>
  <c r="H202" l="1"/>
  <c r="H201" s="1"/>
  <c r="H200" s="1"/>
  <c r="H199" s="1"/>
  <c r="H197" s="1"/>
  <c r="H195" s="1"/>
  <c r="E109" i="27" s="1"/>
  <c r="I202" i="32"/>
  <c r="I201" s="1"/>
  <c r="I200" s="1"/>
  <c r="I199" s="1"/>
  <c r="I197" s="1"/>
  <c r="I195" s="1"/>
  <c r="E148" i="29" l="1"/>
  <c r="G202" i="32"/>
  <c r="G201" s="1"/>
  <c r="G200" s="1"/>
  <c r="G199" s="1"/>
  <c r="G197" s="1"/>
  <c r="G195" s="1"/>
  <c r="G70" i="47"/>
  <c r="G69" s="1"/>
  <c r="G68" s="1"/>
  <c r="G67" s="1"/>
  <c r="G66" s="1"/>
  <c r="G64" s="1"/>
  <c r="G62" s="1"/>
  <c r="F109" i="27"/>
  <c r="G136" i="35"/>
  <c r="I48" i="32" s="1"/>
  <c r="F133" i="35"/>
  <c r="F131" s="1"/>
  <c r="E133"/>
  <c r="E131" s="1"/>
  <c r="D112" i="36"/>
  <c r="H136" i="35" s="1"/>
  <c r="H109" i="36"/>
  <c r="G109"/>
  <c r="F109"/>
  <c r="I59" i="41"/>
  <c r="I58" s="1"/>
  <c r="F243" i="35"/>
  <c r="G243"/>
  <c r="H243"/>
  <c r="E243"/>
  <c r="E295"/>
  <c r="F295"/>
  <c r="E286"/>
  <c r="F286"/>
  <c r="E277"/>
  <c r="F277"/>
  <c r="E272"/>
  <c r="F272"/>
  <c r="E264"/>
  <c r="F264"/>
  <c r="E262"/>
  <c r="F262"/>
  <c r="G262"/>
  <c r="E257"/>
  <c r="F257"/>
  <c r="E251"/>
  <c r="F251"/>
  <c r="F249" s="1"/>
  <c r="H295"/>
  <c r="G295"/>
  <c r="H286"/>
  <c r="G286"/>
  <c r="H277"/>
  <c r="G277"/>
  <c r="H272"/>
  <c r="G272"/>
  <c r="H264"/>
  <c r="G264"/>
  <c r="H262"/>
  <c r="H257"/>
  <c r="G257"/>
  <c r="H251"/>
  <c r="G251"/>
  <c r="E249" i="36"/>
  <c r="F249"/>
  <c r="G249"/>
  <c r="D245"/>
  <c r="E240"/>
  <c r="F240"/>
  <c r="G240"/>
  <c r="E231"/>
  <c r="F231"/>
  <c r="G231"/>
  <c r="E226"/>
  <c r="D226" s="1"/>
  <c r="F226"/>
  <c r="G226"/>
  <c r="E218"/>
  <c r="F218"/>
  <c r="G218"/>
  <c r="E216"/>
  <c r="F216"/>
  <c r="G216"/>
  <c r="E211"/>
  <c r="D211" s="1"/>
  <c r="F211"/>
  <c r="G211"/>
  <c r="E205"/>
  <c r="F205"/>
  <c r="G205"/>
  <c r="D252"/>
  <c r="D251"/>
  <c r="D250"/>
  <c r="D246"/>
  <c r="D242"/>
  <c r="D241"/>
  <c r="D239"/>
  <c r="D238"/>
  <c r="D237"/>
  <c r="D236"/>
  <c r="D235"/>
  <c r="D234"/>
  <c r="D233"/>
  <c r="D232"/>
  <c r="D230"/>
  <c r="D229"/>
  <c r="D228"/>
  <c r="D227"/>
  <c r="D225"/>
  <c r="D224"/>
  <c r="D223"/>
  <c r="D222"/>
  <c r="D221"/>
  <c r="D220"/>
  <c r="D219"/>
  <c r="D217"/>
  <c r="D215"/>
  <c r="D214"/>
  <c r="D213"/>
  <c r="D212"/>
  <c r="D210"/>
  <c r="D209"/>
  <c r="D208"/>
  <c r="D207"/>
  <c r="D206"/>
  <c r="H249"/>
  <c r="H240"/>
  <c r="H231"/>
  <c r="H226"/>
  <c r="H218"/>
  <c r="H216"/>
  <c r="H211"/>
  <c r="H205"/>
  <c r="J48" i="32" l="1"/>
  <c r="H135" i="35"/>
  <c r="H133" s="1"/>
  <c r="H131" s="1"/>
  <c r="D105" i="36"/>
  <c r="D107"/>
  <c r="H249" i="35"/>
  <c r="J261" i="32" s="1"/>
  <c r="J260" s="1"/>
  <c r="J259" s="1"/>
  <c r="J258" s="1"/>
  <c r="J257" s="1"/>
  <c r="J255" s="1"/>
  <c r="G249" i="35"/>
  <c r="E249"/>
  <c r="E247"/>
  <c r="H247"/>
  <c r="G135"/>
  <c r="G133" s="1"/>
  <c r="G131" s="1"/>
  <c r="G47" i="32"/>
  <c r="D205" i="36"/>
  <c r="D218"/>
  <c r="D111"/>
  <c r="D249"/>
  <c r="D216"/>
  <c r="D231"/>
  <c r="D240"/>
  <c r="F148" i="29"/>
  <c r="D109" i="27"/>
  <c r="G60" i="47"/>
  <c r="E109" i="36"/>
  <c r="D109" s="1"/>
  <c r="G44" i="32" l="1"/>
  <c r="G43" s="1"/>
  <c r="G42" s="1"/>
  <c r="G40" s="1"/>
  <c r="D105" i="48" s="1"/>
  <c r="G261" i="32"/>
  <c r="G260" s="1"/>
  <c r="G259" s="1"/>
  <c r="G258" s="1"/>
  <c r="G257" s="1"/>
  <c r="G255" s="1"/>
  <c r="D131" i="48" s="1"/>
  <c r="J253" i="32"/>
  <c r="G171" i="27" s="1"/>
  <c r="G245" i="29" s="1"/>
  <c r="G131" i="48"/>
  <c r="G247" i="35"/>
  <c r="I261" i="32"/>
  <c r="I260" s="1"/>
  <c r="I259" s="1"/>
  <c r="I258" s="1"/>
  <c r="I257" s="1"/>
  <c r="I255" s="1"/>
  <c r="F247" i="35"/>
  <c r="H261" i="32"/>
  <c r="H260" s="1"/>
  <c r="H259" s="1"/>
  <c r="H258" s="1"/>
  <c r="H257" s="1"/>
  <c r="H255" s="1"/>
  <c r="D148" i="29"/>
  <c r="G38" i="32" l="1"/>
  <c r="G253"/>
  <c r="D171" i="27" s="1"/>
  <c r="D245" i="29" s="1"/>
  <c r="H253" i="32"/>
  <c r="E171" i="27" s="1"/>
  <c r="E245" i="29" s="1"/>
  <c r="E131" i="48"/>
  <c r="I253" i="32"/>
  <c r="F171" i="27" s="1"/>
  <c r="F245" i="29" s="1"/>
  <c r="F131" i="48"/>
  <c r="G36" i="32" l="1"/>
  <c r="D122" i="27"/>
  <c r="D164" i="29" s="1"/>
  <c r="D203" i="36"/>
  <c r="D202"/>
  <c r="G51" l="1"/>
  <c r="G49"/>
  <c r="G47"/>
  <c r="G45"/>
  <c r="I37" i="41"/>
  <c r="I31"/>
  <c r="I30" l="1"/>
  <c r="I278"/>
  <c r="I284"/>
  <c r="I29" l="1"/>
  <c r="I277"/>
  <c r="F114" i="35"/>
  <c r="H187" i="32" s="1"/>
  <c r="H186" s="1"/>
  <c r="H185" s="1"/>
  <c r="H184" s="1"/>
  <c r="H183" s="1"/>
  <c r="H181" s="1"/>
  <c r="E89" i="48" s="1"/>
  <c r="F116" i="35"/>
  <c r="G116"/>
  <c r="G114" s="1"/>
  <c r="I187" i="32" s="1"/>
  <c r="I186" s="1"/>
  <c r="I185" s="1"/>
  <c r="I184" s="1"/>
  <c r="I183" s="1"/>
  <c r="I181" s="1"/>
  <c r="F89" i="48" s="1"/>
  <c r="E116" i="35"/>
  <c r="E114" s="1"/>
  <c r="G187" i="32" s="1"/>
  <c r="G186" s="1"/>
  <c r="G185" s="1"/>
  <c r="G184" s="1"/>
  <c r="G183" s="1"/>
  <c r="G181" s="1"/>
  <c r="F99" i="36"/>
  <c r="G99"/>
  <c r="H99"/>
  <c r="D102"/>
  <c r="F120" i="35"/>
  <c r="G120"/>
  <c r="E120"/>
  <c r="D100" i="36"/>
  <c r="H121" i="35" s="1"/>
  <c r="H117" l="1"/>
  <c r="H116" s="1"/>
  <c r="H114" s="1"/>
  <c r="J187" i="32" s="1"/>
  <c r="J186" s="1"/>
  <c r="J185" s="1"/>
  <c r="J184" s="1"/>
  <c r="J183" s="1"/>
  <c r="J181" s="1"/>
  <c r="G89" i="48" s="1"/>
  <c r="D89"/>
  <c r="G241" i="35"/>
  <c r="F241"/>
  <c r="E241"/>
  <c r="G239"/>
  <c r="F239"/>
  <c r="E239"/>
  <c r="G237"/>
  <c r="F237"/>
  <c r="E237"/>
  <c r="G235"/>
  <c r="F235"/>
  <c r="E235"/>
  <c r="F233"/>
  <c r="G233"/>
  <c r="E233"/>
  <c r="H200" i="36"/>
  <c r="G200"/>
  <c r="F200"/>
  <c r="E200"/>
  <c r="H198"/>
  <c r="G198"/>
  <c r="F198"/>
  <c r="E198"/>
  <c r="H196"/>
  <c r="G196"/>
  <c r="F196"/>
  <c r="E196"/>
  <c r="H194"/>
  <c r="G194"/>
  <c r="F194"/>
  <c r="E194"/>
  <c r="F192"/>
  <c r="G192"/>
  <c r="G190" s="1"/>
  <c r="H192"/>
  <c r="H190" s="1"/>
  <c r="E192"/>
  <c r="D201"/>
  <c r="H242" i="35" s="1"/>
  <c r="H241" s="1"/>
  <c r="D199" i="36"/>
  <c r="H240" i="35" s="1"/>
  <c r="H239" s="1"/>
  <c r="D198" i="36"/>
  <c r="D197"/>
  <c r="H238" i="35" s="1"/>
  <c r="H237" s="1"/>
  <c r="D195" i="36"/>
  <c r="H236" i="35" s="1"/>
  <c r="H235" s="1"/>
  <c r="D193" i="36"/>
  <c r="H234" i="35" s="1"/>
  <c r="H233" s="1"/>
  <c r="G231" l="1"/>
  <c r="G229" s="1"/>
  <c r="E231"/>
  <c r="F231"/>
  <c r="D194" i="36"/>
  <c r="F190"/>
  <c r="D192"/>
  <c r="D200"/>
  <c r="E190"/>
  <c r="H231" i="35"/>
  <c r="D196" i="36"/>
  <c r="I252" i="32" l="1"/>
  <c r="I251" s="1"/>
  <c r="I250" s="1"/>
  <c r="I249" s="1"/>
  <c r="I248" s="1"/>
  <c r="I246" s="1"/>
  <c r="I244" s="1"/>
  <c r="F165" i="27" s="1"/>
  <c r="F233" i="29" s="1"/>
  <c r="G252" i="32"/>
  <c r="G251" s="1"/>
  <c r="G250" s="1"/>
  <c r="G249" s="1"/>
  <c r="G248" s="1"/>
  <c r="G246" s="1"/>
  <c r="E229" i="35"/>
  <c r="H252" i="32"/>
  <c r="H251" s="1"/>
  <c r="H250" s="1"/>
  <c r="H249" s="1"/>
  <c r="H248" s="1"/>
  <c r="H246" s="1"/>
  <c r="F229" i="35"/>
  <c r="D190" i="36"/>
  <c r="H229" i="35"/>
  <c r="J252" i="32"/>
  <c r="J251" s="1"/>
  <c r="J250" s="1"/>
  <c r="J249" s="1"/>
  <c r="J248" s="1"/>
  <c r="J246" s="1"/>
  <c r="I242" i="41"/>
  <c r="I224"/>
  <c r="F207" i="35"/>
  <c r="G207"/>
  <c r="E207"/>
  <c r="F212"/>
  <c r="G212"/>
  <c r="E212"/>
  <c r="F215"/>
  <c r="G215"/>
  <c r="E215"/>
  <c r="F221"/>
  <c r="G221"/>
  <c r="E221"/>
  <c r="F223"/>
  <c r="G223"/>
  <c r="E223"/>
  <c r="F184" i="36"/>
  <c r="G184"/>
  <c r="H184"/>
  <c r="E184"/>
  <c r="D186"/>
  <c r="H225" i="35" s="1"/>
  <c r="D187" i="36"/>
  <c r="H226" i="35" s="1"/>
  <c r="D188" i="36"/>
  <c r="H227" i="35" s="1"/>
  <c r="D189" i="36"/>
  <c r="H228" i="35" s="1"/>
  <c r="D185" i="36"/>
  <c r="H224" i="35" s="1"/>
  <c r="F182" i="36"/>
  <c r="G182"/>
  <c r="H182"/>
  <c r="E182"/>
  <c r="D183"/>
  <c r="H222" i="35" s="1"/>
  <c r="H221" s="1"/>
  <c r="F176" i="36"/>
  <c r="G176"/>
  <c r="H176"/>
  <c r="E176"/>
  <c r="D181"/>
  <c r="H220" i="35" s="1"/>
  <c r="D180" i="36"/>
  <c r="H219" i="35" s="1"/>
  <c r="D179" i="36"/>
  <c r="H218" i="35" s="1"/>
  <c r="D178" i="36"/>
  <c r="H217" i="35" s="1"/>
  <c r="D177" i="36"/>
  <c r="H216" i="35" s="1"/>
  <c r="F173" i="36"/>
  <c r="G173"/>
  <c r="H173"/>
  <c r="E173"/>
  <c r="D175"/>
  <c r="H214" i="35" s="1"/>
  <c r="D174" i="36"/>
  <c r="H213" i="35" s="1"/>
  <c r="F168" i="36"/>
  <c r="G168"/>
  <c r="H168"/>
  <c r="E168"/>
  <c r="D170"/>
  <c r="H209" i="35" s="1"/>
  <c r="D171" i="36"/>
  <c r="H210" i="35" s="1"/>
  <c r="D172" i="36"/>
  <c r="H211" i="35" s="1"/>
  <c r="D169" i="36"/>
  <c r="H208" i="35" s="1"/>
  <c r="F172"/>
  <c r="G172"/>
  <c r="E172"/>
  <c r="G175"/>
  <c r="F175"/>
  <c r="E175"/>
  <c r="F177"/>
  <c r="G177"/>
  <c r="E177"/>
  <c r="F179"/>
  <c r="G179"/>
  <c r="E179"/>
  <c r="G183"/>
  <c r="F183"/>
  <c r="E183"/>
  <c r="F186"/>
  <c r="G186"/>
  <c r="E186"/>
  <c r="G189"/>
  <c r="F189"/>
  <c r="E189"/>
  <c r="G193"/>
  <c r="F193"/>
  <c r="E193"/>
  <c r="F197"/>
  <c r="G197"/>
  <c r="E197"/>
  <c r="F201"/>
  <c r="G201"/>
  <c r="E201"/>
  <c r="G164"/>
  <c r="F164"/>
  <c r="E164"/>
  <c r="F135" i="36"/>
  <c r="G135"/>
  <c r="H135"/>
  <c r="F142"/>
  <c r="G142"/>
  <c r="H142"/>
  <c r="F146"/>
  <c r="G146"/>
  <c r="H146"/>
  <c r="F149"/>
  <c r="G149"/>
  <c r="H149"/>
  <c r="F152"/>
  <c r="G152"/>
  <c r="H152"/>
  <c r="F156"/>
  <c r="G156"/>
  <c r="H156"/>
  <c r="F160"/>
  <c r="G160"/>
  <c r="H160"/>
  <c r="F164"/>
  <c r="G164"/>
  <c r="H164"/>
  <c r="D165"/>
  <c r="H202" i="35" s="1"/>
  <c r="H201" s="1"/>
  <c r="E163" i="36"/>
  <c r="D163" s="1"/>
  <c r="H200" i="35" s="1"/>
  <c r="D162" i="36"/>
  <c r="H199" i="35" s="1"/>
  <c r="E161" i="36"/>
  <c r="D161" s="1"/>
  <c r="H198" i="35" s="1"/>
  <c r="E151" i="36"/>
  <c r="E150"/>
  <c r="E147"/>
  <c r="E143"/>
  <c r="E139"/>
  <c r="D136"/>
  <c r="H173" i="35" s="1"/>
  <c r="I188" i="41"/>
  <c r="I216"/>
  <c r="D134" i="36"/>
  <c r="E205" i="35" l="1"/>
  <c r="E169"/>
  <c r="F273" i="48"/>
  <c r="E273"/>
  <c r="H244" i="32"/>
  <c r="E165" i="27" s="1"/>
  <c r="E233" i="29" s="1"/>
  <c r="F169" i="35"/>
  <c r="H232" i="32" s="1"/>
  <c r="H231" s="1"/>
  <c r="G244"/>
  <c r="D165" i="27" s="1"/>
  <c r="D233" i="29" s="1"/>
  <c r="D273" i="48"/>
  <c r="J244" i="32"/>
  <c r="G165" i="27" s="1"/>
  <c r="G233" i="29" s="1"/>
  <c r="G273" i="48"/>
  <c r="H229" i="32"/>
  <c r="H228" s="1"/>
  <c r="H226" s="1"/>
  <c r="F205" i="35"/>
  <c r="I223" i="41"/>
  <c r="I210"/>
  <c r="I187" s="1"/>
  <c r="G205" i="35"/>
  <c r="E166" i="36"/>
  <c r="D166" s="1"/>
  <c r="F166"/>
  <c r="H166"/>
  <c r="G166"/>
  <c r="H215" i="35"/>
  <c r="H207"/>
  <c r="H212"/>
  <c r="H223"/>
  <c r="E146" i="36"/>
  <c r="D146" s="1"/>
  <c r="E152"/>
  <c r="D152" s="1"/>
  <c r="E149"/>
  <c r="D149" s="1"/>
  <c r="G169" i="35"/>
  <c r="F167"/>
  <c r="G132" i="36"/>
  <c r="E156"/>
  <c r="D156" s="1"/>
  <c r="H132"/>
  <c r="D168"/>
  <c r="H197" i="35"/>
  <c r="E142" i="36"/>
  <c r="D142" s="1"/>
  <c r="F132"/>
  <c r="D176"/>
  <c r="D184"/>
  <c r="D182"/>
  <c r="E164"/>
  <c r="E160"/>
  <c r="D160" s="1"/>
  <c r="E135"/>
  <c r="D135" s="1"/>
  <c r="D173"/>
  <c r="D164"/>
  <c r="D159"/>
  <c r="H196" i="35" s="1"/>
  <c r="D158" i="36"/>
  <c r="H195" i="35" s="1"/>
  <c r="D157" i="36"/>
  <c r="H194" i="35" s="1"/>
  <c r="D155" i="36"/>
  <c r="H192" i="35" s="1"/>
  <c r="D154" i="36"/>
  <c r="H191" i="35" s="1"/>
  <c r="D153" i="36"/>
  <c r="H190" i="35" s="1"/>
  <c r="D151" i="36"/>
  <c r="H188" i="35" s="1"/>
  <c r="D150" i="36"/>
  <c r="H187" i="35" s="1"/>
  <c r="D148" i="36"/>
  <c r="H185" i="35" s="1"/>
  <c r="D147" i="36"/>
  <c r="H184" i="35" s="1"/>
  <c r="D145" i="36"/>
  <c r="H182" i="35" s="1"/>
  <c r="D144" i="36"/>
  <c r="H181" i="35" s="1"/>
  <c r="D143" i="36"/>
  <c r="H180" i="35" s="1"/>
  <c r="D141" i="36"/>
  <c r="H178" i="35" s="1"/>
  <c r="H177" s="1"/>
  <c r="E140" i="36"/>
  <c r="D140" s="1"/>
  <c r="D139"/>
  <c r="H176" i="35" s="1"/>
  <c r="H175" s="1"/>
  <c r="E138" i="36"/>
  <c r="D138" s="1"/>
  <c r="D137"/>
  <c r="H174" i="35" s="1"/>
  <c r="H172" s="1"/>
  <c r="H131" i="36"/>
  <c r="G131"/>
  <c r="F131"/>
  <c r="I179" i="41"/>
  <c r="I182"/>
  <c r="F161" i="35"/>
  <c r="G161"/>
  <c r="E161"/>
  <c r="F128" i="36"/>
  <c r="G128"/>
  <c r="H128"/>
  <c r="E128"/>
  <c r="D130"/>
  <c r="H163" i="35" s="1"/>
  <c r="I173" i="41"/>
  <c r="I161"/>
  <c r="E96" i="36"/>
  <c r="G104" i="35"/>
  <c r="F104"/>
  <c r="E104"/>
  <c r="G100"/>
  <c r="F100"/>
  <c r="E100"/>
  <c r="F87"/>
  <c r="G87"/>
  <c r="E87"/>
  <c r="G78"/>
  <c r="F78"/>
  <c r="E78"/>
  <c r="F76"/>
  <c r="G76"/>
  <c r="E76"/>
  <c r="H69"/>
  <c r="G69"/>
  <c r="F69"/>
  <c r="E69"/>
  <c r="F95" i="36"/>
  <c r="G95"/>
  <c r="H95"/>
  <c r="I95" i="41"/>
  <c r="F63" i="36"/>
  <c r="G63"/>
  <c r="H63"/>
  <c r="E63"/>
  <c r="F65"/>
  <c r="G65"/>
  <c r="H65"/>
  <c r="E65"/>
  <c r="F74"/>
  <c r="G74"/>
  <c r="H74"/>
  <c r="E74"/>
  <c r="F87"/>
  <c r="G87"/>
  <c r="H87"/>
  <c r="E87"/>
  <c r="F91"/>
  <c r="G91"/>
  <c r="H91"/>
  <c r="E91"/>
  <c r="D78"/>
  <c r="H91" i="35" s="1"/>
  <c r="D77" i="36"/>
  <c r="H90" i="35" s="1"/>
  <c r="D92" i="36"/>
  <c r="H105" i="35" s="1"/>
  <c r="H104" s="1"/>
  <c r="D88" i="36"/>
  <c r="H101" i="35" s="1"/>
  <c r="H100" s="1"/>
  <c r="D82" i="36"/>
  <c r="H95" i="35" s="1"/>
  <c r="H94" s="1"/>
  <c r="D69" i="36"/>
  <c r="H82" i="35" s="1"/>
  <c r="D75" i="36"/>
  <c r="H88" i="35" s="1"/>
  <c r="H87" s="1"/>
  <c r="D68" i="36"/>
  <c r="D66"/>
  <c r="H79" i="35" s="1"/>
  <c r="H78" s="1"/>
  <c r="D64" i="36"/>
  <c r="H77" i="35" s="1"/>
  <c r="H76" l="1"/>
  <c r="J165" i="32"/>
  <c r="H224"/>
  <c r="E153" i="27" s="1"/>
  <c r="E211" i="29" s="1"/>
  <c r="E251" i="48"/>
  <c r="F61" i="36"/>
  <c r="H61"/>
  <c r="H81" i="35"/>
  <c r="H80" s="1"/>
  <c r="G81"/>
  <c r="E74"/>
  <c r="F74"/>
  <c r="H89"/>
  <c r="E167"/>
  <c r="G232" i="32"/>
  <c r="G231" s="1"/>
  <c r="G230" s="1"/>
  <c r="G229" s="1"/>
  <c r="G228" s="1"/>
  <c r="G226" s="1"/>
  <c r="F203" i="35"/>
  <c r="H243" i="32"/>
  <c r="H242" s="1"/>
  <c r="H241" s="1"/>
  <c r="H240" s="1"/>
  <c r="H239" s="1"/>
  <c r="H237" s="1"/>
  <c r="G167" i="35"/>
  <c r="I231" i="32"/>
  <c r="I230" s="1"/>
  <c r="I229" s="1"/>
  <c r="I228" s="1"/>
  <c r="I226" s="1"/>
  <c r="E203" i="35"/>
  <c r="G243" i="32"/>
  <c r="G242" s="1"/>
  <c r="G241" s="1"/>
  <c r="G240" s="1"/>
  <c r="G239" s="1"/>
  <c r="G237" s="1"/>
  <c r="G203" i="35"/>
  <c r="I243" i="32"/>
  <c r="I242" s="1"/>
  <c r="I241" s="1"/>
  <c r="I240" s="1"/>
  <c r="I239" s="1"/>
  <c r="I237" s="1"/>
  <c r="E61" i="36"/>
  <c r="G61"/>
  <c r="D89"/>
  <c r="I178" i="41"/>
  <c r="H205" i="35"/>
  <c r="H183"/>
  <c r="H189"/>
  <c r="H193"/>
  <c r="H179"/>
  <c r="H186"/>
  <c r="E132" i="36"/>
  <c r="D132" s="1"/>
  <c r="I157" i="41"/>
  <c r="D131" i="36"/>
  <c r="H166" i="35" s="1"/>
  <c r="H164" s="1"/>
  <c r="D81" i="36"/>
  <c r="D76"/>
  <c r="D74"/>
  <c r="D67"/>
  <c r="D65"/>
  <c r="D63"/>
  <c r="I94" i="41"/>
  <c r="D87" i="36"/>
  <c r="D91"/>
  <c r="G80" i="35" l="1"/>
  <c r="G74" s="1"/>
  <c r="G72" s="1"/>
  <c r="I165" i="32"/>
  <c r="I164" s="1"/>
  <c r="H74" i="35"/>
  <c r="F262" i="48"/>
  <c r="I235" i="32"/>
  <c r="F159" i="27" s="1"/>
  <c r="F222" i="29" s="1"/>
  <c r="F251" i="48"/>
  <c r="I224" i="32"/>
  <c r="F153" i="27" s="1"/>
  <c r="F211" i="29" s="1"/>
  <c r="G224" i="32"/>
  <c r="D153" i="27" s="1"/>
  <c r="D211" i="29" s="1"/>
  <c r="D251" i="48"/>
  <c r="E72" i="35"/>
  <c r="G164" i="32"/>
  <c r="D262" i="48"/>
  <c r="G235" i="32"/>
  <c r="D159" i="27" s="1"/>
  <c r="D222" i="29" s="1"/>
  <c r="E262" i="48"/>
  <c r="H235" i="32"/>
  <c r="E159" i="27" s="1"/>
  <c r="E222" i="29" s="1"/>
  <c r="H203" i="35"/>
  <c r="J243" i="32"/>
  <c r="J242" s="1"/>
  <c r="J241" s="1"/>
  <c r="J240" s="1"/>
  <c r="J239" s="1"/>
  <c r="J237" s="1"/>
  <c r="F72" i="35"/>
  <c r="H164" i="32"/>
  <c r="H169" i="35"/>
  <c r="D61" i="36"/>
  <c r="D60"/>
  <c r="G162" i="32" l="1"/>
  <c r="G161" s="1"/>
  <c r="G159" s="1"/>
  <c r="G157" s="1"/>
  <c r="G163"/>
  <c r="I163"/>
  <c r="I162" s="1"/>
  <c r="I161" s="1"/>
  <c r="I159" s="1"/>
  <c r="I157" s="1"/>
  <c r="H163"/>
  <c r="H162" s="1"/>
  <c r="H161" s="1"/>
  <c r="H159" s="1"/>
  <c r="D179" i="48"/>
  <c r="H72" i="35"/>
  <c r="J164" i="32"/>
  <c r="J235"/>
  <c r="G159" i="27" s="1"/>
  <c r="G222" i="29" s="1"/>
  <c r="G262" i="48"/>
  <c r="H167" i="35"/>
  <c r="J232" i="32"/>
  <c r="J231" s="1"/>
  <c r="J230" s="1"/>
  <c r="J229" s="1"/>
  <c r="J228" s="1"/>
  <c r="J226" s="1"/>
  <c r="F59" i="36"/>
  <c r="F58" s="1"/>
  <c r="I89" i="41"/>
  <c r="I91"/>
  <c r="G67" i="35"/>
  <c r="G65" s="1"/>
  <c r="F67"/>
  <c r="F65" s="1"/>
  <c r="E67"/>
  <c r="E65" s="1"/>
  <c r="G58" i="36"/>
  <c r="G56" s="1"/>
  <c r="H58"/>
  <c r="H56" s="1"/>
  <c r="E58"/>
  <c r="E56" s="1"/>
  <c r="F49" i="35"/>
  <c r="G49"/>
  <c r="E49"/>
  <c r="F51"/>
  <c r="G51"/>
  <c r="E51"/>
  <c r="F53"/>
  <c r="G53"/>
  <c r="E53"/>
  <c r="F55"/>
  <c r="G55"/>
  <c r="E55"/>
  <c r="F44"/>
  <c r="G44"/>
  <c r="E44"/>
  <c r="F42"/>
  <c r="G42"/>
  <c r="E42"/>
  <c r="F37"/>
  <c r="G37"/>
  <c r="E37"/>
  <c r="F39"/>
  <c r="G39"/>
  <c r="E39"/>
  <c r="F29"/>
  <c r="F27" s="1"/>
  <c r="H143" i="32" s="1"/>
  <c r="H142" s="1"/>
  <c r="H141" s="1"/>
  <c r="H140" s="1"/>
  <c r="H139" s="1"/>
  <c r="H137" s="1"/>
  <c r="E29" i="35"/>
  <c r="E27" s="1"/>
  <c r="G143" i="32" s="1"/>
  <c r="G142" s="1"/>
  <c r="G141" s="1"/>
  <c r="G140" s="1"/>
  <c r="G139" s="1"/>
  <c r="G137" s="1"/>
  <c r="F26" i="36"/>
  <c r="F24" s="1"/>
  <c r="G26"/>
  <c r="G24" s="1"/>
  <c r="H26"/>
  <c r="H24" s="1"/>
  <c r="E26"/>
  <c r="D27"/>
  <c r="H30" i="35" s="1"/>
  <c r="H29" s="1"/>
  <c r="H27" s="1"/>
  <c r="J143" i="32" s="1"/>
  <c r="J142" s="1"/>
  <c r="J141" s="1"/>
  <c r="J140" s="1"/>
  <c r="J139" s="1"/>
  <c r="J137" s="1"/>
  <c r="F44" i="36"/>
  <c r="G44"/>
  <c r="H44"/>
  <c r="E44"/>
  <c r="F46"/>
  <c r="G46"/>
  <c r="H46"/>
  <c r="E46"/>
  <c r="F48"/>
  <c r="G48"/>
  <c r="H48"/>
  <c r="E48"/>
  <c r="F50"/>
  <c r="G50"/>
  <c r="H50"/>
  <c r="E50"/>
  <c r="D51"/>
  <c r="H56" i="35" s="1"/>
  <c r="H55" s="1"/>
  <c r="D49" i="36"/>
  <c r="H54" i="35" s="1"/>
  <c r="H53" s="1"/>
  <c r="D47" i="36"/>
  <c r="H52" i="35" s="1"/>
  <c r="H51" s="1"/>
  <c r="D45" i="36"/>
  <c r="H50" i="35" s="1"/>
  <c r="H49" s="1"/>
  <c r="F39" i="36"/>
  <c r="G39"/>
  <c r="H39"/>
  <c r="E39"/>
  <c r="D41"/>
  <c r="H46" i="35" s="1"/>
  <c r="D40" i="36"/>
  <c r="H45" i="35" s="1"/>
  <c r="D38" i="36"/>
  <c r="H43" i="35" s="1"/>
  <c r="H42" s="1"/>
  <c r="H37" i="36"/>
  <c r="G37"/>
  <c r="F37"/>
  <c r="E37"/>
  <c r="F34"/>
  <c r="G34"/>
  <c r="H34"/>
  <c r="E34"/>
  <c r="D35"/>
  <c r="H40" i="35" s="1"/>
  <c r="D33" i="36"/>
  <c r="H38" i="35" s="1"/>
  <c r="H37" s="1"/>
  <c r="H32" i="36"/>
  <c r="G32"/>
  <c r="F32"/>
  <c r="E32"/>
  <c r="D36"/>
  <c r="H41" i="35" s="1"/>
  <c r="H157" i="32" l="1"/>
  <c r="H155" s="1"/>
  <c r="E179" i="48"/>
  <c r="F179"/>
  <c r="J163" i="32"/>
  <c r="J162" s="1"/>
  <c r="J161" s="1"/>
  <c r="J159" s="1"/>
  <c r="E63" i="35"/>
  <c r="G154" i="32"/>
  <c r="G153" s="1"/>
  <c r="G152" s="1"/>
  <c r="G151" s="1"/>
  <c r="G150" s="1"/>
  <c r="G148" s="1"/>
  <c r="D84" i="27"/>
  <c r="G155" i="32"/>
  <c r="G81" i="47"/>
  <c r="G80" s="1"/>
  <c r="G79" s="1"/>
  <c r="G78" s="1"/>
  <c r="G77" s="1"/>
  <c r="G75" s="1"/>
  <c r="G73" s="1"/>
  <c r="G71" s="1"/>
  <c r="G58" s="1"/>
  <c r="G56" s="1"/>
  <c r="G54" s="1"/>
  <c r="G52" s="1"/>
  <c r="G135" i="32"/>
  <c r="G281" s="1"/>
  <c r="D24" i="48"/>
  <c r="F63" i="35"/>
  <c r="H154" i="32"/>
  <c r="I155"/>
  <c r="F84" i="27"/>
  <c r="G63" i="35"/>
  <c r="I154" i="32"/>
  <c r="J135"/>
  <c r="J81" i="47"/>
  <c r="G24" i="48"/>
  <c r="H135" i="32"/>
  <c r="H281" s="1"/>
  <c r="H81" i="47"/>
  <c r="E24" i="48"/>
  <c r="J224" i="32"/>
  <c r="G153" i="27" s="1"/>
  <c r="G251" i="48"/>
  <c r="I88" i="41"/>
  <c r="G47" i="35"/>
  <c r="I81" i="32" s="1"/>
  <c r="I80" s="1"/>
  <c r="E35" i="35"/>
  <c r="G79" i="32" s="1"/>
  <c r="G78" s="1"/>
  <c r="E47" i="35"/>
  <c r="D50" i="36"/>
  <c r="D46"/>
  <c r="G35" i="35"/>
  <c r="I79" i="32" s="1"/>
  <c r="I78" s="1"/>
  <c r="F35" i="35"/>
  <c r="H79" i="32" s="1"/>
  <c r="H78" s="1"/>
  <c r="F47" i="35"/>
  <c r="H81" i="32" s="1"/>
  <c r="H80" s="1"/>
  <c r="E30" i="36"/>
  <c r="D26"/>
  <c r="G30" i="35"/>
  <c r="G29" s="1"/>
  <c r="G27" s="1"/>
  <c r="I143" i="32" s="1"/>
  <c r="I142" s="1"/>
  <c r="I141" s="1"/>
  <c r="I140" s="1"/>
  <c r="I139" s="1"/>
  <c r="I137" s="1"/>
  <c r="G30" i="36"/>
  <c r="D48"/>
  <c r="H44" i="35"/>
  <c r="G42" i="36"/>
  <c r="D32"/>
  <c r="H42"/>
  <c r="E24"/>
  <c r="D37"/>
  <c r="E42"/>
  <c r="H30"/>
  <c r="H28" s="1"/>
  <c r="F42"/>
  <c r="F56"/>
  <c r="D56" s="1"/>
  <c r="D58"/>
  <c r="D59"/>
  <c r="H68" i="35" s="1"/>
  <c r="H67" s="1"/>
  <c r="H65" s="1"/>
  <c r="H47"/>
  <c r="J81" i="32" s="1"/>
  <c r="J80" s="1"/>
  <c r="H39" i="35"/>
  <c r="F30" i="36"/>
  <c r="D44"/>
  <c r="D39"/>
  <c r="D34"/>
  <c r="G179" i="48" l="1"/>
  <c r="J157" i="32"/>
  <c r="J155" s="1"/>
  <c r="E84" i="27"/>
  <c r="E65" s="1"/>
  <c r="F111" i="29"/>
  <c r="F65" i="27"/>
  <c r="D111" i="29"/>
  <c r="D65" i="27"/>
  <c r="G289" i="32"/>
  <c r="G31" i="47" s="1"/>
  <c r="G27" i="27"/>
  <c r="G36" i="29" s="1"/>
  <c r="H289" i="32"/>
  <c r="H31" i="47" s="1"/>
  <c r="G33"/>
  <c r="G32" s="1"/>
  <c r="D27" i="27"/>
  <c r="D36" i="29" s="1"/>
  <c r="D165" i="48"/>
  <c r="G146" i="32"/>
  <c r="E31" i="35"/>
  <c r="G81" i="32"/>
  <c r="G80" s="1"/>
  <c r="G77" s="1"/>
  <c r="G76" s="1"/>
  <c r="G75" s="1"/>
  <c r="G73" s="1"/>
  <c r="I77"/>
  <c r="I76" s="1"/>
  <c r="I75" s="1"/>
  <c r="I73" s="1"/>
  <c r="I71" s="1"/>
  <c r="I69" s="1"/>
  <c r="H77"/>
  <c r="H76" s="1"/>
  <c r="H75" s="1"/>
  <c r="H73" s="1"/>
  <c r="H71" s="1"/>
  <c r="H69" s="1"/>
  <c r="I135"/>
  <c r="I281" s="1"/>
  <c r="I81" i="47"/>
  <c r="F24" i="48"/>
  <c r="E27" i="27"/>
  <c r="E36" i="29" s="1"/>
  <c r="C14" i="46"/>
  <c r="C12" s="1"/>
  <c r="G211" i="29"/>
  <c r="H63" i="35"/>
  <c r="J154" i="32"/>
  <c r="E28" i="36"/>
  <c r="G28"/>
  <c r="F28"/>
  <c r="H35" i="35"/>
  <c r="J79" i="32" s="1"/>
  <c r="J78" s="1"/>
  <c r="J77" s="1"/>
  <c r="J76" s="1"/>
  <c r="J75" s="1"/>
  <c r="J73" s="1"/>
  <c r="J71" s="1"/>
  <c r="D24" i="36"/>
  <c r="D42"/>
  <c r="G84" i="27" l="1"/>
  <c r="G65" s="1"/>
  <c r="E111" i="29"/>
  <c r="I289" i="32"/>
  <c r="I31" i="47" s="1"/>
  <c r="E40" i="27"/>
  <c r="F40"/>
  <c r="D40" i="48"/>
  <c r="G71" i="32"/>
  <c r="G30" i="47"/>
  <c r="G29" s="1"/>
  <c r="G28" s="1"/>
  <c r="G26" s="1"/>
  <c r="G24" s="1"/>
  <c r="G22" s="1"/>
  <c r="G20" s="1"/>
  <c r="G18" s="1"/>
  <c r="G16" s="1"/>
  <c r="G14" s="1"/>
  <c r="G13" s="1"/>
  <c r="G11" s="1"/>
  <c r="G280" i="32"/>
  <c r="G279" s="1"/>
  <c r="G278" s="1"/>
  <c r="G276" s="1"/>
  <c r="G288"/>
  <c r="G287" s="1"/>
  <c r="G286" s="1"/>
  <c r="G284" s="1"/>
  <c r="D59" i="27"/>
  <c r="G144" i="32"/>
  <c r="F52" i="29"/>
  <c r="J69" i="32"/>
  <c r="G40" i="27"/>
  <c r="F27"/>
  <c r="F36" i="29" s="1"/>
  <c r="F19" i="36"/>
  <c r="I73" i="41"/>
  <c r="I79"/>
  <c r="G111" i="29" l="1"/>
  <c r="F40" i="48"/>
  <c r="F33" i="27"/>
  <c r="G40" i="48"/>
  <c r="G33" i="27"/>
  <c r="E52" i="29"/>
  <c r="E33" i="27"/>
  <c r="E40" i="48"/>
  <c r="G272" i="32"/>
  <c r="G270" s="1"/>
  <c r="G268"/>
  <c r="G266" s="1"/>
  <c r="G264" s="1"/>
  <c r="G263" s="1"/>
  <c r="D77" i="29"/>
  <c r="D52" i="27"/>
  <c r="G274" i="32"/>
  <c r="D185" i="27" s="1"/>
  <c r="D292" i="48"/>
  <c r="D301"/>
  <c r="G282" i="32"/>
  <c r="D191" i="27" s="1"/>
  <c r="D273" i="29" s="1"/>
  <c r="D40" i="27"/>
  <c r="D33" s="1"/>
  <c r="G69" i="32"/>
  <c r="G52" i="29"/>
  <c r="I72" i="41"/>
  <c r="D52" i="29" l="1"/>
  <c r="D264"/>
  <c r="D179" i="27"/>
  <c r="D177" s="1"/>
  <c r="F23" i="35"/>
  <c r="G23"/>
  <c r="E23"/>
  <c r="E159"/>
  <c r="E147"/>
  <c r="E145" s="1"/>
  <c r="E123"/>
  <c r="E118" s="1"/>
  <c r="E110"/>
  <c r="E108" s="1"/>
  <c r="E25"/>
  <c r="E21"/>
  <c r="D19" i="36"/>
  <c r="F22"/>
  <c r="G22"/>
  <c r="H22"/>
  <c r="E22"/>
  <c r="F20"/>
  <c r="G20"/>
  <c r="H20"/>
  <c r="E20"/>
  <c r="F17"/>
  <c r="G17"/>
  <c r="G15" s="1"/>
  <c r="H17"/>
  <c r="H15" s="1"/>
  <c r="E17"/>
  <c r="G223" i="32" l="1"/>
  <c r="G222" s="1"/>
  <c r="G221" s="1"/>
  <c r="G220" s="1"/>
  <c r="G219" s="1"/>
  <c r="G217" s="1"/>
  <c r="D238" i="48" s="1"/>
  <c r="E157" i="35"/>
  <c r="E106"/>
  <c r="G178" i="32"/>
  <c r="G177" s="1"/>
  <c r="G176" s="1"/>
  <c r="G175" s="1"/>
  <c r="G174" s="1"/>
  <c r="G172" s="1"/>
  <c r="E143" i="35"/>
  <c r="H20"/>
  <c r="G20"/>
  <c r="E15" i="36"/>
  <c r="E155" i="35"/>
  <c r="F15" i="36"/>
  <c r="E153" i="35"/>
  <c r="E151" s="1"/>
  <c r="G215" i="32" l="1"/>
  <c r="D147" i="27" s="1"/>
  <c r="D198" i="29" s="1"/>
  <c r="D116" i="48"/>
  <c r="G170" i="32"/>
  <c r="D192" i="48"/>
  <c r="E112" i="35"/>
  <c r="G194" i="32"/>
  <c r="G193" s="1"/>
  <c r="G192" s="1"/>
  <c r="G191" s="1"/>
  <c r="G190" s="1"/>
  <c r="G188" s="1"/>
  <c r="E149" i="35"/>
  <c r="G214" i="32"/>
  <c r="G213" s="1"/>
  <c r="G212" s="1"/>
  <c r="G211" s="1"/>
  <c r="G210" s="1"/>
  <c r="G208" s="1"/>
  <c r="I27" i="41"/>
  <c r="I26" s="1"/>
  <c r="I18" s="1"/>
  <c r="D203" i="48" l="1"/>
  <c r="G179" i="32"/>
  <c r="D103" i="27" s="1"/>
  <c r="D136" i="29" s="1"/>
  <c r="D97" i="27"/>
  <c r="D228" i="48"/>
  <c r="G206" i="32"/>
  <c r="D128" i="27"/>
  <c r="I55" i="41"/>
  <c r="I53"/>
  <c r="D175" i="29" l="1"/>
  <c r="D115" i="27"/>
  <c r="G204" i="32"/>
  <c r="D141" i="27"/>
  <c r="D124" i="29"/>
  <c r="D90" i="27"/>
  <c r="G168" i="32"/>
  <c r="G103" s="1"/>
  <c r="G101" s="1"/>
  <c r="I52" i="41"/>
  <c r="I51" s="1"/>
  <c r="I10" s="1"/>
  <c r="D188" i="29" l="1"/>
  <c r="D134" i="27"/>
  <c r="G34" i="32"/>
  <c r="G32" s="1"/>
  <c r="G19" s="1"/>
  <c r="G17" s="1"/>
  <c r="I175" i="41"/>
  <c r="I172" l="1"/>
  <c r="H122" i="36" l="1"/>
  <c r="H120" s="1"/>
  <c r="G122"/>
  <c r="G120" s="1"/>
  <c r="F122"/>
  <c r="F120" s="1"/>
  <c r="E122"/>
  <c r="E120" s="1"/>
  <c r="F126"/>
  <c r="F124" s="1"/>
  <c r="G126"/>
  <c r="G124" s="1"/>
  <c r="H126"/>
  <c r="H124" s="1"/>
  <c r="E126"/>
  <c r="E124" s="1"/>
  <c r="D129"/>
  <c r="H162" i="35" s="1"/>
  <c r="H161" s="1"/>
  <c r="D127" i="36"/>
  <c r="F118"/>
  <c r="G118"/>
  <c r="H118"/>
  <c r="E118"/>
  <c r="H160" i="35" l="1"/>
  <c r="H159" s="1"/>
  <c r="H157" s="1"/>
  <c r="J223" i="32" s="1"/>
  <c r="F159" i="35"/>
  <c r="F157" s="1"/>
  <c r="H223" i="32" s="1"/>
  <c r="G159" i="35"/>
  <c r="G157" s="1"/>
  <c r="I223" i="32" s="1"/>
  <c r="D128" i="36"/>
  <c r="D119"/>
  <c r="D118"/>
  <c r="H116"/>
  <c r="G116"/>
  <c r="F116"/>
  <c r="D123"/>
  <c r="H154" i="35" s="1"/>
  <c r="F147" l="1"/>
  <c r="F145" s="1"/>
  <c r="H148"/>
  <c r="H147" s="1"/>
  <c r="H145" s="1"/>
  <c r="J64" i="32" s="1"/>
  <c r="J63" s="1"/>
  <c r="J62" s="1"/>
  <c r="J61" s="1"/>
  <c r="J60" s="1"/>
  <c r="J58" s="1"/>
  <c r="J56" s="1"/>
  <c r="G148" i="35"/>
  <c r="D126" i="36"/>
  <c r="D124"/>
  <c r="E116"/>
  <c r="D116" s="1"/>
  <c r="E116" i="48" l="1"/>
  <c r="G116"/>
  <c r="F143" i="35"/>
  <c r="H47" i="32"/>
  <c r="H155" i="35"/>
  <c r="G155"/>
  <c r="G147"/>
  <c r="G145" s="1"/>
  <c r="I64" i="32" s="1"/>
  <c r="I63" s="1"/>
  <c r="I62" s="1"/>
  <c r="I61" s="1"/>
  <c r="I60" s="1"/>
  <c r="I58" s="1"/>
  <c r="I56" s="1"/>
  <c r="H143" i="35"/>
  <c r="F155"/>
  <c r="H44" i="32" l="1"/>
  <c r="H43" s="1"/>
  <c r="H42" s="1"/>
  <c r="H40" s="1"/>
  <c r="E128" i="27"/>
  <c r="G128"/>
  <c r="G143" i="35"/>
  <c r="J80" i="47"/>
  <c r="J79" s="1"/>
  <c r="J78" s="1"/>
  <c r="J77" s="1"/>
  <c r="J75" s="1"/>
  <c r="J73" s="1"/>
  <c r="J71" s="1"/>
  <c r="H222" i="32"/>
  <c r="H221" s="1"/>
  <c r="H220" s="1"/>
  <c r="H219" s="1"/>
  <c r="H217" s="1"/>
  <c r="H80" i="47"/>
  <c r="H79" s="1"/>
  <c r="H78" s="1"/>
  <c r="H77" s="1"/>
  <c r="H75" s="1"/>
  <c r="H73" s="1"/>
  <c r="H71" s="1"/>
  <c r="I222" i="32"/>
  <c r="I221" s="1"/>
  <c r="I220" s="1"/>
  <c r="I219" s="1"/>
  <c r="I217" s="1"/>
  <c r="I80" i="47"/>
  <c r="I79" s="1"/>
  <c r="I78" s="1"/>
  <c r="I77" s="1"/>
  <c r="I75" s="1"/>
  <c r="I73" s="1"/>
  <c r="I71" s="1"/>
  <c r="J47" i="32"/>
  <c r="E175" i="29" l="1"/>
  <c r="G175"/>
  <c r="H38" i="32"/>
  <c r="E105" i="48"/>
  <c r="J44" i="32"/>
  <c r="J43" s="1"/>
  <c r="J42" s="1"/>
  <c r="J40" s="1"/>
  <c r="H215"/>
  <c r="E147" i="27" s="1"/>
  <c r="E198" i="29" s="1"/>
  <c r="E238" i="48"/>
  <c r="I215" i="32"/>
  <c r="F147" i="27" s="1"/>
  <c r="F198" i="29" s="1"/>
  <c r="F238" i="48"/>
  <c r="F116"/>
  <c r="J222" i="32"/>
  <c r="J221" s="1"/>
  <c r="J220" s="1"/>
  <c r="J219" s="1"/>
  <c r="J217" s="1"/>
  <c r="I47"/>
  <c r="D30" i="36"/>
  <c r="F103"/>
  <c r="F97" s="1"/>
  <c r="G103"/>
  <c r="H103"/>
  <c r="H97" s="1"/>
  <c r="E103"/>
  <c r="D104"/>
  <c r="H124" i="35" s="1"/>
  <c r="D21" i="36"/>
  <c r="H22" i="35" s="1"/>
  <c r="D20" i="36"/>
  <c r="H36" i="32" l="1"/>
  <c r="E122" i="27"/>
  <c r="J38" i="32"/>
  <c r="G105" i="48"/>
  <c r="H34" i="32"/>
  <c r="H32" s="1"/>
  <c r="H19" s="1"/>
  <c r="H17" s="1"/>
  <c r="I44"/>
  <c r="I43" s="1"/>
  <c r="I42" s="1"/>
  <c r="I40" s="1"/>
  <c r="I38" s="1"/>
  <c r="J215"/>
  <c r="G147" i="27" s="1"/>
  <c r="G198" i="29" s="1"/>
  <c r="G238" i="48"/>
  <c r="F128" i="27"/>
  <c r="F21" i="35"/>
  <c r="F123"/>
  <c r="F33"/>
  <c r="F31" s="1"/>
  <c r="F153"/>
  <c r="F151" s="1"/>
  <c r="D122" i="36"/>
  <c r="D120"/>
  <c r="D103"/>
  <c r="D101"/>
  <c r="H122" i="35" s="1"/>
  <c r="H120" s="1"/>
  <c r="G97" i="36"/>
  <c r="E164" i="29" l="1"/>
  <c r="E115" i="27"/>
  <c r="I36" i="32"/>
  <c r="F122" i="27"/>
  <c r="F164" i="29" s="1"/>
  <c r="J36" i="32"/>
  <c r="J34" s="1"/>
  <c r="J32" s="1"/>
  <c r="J19" s="1"/>
  <c r="J17" s="1"/>
  <c r="G122" i="27"/>
  <c r="G164" i="29" s="1"/>
  <c r="F175"/>
  <c r="F115" i="27"/>
  <c r="F105" i="48"/>
  <c r="F149" i="35"/>
  <c r="H214" i="32"/>
  <c r="H213" s="1"/>
  <c r="H212" s="1"/>
  <c r="H211" s="1"/>
  <c r="H210" s="1"/>
  <c r="H208" s="1"/>
  <c r="H206" s="1"/>
  <c r="F118" i="35"/>
  <c r="G153"/>
  <c r="G151" s="1"/>
  <c r="G21"/>
  <c r="H21"/>
  <c r="G33"/>
  <c r="G31" s="1"/>
  <c r="H33"/>
  <c r="H31" s="1"/>
  <c r="G123"/>
  <c r="F25"/>
  <c r="D28" i="36"/>
  <c r="D99"/>
  <c r="E97"/>
  <c r="D97" s="1"/>
  <c r="D23"/>
  <c r="H24" i="35" s="1"/>
  <c r="H23" s="1"/>
  <c r="G115" i="27" l="1"/>
  <c r="I34" i="32"/>
  <c r="I32" s="1"/>
  <c r="I19" s="1"/>
  <c r="I17" s="1"/>
  <c r="F112" i="35"/>
  <c r="H194" i="32"/>
  <c r="H193" s="1"/>
  <c r="G149" i="35"/>
  <c r="I214" i="32"/>
  <c r="I213" s="1"/>
  <c r="I212" s="1"/>
  <c r="I211" s="1"/>
  <c r="I210" s="1"/>
  <c r="I208" s="1"/>
  <c r="I206" s="1"/>
  <c r="E228" i="48"/>
  <c r="E141" i="27"/>
  <c r="H204" i="32"/>
  <c r="H69" i="47"/>
  <c r="G25" i="35"/>
  <c r="G118"/>
  <c r="H153"/>
  <c r="H151" s="1"/>
  <c r="H25"/>
  <c r="H123"/>
  <c r="D22" i="36"/>
  <c r="F228" i="48" l="1"/>
  <c r="H68" i="47"/>
  <c r="H67" s="1"/>
  <c r="H66" s="1"/>
  <c r="H64" s="1"/>
  <c r="H62" s="1"/>
  <c r="H60" s="1"/>
  <c r="H58" s="1"/>
  <c r="F141" i="27"/>
  <c r="I204" i="32"/>
  <c r="E134" i="27"/>
  <c r="E188" i="29"/>
  <c r="G112" i="35"/>
  <c r="I194" i="32"/>
  <c r="H149" i="35"/>
  <c r="J214" i="32"/>
  <c r="J213" s="1"/>
  <c r="J212" s="1"/>
  <c r="J211" s="1"/>
  <c r="J210" s="1"/>
  <c r="J208" s="1"/>
  <c r="H192"/>
  <c r="H191" s="1"/>
  <c r="H190" s="1"/>
  <c r="H188" s="1"/>
  <c r="I193"/>
  <c r="I69" i="47"/>
  <c r="H118" i="35"/>
  <c r="D18" i="36"/>
  <c r="D17"/>
  <c r="I68" i="47" l="1"/>
  <c r="I67" s="1"/>
  <c r="I66" s="1"/>
  <c r="I64" s="1"/>
  <c r="I62" s="1"/>
  <c r="I60" s="1"/>
  <c r="I58" s="1"/>
  <c r="H112" i="35"/>
  <c r="J194" i="32"/>
  <c r="H179"/>
  <c r="E103" i="27" s="1"/>
  <c r="E136" i="29" s="1"/>
  <c r="E203" i="48"/>
  <c r="F134" i="27"/>
  <c r="F188" i="29"/>
  <c r="J206" i="32"/>
  <c r="G228" i="48"/>
  <c r="I192" i="32"/>
  <c r="I191" s="1"/>
  <c r="I190" s="1"/>
  <c r="I188" s="1"/>
  <c r="H19" i="35"/>
  <c r="E19"/>
  <c r="E18" s="1"/>
  <c r="E16" s="1"/>
  <c r="F19"/>
  <c r="F18" s="1"/>
  <c r="G19"/>
  <c r="G18" s="1"/>
  <c r="J193" i="32"/>
  <c r="D15" i="36"/>
  <c r="I179" i="32" l="1"/>
  <c r="F103" i="27" s="1"/>
  <c r="F136" i="29" s="1"/>
  <c r="F203" i="48"/>
  <c r="G141" i="27"/>
  <c r="J204" i="32"/>
  <c r="J192"/>
  <c r="J191" s="1"/>
  <c r="J190" s="1"/>
  <c r="J188" s="1"/>
  <c r="E14" i="35"/>
  <c r="G134" i="32"/>
  <c r="G133" s="1"/>
  <c r="G132" s="1"/>
  <c r="G131" s="1"/>
  <c r="G130" s="1"/>
  <c r="G128" s="1"/>
  <c r="G16" i="35"/>
  <c r="F16"/>
  <c r="H18"/>
  <c r="J179" i="32" l="1"/>
  <c r="G103" i="27" s="1"/>
  <c r="G136" i="29" s="1"/>
  <c r="G203" i="48"/>
  <c r="G126" i="32"/>
  <c r="D21" i="27" s="1"/>
  <c r="D152" i="48"/>
  <c r="G134" i="27"/>
  <c r="G188" i="29"/>
  <c r="G124" i="32"/>
  <c r="F14" i="35"/>
  <c r="H134" i="32"/>
  <c r="H133" s="1"/>
  <c r="G14" i="35"/>
  <c r="I134" i="32"/>
  <c r="I133" s="1"/>
  <c r="H16" i="35"/>
  <c r="J134" i="32" s="1"/>
  <c r="D14" i="27" l="1"/>
  <c r="D12" s="1"/>
  <c r="D10" s="1"/>
  <c r="D25" i="29"/>
  <c r="G122" i="32"/>
  <c r="G120" s="1"/>
  <c r="G118" s="1"/>
  <c r="G86" s="1"/>
  <c r="G84" s="1"/>
  <c r="G82" s="1"/>
  <c r="H132"/>
  <c r="H131" s="1"/>
  <c r="H130" s="1"/>
  <c r="H128" s="1"/>
  <c r="E152" i="48" s="1"/>
  <c r="H14" i="35"/>
  <c r="J133" i="32"/>
  <c r="I132"/>
  <c r="I131" s="1"/>
  <c r="I130" s="1"/>
  <c r="I128" s="1"/>
  <c r="F152" i="48" s="1"/>
  <c r="I154" i="41"/>
  <c r="J70" i="47" l="1"/>
  <c r="J69" s="1"/>
  <c r="J202" i="32"/>
  <c r="J201" s="1"/>
  <c r="J200" s="1"/>
  <c r="J199" s="1"/>
  <c r="J197" s="1"/>
  <c r="J195" s="1"/>
  <c r="J281" s="1"/>
  <c r="G67"/>
  <c r="G65" s="1"/>
  <c r="J132"/>
  <c r="J131" s="1"/>
  <c r="J130" s="1"/>
  <c r="J128" s="1"/>
  <c r="G152" i="48" s="1"/>
  <c r="I126" i="32"/>
  <c r="I124" s="1"/>
  <c r="H126"/>
  <c r="H124" s="1"/>
  <c r="G110" i="35"/>
  <c r="G108" s="1"/>
  <c r="F110"/>
  <c r="F108" s="1"/>
  <c r="F93" i="36"/>
  <c r="H93"/>
  <c r="E95"/>
  <c r="E93" s="1"/>
  <c r="J289" i="32" l="1"/>
  <c r="J31" i="47" s="1"/>
  <c r="G15" i="32"/>
  <c r="G13" s="1"/>
  <c r="G12" s="1"/>
  <c r="G10" s="1"/>
  <c r="F106" i="35"/>
  <c r="H178" i="32"/>
  <c r="J68" i="47"/>
  <c r="J67" s="1"/>
  <c r="J66" s="1"/>
  <c r="J64" s="1"/>
  <c r="J62" s="1"/>
  <c r="J60" s="1"/>
  <c r="J58" s="1"/>
  <c r="G109" i="27"/>
  <c r="G106" i="35"/>
  <c r="I178" i="32"/>
  <c r="J126"/>
  <c r="J124" s="1"/>
  <c r="E21" i="27"/>
  <c r="F21"/>
  <c r="I56" i="47"/>
  <c r="I54" s="1"/>
  <c r="I52" s="1"/>
  <c r="I153" i="32"/>
  <c r="I152" s="1"/>
  <c r="I151" s="1"/>
  <c r="I150" s="1"/>
  <c r="I148" s="1"/>
  <c r="J153"/>
  <c r="J152" s="1"/>
  <c r="J151" s="1"/>
  <c r="J150" s="1"/>
  <c r="J148" s="1"/>
  <c r="H153"/>
  <c r="H152" s="1"/>
  <c r="H151" s="1"/>
  <c r="H150" s="1"/>
  <c r="I33" i="47" l="1"/>
  <c r="I32" s="1"/>
  <c r="I146" i="32"/>
  <c r="F59" i="27" s="1"/>
  <c r="F77" i="29" s="1"/>
  <c r="F165" i="48"/>
  <c r="G148" i="29"/>
  <c r="F14" i="27"/>
  <c r="F25" i="29"/>
  <c r="J146" i="32"/>
  <c r="G59" i="27" s="1"/>
  <c r="G77" i="29" s="1"/>
  <c r="G165" i="48"/>
  <c r="E14" i="27"/>
  <c r="E25" i="29"/>
  <c r="G21" i="27"/>
  <c r="H177" i="32"/>
  <c r="H176" s="1"/>
  <c r="H175" s="1"/>
  <c r="H174" s="1"/>
  <c r="H172" s="1"/>
  <c r="I177"/>
  <c r="I176" s="1"/>
  <c r="I175" s="1"/>
  <c r="I174" s="1"/>
  <c r="I172" s="1"/>
  <c r="H148"/>
  <c r="I144" l="1"/>
  <c r="I170"/>
  <c r="F192" i="48"/>
  <c r="H170" i="32"/>
  <c r="E192" i="48"/>
  <c r="H146" i="32"/>
  <c r="E59" i="27" s="1"/>
  <c r="E77" i="29" s="1"/>
  <c r="E165" i="48"/>
  <c r="F52" i="27"/>
  <c r="J144" i="32"/>
  <c r="G14" i="27"/>
  <c r="G25" i="29"/>
  <c r="G52" i="27"/>
  <c r="I103" i="32" l="1"/>
  <c r="H144"/>
  <c r="I168"/>
  <c r="I122" s="1"/>
  <c r="I120" s="1"/>
  <c r="I118" s="1"/>
  <c r="F97" i="27"/>
  <c r="H168" i="32"/>
  <c r="E97" i="27"/>
  <c r="E52"/>
  <c r="I86" i="32" l="1"/>
  <c r="I84" s="1"/>
  <c r="I82" s="1"/>
  <c r="H103"/>
  <c r="H122"/>
  <c r="H120" s="1"/>
  <c r="H118" s="1"/>
  <c r="H82" s="1"/>
  <c r="F124" i="29"/>
  <c r="F90" i="27"/>
  <c r="F12" s="1"/>
  <c r="E124" i="29"/>
  <c r="E90" i="27"/>
  <c r="E12" s="1"/>
  <c r="I67" i="32"/>
  <c r="I65" s="1"/>
  <c r="H67"/>
  <c r="H65" s="1"/>
  <c r="I152" i="41"/>
  <c r="H86" i="32" l="1"/>
  <c r="H84" s="1"/>
  <c r="H15"/>
  <c r="H13" s="1"/>
  <c r="I15"/>
  <c r="I13" s="1"/>
  <c r="I12" s="1"/>
  <c r="I151" i="41"/>
  <c r="D96" i="36"/>
  <c r="H111" i="35" s="1"/>
  <c r="H110" s="1"/>
  <c r="H108" s="1"/>
  <c r="H12" i="32" l="1"/>
  <c r="I63" i="41"/>
  <c r="H106" i="35"/>
  <c r="J178" i="32"/>
  <c r="D95" i="36"/>
  <c r="G93"/>
  <c r="H11"/>
  <c r="E11"/>
  <c r="J56" i="47" l="1"/>
  <c r="J54" s="1"/>
  <c r="J52" s="1"/>
  <c r="J177" i="32"/>
  <c r="J176" s="1"/>
  <c r="J175" s="1"/>
  <c r="J174" s="1"/>
  <c r="J172" s="1"/>
  <c r="G11" i="36"/>
  <c r="F11"/>
  <c r="J33" i="47" l="1"/>
  <c r="J32" s="1"/>
  <c r="J170" i="32"/>
  <c r="G192" i="48"/>
  <c r="D93" i="36"/>
  <c r="J168" i="32" l="1"/>
  <c r="G97" i="27"/>
  <c r="J67" i="32"/>
  <c r="J65" s="1"/>
  <c r="C10" i="46"/>
  <c r="D11" i="36"/>
  <c r="D13"/>
  <c r="J122" i="32" l="1"/>
  <c r="J120" s="1"/>
  <c r="J118" s="1"/>
  <c r="J103"/>
  <c r="J86"/>
  <c r="J84" s="1"/>
  <c r="J15"/>
  <c r="J13" s="1"/>
  <c r="G124" i="29"/>
  <c r="G90" i="27"/>
  <c r="G12" s="1"/>
  <c r="J280" i="32"/>
  <c r="J279" s="1"/>
  <c r="J278" s="1"/>
  <c r="J276" s="1"/>
  <c r="J30" i="47"/>
  <c r="J29" s="1"/>
  <c r="J28" s="1"/>
  <c r="J26" s="1"/>
  <c r="J24" s="1"/>
  <c r="J22" s="1"/>
  <c r="J20" s="1"/>
  <c r="J18" s="1"/>
  <c r="J16" s="1"/>
  <c r="J14" s="1"/>
  <c r="J13" s="1"/>
  <c r="J11" s="1"/>
  <c r="J82" i="32" l="1"/>
  <c r="J12" s="1"/>
  <c r="J274"/>
  <c r="G185" i="27" s="1"/>
  <c r="G264" i="29" s="1"/>
  <c r="G292" i="48"/>
  <c r="J272" i="32"/>
  <c r="J270" s="1"/>
  <c r="J288"/>
  <c r="J287" s="1"/>
  <c r="J286" s="1"/>
  <c r="J284" s="1"/>
  <c r="J268"/>
  <c r="J266" s="1"/>
  <c r="J264" s="1"/>
  <c r="J263" s="1"/>
  <c r="J10" l="1"/>
  <c r="J282"/>
  <c r="G191" i="27" s="1"/>
  <c r="G273" i="29" s="1"/>
  <c r="G301" i="48"/>
  <c r="I280" i="32"/>
  <c r="I279" s="1"/>
  <c r="I278" s="1"/>
  <c r="I276" s="1"/>
  <c r="I30" i="47"/>
  <c r="I29" s="1"/>
  <c r="I28" s="1"/>
  <c r="I26" s="1"/>
  <c r="I24" s="1"/>
  <c r="I22" s="1"/>
  <c r="I20" s="1"/>
  <c r="I18" s="1"/>
  <c r="I16" s="1"/>
  <c r="I14" s="1"/>
  <c r="I13" s="1"/>
  <c r="I11" s="1"/>
  <c r="I274" i="32" l="1"/>
  <c r="F185" i="27" s="1"/>
  <c r="F264" i="29" s="1"/>
  <c r="F292" i="48"/>
  <c r="G179" i="27"/>
  <c r="G177" s="1"/>
  <c r="G10" s="1"/>
  <c r="I288" i="32"/>
  <c r="I287" s="1"/>
  <c r="I286" s="1"/>
  <c r="I284" s="1"/>
  <c r="I268"/>
  <c r="I266" s="1"/>
  <c r="I264" s="1"/>
  <c r="I263" s="1"/>
  <c r="I10" s="1"/>
  <c r="I272"/>
  <c r="I270" s="1"/>
  <c r="I282" l="1"/>
  <c r="F191" i="27" s="1"/>
  <c r="F273" i="29" s="1"/>
  <c r="F301" i="48"/>
  <c r="F179" i="27" l="1"/>
  <c r="F177" s="1"/>
  <c r="F10" s="1"/>
  <c r="H280" i="32"/>
  <c r="H279" s="1"/>
  <c r="H278" s="1"/>
  <c r="H276" s="1"/>
  <c r="H30" i="47"/>
  <c r="H29" s="1"/>
  <c r="H28" s="1"/>
  <c r="H26" s="1"/>
  <c r="H24" s="1"/>
  <c r="H22" s="1"/>
  <c r="H20" s="1"/>
  <c r="H18" s="1"/>
  <c r="H16" s="1"/>
  <c r="H14" s="1"/>
  <c r="H13" s="1"/>
  <c r="H274" i="32" l="1"/>
  <c r="E185" i="27" s="1"/>
  <c r="E264" i="29" s="1"/>
  <c r="E292" i="48"/>
  <c r="H268" i="32"/>
  <c r="H266" s="1"/>
  <c r="H264" s="1"/>
  <c r="H263" s="1"/>
  <c r="H10" s="1"/>
  <c r="H272"/>
  <c r="H270" s="1"/>
  <c r="H288"/>
  <c r="H287" s="1"/>
  <c r="H286" s="1"/>
  <c r="H284" s="1"/>
  <c r="H282" l="1"/>
  <c r="E191" i="27" s="1"/>
  <c r="E273" i="29" s="1"/>
  <c r="E301" i="48"/>
  <c r="H56" i="47"/>
  <c r="H54" s="1"/>
  <c r="H52" s="1"/>
  <c r="H33" s="1"/>
  <c r="H32" s="1"/>
  <c r="H11" l="1"/>
  <c r="E179" i="27"/>
  <c r="E177" s="1"/>
  <c r="E10" s="1"/>
</calcChain>
</file>

<file path=xl/sharedStrings.xml><?xml version="1.0" encoding="utf-8"?>
<sst xmlns="http://schemas.openxmlformats.org/spreadsheetml/2006/main" count="2948" uniqueCount="537">
  <si>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</si>
  <si>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</si>
  <si>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</si>
  <si>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</si>
  <si>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</si>
  <si>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</si>
  <si>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</si>
  <si>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</si>
  <si>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</si>
  <si>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</si>
  <si>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</si>
  <si>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</si>
  <si>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 xml:space="preserve"> Առաջին կիսամյակ </t>
  </si>
  <si>
    <t xml:space="preserve"> Ինն ամիս </t>
  </si>
  <si>
    <t xml:space="preserve"> Տարի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</si>
  <si>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</si>
  <si>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</si>
  <si>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</si>
  <si>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</si>
  <si>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</si>
  <si>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</si>
  <si>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 xml:space="preserve"> Միջոցառում</t>
  </si>
  <si>
    <t>Ծրագրի միջոցառումներ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</si>
  <si>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</si>
  <si>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ՀՀ կառավարության պահուստային ֆոնդ</t>
  </si>
  <si>
    <t xml:space="preserve"> այդ թվում`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</si>
  <si>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</si>
  <si>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</si>
  <si>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</si>
  <si>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</si>
  <si>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Պահուստային միջոցներ</t>
  </si>
  <si>
    <t xml:space="preserve"> ԸՆԴԱՄԵՆԸ</t>
  </si>
  <si>
    <t>հազ. դրամներով</t>
  </si>
  <si>
    <t xml:space="preserve"> Գործառական դասիչը</t>
  </si>
  <si>
    <t>Ցուցանիշների փոփոխությունը (ավելացումները նշված են դրական նշանով, իսկ նվազեցումները` փակագծերում)</t>
  </si>
  <si>
    <t xml:space="preserve"> Բաժին</t>
  </si>
  <si>
    <t xml:space="preserve"> Խումբ</t>
  </si>
  <si>
    <t xml:space="preserve"> Դաս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</si>
  <si>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</si>
  <si>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</si>
  <si>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</si>
  <si>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>02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</si>
  <si>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</si>
  <si>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</si>
  <si>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</si>
  <si>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</si>
  <si>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</si>
  <si>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</si>
  <si>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</si>
  <si>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Ցուցանիշների փոփոխությունը (նվազեցումները նշված են  փակագծերում)</t>
  </si>
  <si>
    <t xml:space="preserve">Միջոցառումն իրականացնողի անվանումը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</si>
  <si>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</si>
  <si>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</si>
  <si>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</si>
  <si>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</si>
  <si>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</si>
  <si>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</si>
  <si>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</si>
  <si>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>այդ թվում</t>
  </si>
  <si>
    <t>ՀՀ կրթության, գիտության, մշակույթի և սպորտի նախարարություն</t>
  </si>
  <si>
    <t xml:space="preserve"> ԱՅԼ  ԾԱԽՍԵՐ</t>
  </si>
  <si>
    <t xml:space="preserve"> ԿՐԹՈՒԹՅՈՒՆ</t>
  </si>
  <si>
    <t>Կրթությանը տրամադրվող օժանդակ ծառայություններ</t>
  </si>
  <si>
    <t>ՀՀ կառավարություն</t>
  </si>
  <si>
    <t>09</t>
  </si>
  <si>
    <t>06</t>
  </si>
  <si>
    <t xml:space="preserve">այդ թվում՝ բյուջետային ծախսերի տնտեսագիտական դասակարգման հոդվածներ
</t>
  </si>
  <si>
    <t>ԸՆԴԱՄԵՆԸ ԾԱԽՍԵՐ</t>
  </si>
  <si>
    <t>Մասսայական սպորտ</t>
  </si>
  <si>
    <t>ՈՉ ՖԻՆԱՆՍԱԿԱՆ ԱԿՏԻՎՆԵՐԻ ԳԾՈՎ ԾԱԽՍԵՐ</t>
  </si>
  <si>
    <t>ՀԻՄՆԱԿԱՆ ՄԻՋՈՑՆԵՐ</t>
  </si>
  <si>
    <t>ՇԵՆՔԵՐ ԵՎ ՇԻՆՈՒԹՅՈՒՆՆԵՐ</t>
  </si>
  <si>
    <t>-Շենքերի և շինությունների շինարարություն</t>
  </si>
  <si>
    <t xml:space="preserve"> Մասսայական սպորտ</t>
  </si>
  <si>
    <t xml:space="preserve"> Բնակչության շրջանում առողջ ապրելակերպի արմատավորում, անհատի բազմակողմանի ու ներդաշնակ զարգացման գործում ֆիզիկական կուլտուրայի և սպորտի դերի բարձրացում</t>
  </si>
  <si>
    <t xml:space="preserve"> Սպորտի նկատմամբ հետաքրքրվածության և մասնակցության ընդլայնում</t>
  </si>
  <si>
    <t xml:space="preserve"> Աջակցություն համայնքներին մարզական հաստատությունների շենքային պայմանների բարելավման համար</t>
  </si>
  <si>
    <t xml:space="preserve"> Համայնքային ենթակայության մարզական հաստատությունների  վերանորոգում և կառուցում</t>
  </si>
  <si>
    <t xml:space="preserve"> Տրանսֆերտների տրամադրում</t>
  </si>
  <si>
    <t>05</t>
  </si>
  <si>
    <t xml:space="preserve"> Ծրագրի միջոցառումներ</t>
  </si>
  <si>
    <t xml:space="preserve">
1192</t>
  </si>
  <si>
    <t>Համայնքային ենթակայության մարզական հաստատություններ</t>
  </si>
  <si>
    <t>Կառուցման ենթակա օբյեկտների թիվ, հատ</t>
  </si>
  <si>
    <t>Ծառայությունների մատուցում</t>
  </si>
  <si>
    <t>Ծրագրային դասիչ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</si>
  <si>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</si>
  <si>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>Առաջին կիսամյակ</t>
  </si>
  <si>
    <t>Ինն ամիս</t>
  </si>
  <si>
    <t>Տարի</t>
  </si>
  <si>
    <t>Ծրագիր</t>
  </si>
  <si>
    <t>Միջոցառում</t>
  </si>
  <si>
    <t>այդ թվում` ըստ կատարողների</t>
  </si>
  <si>
    <t>Աջակցություն համայնքներին մարզական հաստատությունների շենքային պայմանների բարելավման համար</t>
  </si>
  <si>
    <t xml:space="preserve"> այդ թվում` ըստ կատարողների</t>
  </si>
  <si>
    <t>Շահառուների ընտրության չափանիշները</t>
  </si>
  <si>
    <t>ՀՀ ԿՐԹՈՒԹՅԱՆ, ԳԻՏՈՒԹՅԱՆ, ՄՇԱԿՈՒՅԹԻ ԵՎ ՍՊՈՐՏԻ ՆԱԽԱՐԱՐՈՒԹՅՈՒՆ</t>
  </si>
  <si>
    <t>այդ  թվում՝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</si>
  <si>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</si>
  <si>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</si>
  <si>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</si>
  <si>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</si>
  <si>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</si>
  <si>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</si>
  <si>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</si>
  <si>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</si>
  <si>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</si>
  <si>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</si>
  <si>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 xml:space="preserve"> Այլ պետական կազմակերպությունների կողմից օգտագործվող ոչ ֆինանսական ակտիվների հետ գործառնություններ</t>
  </si>
  <si>
    <t>Մարզական օբյեկտների շինարարություն</t>
  </si>
  <si>
    <t>ՀՀ քաղաքաշինության կոմիտե</t>
  </si>
  <si>
    <t xml:space="preserve"> 1139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</si>
  <si>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</si>
  <si>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</si>
  <si>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</si>
  <si>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11</t>
  </si>
  <si>
    <t xml:space="preserve"> ԱՅԼ ԾԱԽՍԵՐ</t>
  </si>
  <si>
    <t>ՀՀ կառավարության պահուստային ֆոնդ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</si>
  <si>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</si>
  <si>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Ծրագրի դասիչը
</t>
  </si>
  <si>
    <t>Աղյուսակ 9․47</t>
  </si>
  <si>
    <t xml:space="preserve"> Պահուստային ֆոնդի կառավարման արդյունավետության և թափանցիկության ապահովում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</si>
  <si>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</si>
  <si>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</si>
  <si>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</si>
  <si>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</si>
  <si>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</si>
  <si>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</si>
  <si>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Գումարը (հազար դրամ)</t>
  </si>
  <si>
    <t>ԳՀ</t>
  </si>
  <si>
    <t>Բաժին N 09</t>
  </si>
  <si>
    <t>Խումբ N 06</t>
  </si>
  <si>
    <t>Դաս N 01</t>
  </si>
  <si>
    <t xml:space="preserve"> ՄԱՍ II.  ԱՇԽԱՏԱՆՔՆԵՐ</t>
  </si>
  <si>
    <t xml:space="preserve"> դրամ</t>
  </si>
  <si>
    <t xml:space="preserve"> </t>
  </si>
  <si>
    <t xml:space="preserve"> ՄԱՍ III. ԾԱՌԱՅՈՒԹՅՈՒՆՆԵՐ</t>
  </si>
  <si>
    <t>տեխնիկական հսկողության ծառայություններ</t>
  </si>
  <si>
    <t>հեղինակային հսկողության ծառայություններ</t>
  </si>
  <si>
    <t>Հավելված N 1</t>
  </si>
  <si>
    <t>Հավելված N 2</t>
  </si>
  <si>
    <t xml:space="preserve"> ______________ ի    ___Ն որոշման</t>
  </si>
  <si>
    <t>Հավելված N 3</t>
  </si>
  <si>
    <t>Հավելված N 6</t>
  </si>
  <si>
    <t>Հավելված N 4</t>
  </si>
  <si>
    <t>Հավելված N 8</t>
  </si>
  <si>
    <t>ՀՀ Շիրակի մարզ</t>
  </si>
  <si>
    <t>«Արթուր Ալեքսանյանի անվան հունահռոմեական ըմբշամարտի մանկապատանեկան դպրոց» նոր սպորտային համալիր</t>
  </si>
  <si>
    <t>այդ թվում` ըստ ուղղությունների</t>
  </si>
  <si>
    <t>01</t>
  </si>
  <si>
    <t>Նախնական (արհեստագործական) և միջին մասնագիտական կրթություն</t>
  </si>
  <si>
    <t xml:space="preserve"> Բարձրագույն և հետբուհական մասնագիտական կրթության ծրագիր</t>
  </si>
  <si>
    <t xml:space="preserve">Աջակցություն համայնքներին մարզական հաստատությունների շենքային պայմանների բարելավման համար
</t>
  </si>
  <si>
    <t xml:space="preserve"> Աշխատաշուկայի արդի պահանջներին համապատասխան նախնական մասնագիտական (արհեստագործական) և միջին մասնագիտական կրթության որակավորում ունեցող մասնագետների պատրաստում, կրթության մատչելիության ապահովում:</t>
  </si>
  <si>
    <t xml:space="preserve"> Նախնական (արհեստագործական) և միջին մասնագիտական կրթության գրավչության բարձրացում, մատչելի և մրցունակ նախնական (արհեստագործական)  և միջին մասնագիտական կրթության ապահովում</t>
  </si>
  <si>
    <t xml:space="preserve"> Ապահովել մատչելի, որակյալ և մրցունակ բարձրագույն և հետբուհական մասնագիտական կրթություն:</t>
  </si>
  <si>
    <t xml:space="preserve"> Գիտելիքների տնտեսության և գիտության զարգացման արդի պահանջներին համապատասխան բարձրագույն և հետբուհական մասնագիտական որակավորում ունեցող մասնագետների պատրաստում</t>
  </si>
  <si>
    <t xml:space="preserve"> Մասնագիտացված կազմակերպություն </t>
  </si>
  <si>
    <t xml:space="preserve">ՄԱՍ 1. ՊԵՏԱԿԱՆ ՄԱՐՄՆԻ ԳԾՈՎ ԱՐԴՅՈՒՆՔԱՅԻՆ (ԿԱՏԱՐՈՂԱԿԱՆ) ՑՈՒՑԱՆԻՇՆԵՐԸ </t>
  </si>
  <si>
    <t>Աղյուսակ 9․1.14</t>
  </si>
  <si>
    <t>Աղյուսակ 9․1.42</t>
  </si>
  <si>
    <t>1163-12001</t>
  </si>
  <si>
    <t xml:space="preserve"> մարզական օբյեկտների շինարարական աշխատանքներ</t>
  </si>
  <si>
    <t>ՀԲՄ</t>
  </si>
  <si>
    <t>դրամ</t>
  </si>
  <si>
    <t>ՄԱ</t>
  </si>
  <si>
    <t>Հավելված N 7</t>
  </si>
  <si>
    <t xml:space="preserve">Ցուցանիշների փոփոխությունը (ավելացումները նշված են դրական նշանով)  </t>
  </si>
  <si>
    <t>հազար  դրամներով</t>
  </si>
  <si>
    <t>Ընդամենը</t>
  </si>
  <si>
    <t>Հավելված N 9</t>
  </si>
  <si>
    <t>ՀՀ ԿԱՌԱՎԱՐՈՒԹՅՈՒՆ</t>
  </si>
  <si>
    <t xml:space="preserve"> Նախնական մասնագիտական (արհեստագործական) և միջին մասնագիտական ուսումնական հաստատությունների շենքային պայմանների բարելավում</t>
  </si>
  <si>
    <t>ՀՀ Լոռու մարզ</t>
  </si>
  <si>
    <t xml:space="preserve">ք. Վանաձորի Միքայել Թավրիզյանի անվան արվեստի պետական քոլեջի վերակառուցում </t>
  </si>
  <si>
    <t>ՀՀ Տավուշի մարզ</t>
  </si>
  <si>
    <t>ՀՀ Արարատի մարզ</t>
  </si>
  <si>
    <t>ՀՀ Սյունիքի մարզ</t>
  </si>
  <si>
    <t>Երևան քաղաք</t>
  </si>
  <si>
    <t>«Նոր Գեղիի ակադեմիկոս Գ. Աղաջանյանի անվան պետական գյուղատնտեսական քոլեջ» ՊՈԱԿ</t>
  </si>
  <si>
    <t>ՀՀ Կոտայքի մարզ</t>
  </si>
  <si>
    <t>Ջրառատ համայնքում ծանրամարտի մարզադահլիճ</t>
  </si>
  <si>
    <t>ՀՀ Արմավիրի մարզ</t>
  </si>
  <si>
    <t>Կրթական օբյեկտների շենքային պայմանների բարելավում</t>
  </si>
  <si>
    <t>ՀՀ Գեղարքունիքի մարզ</t>
  </si>
  <si>
    <t>Ներդրումներ թատրոնների շենքերի կապիտալ վերանորոգման համար</t>
  </si>
  <si>
    <t>08</t>
  </si>
  <si>
    <t xml:space="preserve"> ՀԱՆԳԻՍՏ, ՄՇԱԿՈՒՅԹ ԵՎ ԿՐՈՆ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</si>
  <si>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</si>
  <si>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</si>
  <si>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</si>
  <si>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- Շենքերի և շինությունների կապիտալ վերանորոգում</t>
  </si>
  <si>
    <t xml:space="preserve"> - Նախագծահետազոտական ծախսեր</t>
  </si>
  <si>
    <t>Ապահով դպրոց</t>
  </si>
  <si>
    <t xml:space="preserve"> Մշակութային ծառայություններ</t>
  </si>
  <si>
    <t>Թատրոնների շենքերի ընթացիկ նորոգում</t>
  </si>
  <si>
    <t>Արվեստ</t>
  </si>
  <si>
    <t>Արվեստների ծրագիր</t>
  </si>
  <si>
    <t xml:space="preserve"> ՆՄՄԿՈՒ հաստատությունների շենքերի հիմնանորոգման և նախագծման (շինարարական աշխատանքներ, ջեռուցման համակարգի ստեղծում, ներքին հարդարում, տարածքի բարեկարգում) աշխատանքների իրականացում</t>
  </si>
  <si>
    <t xml:space="preserve"> Մշակութային ժառանգության ծրագիր</t>
  </si>
  <si>
    <t xml:space="preserve"> Մշակութային ժառանգության պահպանում, օգտագործում, համալրում և հանրահռչակում</t>
  </si>
  <si>
    <t xml:space="preserve"> Մշակութային ժառանգության շարունակական պահպանում, մշակութային զբոսաշրջության զարգացում և խթանում</t>
  </si>
  <si>
    <t xml:space="preserve"> Արվեստների ծրագիր</t>
  </si>
  <si>
    <t xml:space="preserve"> Նպաստել ազգային հենքի վրա ժամանակակից թատերարվեստի, երաժշտարվեստի, կերպարվեստի և պարարվեստի զարգացմանը և հանրահռչակմանը</t>
  </si>
  <si>
    <t xml:space="preserve"> Մրցունակ արվեստային արտադրանքի ստեղծում, ստեղծագործական գործընթացների խթանում, արվեստի նոր նախագծերի ներդրում և մշակութային կյանքում հասարակության ներգրավում</t>
  </si>
  <si>
    <t xml:space="preserve"> Կրթական օբյեկտների շենքային պայմանների բարելավում</t>
  </si>
  <si>
    <t xml:space="preserve"> Կրթական օբյեկտների շենքերի (մասնաշենքերի) հիմնանորոգում (համաշինարարական աշխատանքներ, ջեռուցման համակարգի իրականացում, ներքին հարդարում, տարածքի բարեկարգում) և նախագծում</t>
  </si>
  <si>
    <t xml:space="preserve"> Ապահով դպրոց</t>
  </si>
  <si>
    <t xml:space="preserve"> Դպրոցներին սպառնացող աղետների ռիսկի կառավարման կարողությունների հզորացում, դպրոցի անձնակազմի և աշակերտների անվտանգության ապահովման մակարդակի բարձրացում՛ կիրառելով ներառական և երեխայակենտրոն մոտեցում</t>
  </si>
  <si>
    <t xml:space="preserve"> Դպրոցական միջավայրի բարելավում</t>
  </si>
  <si>
    <t xml:space="preserve"> Թատրոնների շենքերի մասնաշենքերի հիմնանորոգում, համաշինարարական աշխատանք¬ներ, ջեռուցման համակարգի իրականացում, ներքին հարդարում, տարածքի բարեկարգում և նախագծում</t>
  </si>
  <si>
    <t>Մարզական օբյեկտների շենքերի (մասնաշենքերի) կառուցում (համաշինարարական աշխատանքներ, ջեռուցման համակարգի իրակա¬նացում, ներքին հարդարում, տարածքի բարեկարգում) և նախագծում</t>
  </si>
  <si>
    <t xml:space="preserve"> Տրանսֆերտների տրամադրում </t>
  </si>
  <si>
    <t xml:space="preserve"> Նախնական մասնագիտական (արհեստագործական) և միջին մասնագիտական ուսումնական հաստատությունների շենքային պայմանների բարելավում </t>
  </si>
  <si>
    <t xml:space="preserve"> ՆՄՄԿՈՒ հաստատությունների շենքերի հիմնանորոգման և նախագծման (շինարարական աշխատանքներ, ջեռուցման համակարգի ստեղծում, ներքին հարդարում, տարածքի բարեկարգում) աշխատանքների իրականացում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</si>
  <si>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</si>
  <si>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Ակտիվն օգտագործող կազմակերպությունների անվանումները </t>
  </si>
  <si>
    <t xml:space="preserve"> Մշակութային ժառանգության ծրագիր </t>
  </si>
  <si>
    <t xml:space="preserve">Այլ պետական կազմակերպությունների կողմից օգտագործվող ոչ ֆինանսական ակտիվների հետ գործառնություններ </t>
  </si>
  <si>
    <t xml:space="preserve"> Ակտիվն օգտագործող կազմակերպությունների անվանումները</t>
  </si>
  <si>
    <t xml:space="preserve"> Ծառայությունների մատուցում </t>
  </si>
  <si>
    <t>Մարզական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</t>
  </si>
  <si>
    <t xml:space="preserve"> Արվեստների ծրագիր </t>
  </si>
  <si>
    <t xml:space="preserve"> Թատրոնների շենքերի մասնաշենքերի հիմնանորոգում, համաշինարարական աշխատանքներ, ջեռուցման համակարգի իրականացում, ներքին հարդարում, տարածքի բարեկարգում և նախագծում </t>
  </si>
  <si>
    <t>Թատրոններ</t>
  </si>
  <si>
    <t>Մարզական հաստատություններ</t>
  </si>
  <si>
    <t xml:space="preserve"> Ապահով դպրոց </t>
  </si>
  <si>
    <t xml:space="preserve"> 32001 </t>
  </si>
  <si>
    <t xml:space="preserve"> Կրթական օբյեկտների շենքային պայմանների բարելավում </t>
  </si>
  <si>
    <t xml:space="preserve"> Կրթական օբյեկտների շենքերի (մասնաշենքերի) հիմնանորոգում (համաշինարարական աշխատանքներ, ջեռուցման համակարգի իրականացում, ներքին հարդարում, տարածքի բարեկարգում) և նախագծում </t>
  </si>
  <si>
    <t xml:space="preserve"> Հանրակրթական դպրոցներ </t>
  </si>
  <si>
    <t>Ակտիվն օգտագործող կազմակերպությունների անվանումները</t>
  </si>
  <si>
    <t xml:space="preserve">ՀՀ կրթության, գիտության, մշակույթի և սպորտի նախարարություն </t>
  </si>
  <si>
    <t xml:space="preserve">Հիմնանորոգվող միջին մասնագիտական ուսումնական հաստատությունների քանակ, հատ </t>
  </si>
  <si>
    <t>1163-32001</t>
  </si>
  <si>
    <t>նախագծերի պատրաստում, ծախսերի գնահատում</t>
  </si>
  <si>
    <t>փորձաքննության ծառայություններ</t>
  </si>
  <si>
    <t>1183-32001</t>
  </si>
  <si>
    <t xml:space="preserve"> կրթական օբյեկտների հիմնանորոգում</t>
  </si>
  <si>
    <t>ԲՄ</t>
  </si>
  <si>
    <t>1045-32001</t>
  </si>
  <si>
    <t>Բաժին N 08</t>
  </si>
  <si>
    <t>Խումբ N 02</t>
  </si>
  <si>
    <t>Դաս N 05</t>
  </si>
  <si>
    <t>45611100-1</t>
  </si>
  <si>
    <t>ք. Վանաձորի գյուղատնտեսական պետական քոլեջի վերակառուցում</t>
  </si>
  <si>
    <t xml:space="preserve">Ցուցանիշների փոփոխությունը (ավելացումները նշված են դրական նշանով, իսկ նվազեցումները՝ փակագծերում)  </t>
  </si>
  <si>
    <t>Բաժին</t>
  </si>
  <si>
    <t>Խումբ</t>
  </si>
  <si>
    <t>ք. Վանաձորի գյուղատնտեսական պետական քոլեջ ՊՈԱԿ</t>
  </si>
  <si>
    <t>«Գորիսի պրոֆեսոր Խ. Երիցյանի անվան պետական գյուղատնտեսական քոլեջ» ՊՈԱԿ</t>
  </si>
  <si>
    <t>Առաջին եռամսյակ</t>
  </si>
  <si>
    <t xml:space="preserve">Ցուցանիշների փոփոխությունը (ավելացումները նշված են դրական նշանով, իսկ նվազեցումները փակագծերում)  </t>
  </si>
  <si>
    <t>Ցուցանիշների փոփոխությունը (ավելացումները նշված են դրական նշանով, իսկ նվազեցումները փակագծերում)</t>
  </si>
  <si>
    <t xml:space="preserve"> ՀԲՄ</t>
  </si>
  <si>
    <t>վերակառուցման աշխատանքներ</t>
  </si>
  <si>
    <t>45451700-2</t>
  </si>
  <si>
    <t>45451700-1</t>
  </si>
  <si>
    <t xml:space="preserve"> ԲՄ</t>
  </si>
  <si>
    <t>կրթական օբյեկտների հիմնանորոգում</t>
  </si>
  <si>
    <t xml:space="preserve"> Հուշարձանների ամրակայում, նորոգում և վերականգնում</t>
  </si>
  <si>
    <t>1. Վերականգնողական աշխատանքներ</t>
  </si>
  <si>
    <t>որից`</t>
  </si>
  <si>
    <t xml:space="preserve"> Այգեշատ համայնքի Թարգմանչաց եկեղեցու վերականգնում </t>
  </si>
  <si>
    <t>Ալավերդի համայնքի  Սանահինի վանական համալիրի Սբ Ամենափրկիչ եկեղեցու տանիքների նորոգում</t>
  </si>
  <si>
    <t>Քոբայր ե/գ կայարանի Քոբայրավանքի սեղանատան վերականգնում</t>
  </si>
  <si>
    <t xml:space="preserve"> Տեղ համայնքի Սբ Գևորգ եկեղեցու վերականգնում </t>
  </si>
  <si>
    <t>Գոշ համայնքի Գոշավանքի գավթի տանիքածածկերի նորոգում</t>
  </si>
  <si>
    <t>Դիլիջան համայնքի Հ.Շարամբեյանի անվան ժողովրդական արհեստների թանգարանի նորոգում, ամրակայում</t>
  </si>
  <si>
    <t>2. Վավերագրման և ուսումնասիրման աշխատանքներ, (այդ թվում՝ հետախուզումև պեղում), գիտանախագծային փաստաթղթերի կազմում և փորձաքննում</t>
  </si>
  <si>
    <t>ՀՀ Արագաոտնի մարզ</t>
  </si>
  <si>
    <t>Ագարակ համայնքի Ագարակ վաղ բրոնզե դարի կացարանների, միջնադարյան համալիրի  և պարսպապատի ամրակայում</t>
  </si>
  <si>
    <t>Դսեղ համայնքի Բարձրաքաշի Սբ Գրիգոր վանական համալիրի կառույցների, նորոգում, ամրակայում,  վերականգնում և տարածքի բարեկարգում</t>
  </si>
  <si>
    <t xml:space="preserve">Երերույքի տաճարի և փոքր դամբարանի թաղերի ամրակայում, Անիպեմզայի մշակույթի տան վերականգնում և փոքրիկ թանգարանի ստեղծում </t>
  </si>
  <si>
    <t>ՀՀ Վայոց Ձորի մարզ</t>
  </si>
  <si>
    <t xml:space="preserve">Շատիվանքի վանական համալիրի ամրակայում, մասնակի վերականգնում և տարածքի բարեկարգում </t>
  </si>
  <si>
    <t>Նախնական մասնագիտական (արհեստագործական) և միջին մասնագիտական ուսումնական հաստատություններում ուսումնարտադրական բազայով ապահովում</t>
  </si>
  <si>
    <t xml:space="preserve"> Բարձրագույն  ուսումնական հաստատությունների և «Զեյթուն» ուսանողական ավան» հիմնադրամի շենքային պայմանների բարելավում</t>
  </si>
  <si>
    <t>«Երևանի Կոմիտասի անվան պետական կոնսերվատորիա» ՊՈԱԿ</t>
  </si>
  <si>
    <t>1111-32001</t>
  </si>
  <si>
    <t xml:space="preserve">  Բարձրագույն  ուսումնական հաստատությունների և «Զեյթուն»  ուսանողական ավան»  հիմնադրամի շենքային պայմանների բարելավում</t>
  </si>
  <si>
    <t>«Մոդուլային» տիպի մանկապարտեզների շենքային ապահովում</t>
  </si>
  <si>
    <t>ՀՀ Արագածոտնի մարզ</t>
  </si>
  <si>
    <t xml:space="preserve">ՀՀ Արագածոտնի մարզի  Ալագյազ համայնքում «Մոդուլային» տիպի 144 տեղ հզորությամբ մսուր-մանկապարտեզ </t>
  </si>
  <si>
    <t xml:space="preserve">ՀՀ Արարատի մարզի Արալեզ համայնքում «Մոդուլային» տիպի 144 տեղ հզորությամբ մսուր-մանկապարտեզ </t>
  </si>
  <si>
    <t>ՀՀ Արմավիրի մարզի Արևիկ համայնքում «Մոդուլային» տիպի 144 տեղ հզորությամբ մսուր-մանկապարտեզ</t>
  </si>
  <si>
    <t>ՀՀ Արմավիրի մարզի Այգևան համայնքում «Մոդուլային» տիպի 144 տեղ հզորությամբ մսուր-մանկապարտեզ</t>
  </si>
  <si>
    <t xml:space="preserve">ՀՀ Գեղարքունիքի մարզի Աստղաձոր համայնքում «Մոդուլային» տիպի 144 տեղ հզորությամբ մսուր-մանկապարտեզ </t>
  </si>
  <si>
    <t xml:space="preserve">ՀՀ Լոռու մարզի Սպիտակ համայնքում «Մոդուլային» տիպի 144 տեղ հզորությամբ մսուր-մանկապարտեզ </t>
  </si>
  <si>
    <t>ՀՀ Լոռու մարզի Գոգարան համայնքում «Մոդուլային» տիպի 144 տեղ հզորությամբ մսուր-մանկապարտեզ</t>
  </si>
  <si>
    <t xml:space="preserve">ՀՀ Կոտայքի մարզի Հրազդան համայնքում «Մոդուլային» տիպի 144 տեղ հզորությամբ մսուր-մանկապարտեզ </t>
  </si>
  <si>
    <t>ՀՀ Սյունիքի մարզի Սիսիան համայնքում «Մոդուլային» տիպի 144 տեղ հզորությամբ մսուր-մանկապարտեզ</t>
  </si>
  <si>
    <t>ՀՀ Տավուշի մարզի Այրում համայնքի Բագրատաշեն բնակավայրում «Մոդուլային» տիպի 144 տեղ հզորությամբ մսուր-մանկապարտեզ</t>
  </si>
  <si>
    <t>1146-12010</t>
  </si>
  <si>
    <t xml:space="preserve"> «Մոդուլային» տիպի մանկապարտեզների շենքային ապահովում</t>
  </si>
  <si>
    <t>45221142-1</t>
  </si>
  <si>
    <t>«Հեծանվային սպորտի օլիմպիական մանկապատանեկան մարզադպրոց» ՊՈԱԿ</t>
  </si>
  <si>
    <t>Արմավիրի մարզի Ջրառատ համայնքի Սիմոն Մարտիրոսյանի անվան ծանրամարտի մարզադպրոց</t>
  </si>
  <si>
    <t>45211131-1</t>
  </si>
  <si>
    <t xml:space="preserve"> Թատերահամերգային կազմակերպությունների նյութատեխնիկական բազայի  համալրում</t>
  </si>
  <si>
    <t>«Կ.Ստանիսլավսկու անվան պետական ռուսական դրամատիկական թատրոն» ՊՈԱԿ</t>
  </si>
  <si>
    <t>«Երևանի հ. 22 հիմնական դպրոց» ՊՈԱԿ</t>
  </si>
  <si>
    <t>1168-32007</t>
  </si>
  <si>
    <t xml:space="preserve"> ԷԱՃ</t>
  </si>
  <si>
    <t xml:space="preserve"> հատ</t>
  </si>
  <si>
    <t xml:space="preserve"> ՄԱՍ I. Ա Պ Ր Ա Ն Ք Ն Ե Ր</t>
  </si>
  <si>
    <t xml:space="preserve"> Կրթական օբյեկտների շենքային ապահովվածության բարելավում</t>
  </si>
  <si>
    <t>«Մասիսի թիվ 5 ավագ դպրոց» ՊՈԱԿ</t>
  </si>
  <si>
    <t>Ն.Գետաշենի թիվ 1 հիմնական դպրոց ՊՈԱԿ</t>
  </si>
  <si>
    <t>Ն.Գետաշենի թիվ 1 միջնակարգ դպրոց ՊՈԱԿ</t>
  </si>
  <si>
    <t>1183-32002</t>
  </si>
  <si>
    <t>ընդհանուր շինարարական աշխատանքներ</t>
  </si>
  <si>
    <t xml:space="preserve"> Փոքրաքանակ երեխաներով համալրված հանրակրթական դպրոցների  մոդուլային շենքերի կառուցում</t>
  </si>
  <si>
    <t>«Գառնահովիտի  միջնակարգ դպրոց» ՊՈԱԿ</t>
  </si>
  <si>
    <t>«Դեղձուտի միջնակարգ դպրոց» ՊՈԱԿ</t>
  </si>
  <si>
    <t>«Արգինայի միջնակարգ դպրոց» ՊՈԱԿ</t>
  </si>
  <si>
    <t>«Լեռնահովիտ գյուղի Վ. Բարեղամյանի անվան հիմնական դպրոց» ՊՈԱԿ</t>
  </si>
  <si>
    <t>«Շատջրեք գյուղի միջնակարգ դպրոց» ՊՈԱԿ</t>
  </si>
  <si>
    <t>«Մեդովկայի միջնակարգ դպրոց» ՊՈԱԿ</t>
  </si>
  <si>
    <t>«Հագվու հիմնական դպրոց» ՊՈԱԿ</t>
  </si>
  <si>
    <t>«Ջրառատի միջնակարգ դպրոց» ՊՈԱԿ</t>
  </si>
  <si>
    <t>«Կաթնաղբյուրի հիմնական դպրոց» ՊՈԱԿ</t>
  </si>
  <si>
    <t>«Բերդաշենի միջնակարգ դպրոց» ՊՈԱԿ</t>
  </si>
  <si>
    <t>«Հարժիսի Համլետ Մինասյանի անվան միջնակարգ դպրոց» ՊՈԱԿ</t>
  </si>
  <si>
    <t>«Վաղատինի միջնակարգ դպրոց» ՊՈԱԿ</t>
  </si>
  <si>
    <t>«Դարբասի միջնակարգ դպրոց» ՊՈԱԿ</t>
  </si>
  <si>
    <t>«Եղեգիսի միջնակարգ դպրոց» ՊՈԱԿ</t>
  </si>
  <si>
    <t xml:space="preserve"> Փոքրաքանակ երեխաներով համալրված «Մոդուլային» տիպի հանրակրթական դպրոցների բազմակի օգտագործման օրինակելի նախագծանախահաշվային փաստաթղթերի մշակում և համապատասխան համայնքներում տեղակապում</t>
  </si>
  <si>
    <t>1183-32003</t>
  </si>
  <si>
    <t>45211231-1</t>
  </si>
  <si>
    <t xml:space="preserve"> միջնակարգ դպրոցների կառուցման աշխատանքներ</t>
  </si>
  <si>
    <t>«Ջիլի միջնակարգ դպրոց» ՊՈԱԿ</t>
  </si>
  <si>
    <t>«Արեգնադեմի միջնակարգ դպրոց» ՊՈԱԿ</t>
  </si>
  <si>
    <t>«Կապսի միջնակարգ դպրոց» ՊՈԱԿ</t>
  </si>
  <si>
    <t>«Չիվայի միջնակարգ դպրոց» ՊՈԱԿ</t>
  </si>
  <si>
    <t>«Գոմքի միջնակարգ դպրոց» ՊՈԱԿ</t>
  </si>
  <si>
    <t>«Կիրանցի Գ.Վարդանյանի անվ. հիմնական դպրոց» ՊՈԱԿ</t>
  </si>
  <si>
    <t>Փոքրաքանակ երեխաներով համալրված հանրակրթական դպրոցների մոդուլային շենքերի կառուցում</t>
  </si>
  <si>
    <t xml:space="preserve"> Հանրակրթական կրթություն իրականացնող ուսումնական հաստատությունների նոր մարզադահլիճների կառուցում</t>
  </si>
  <si>
    <t>«Երևանի Միքայել Նալբանդյանի անվան հ.33 հիմնական դպրոց» ՊՈԱԿ</t>
  </si>
  <si>
    <t>«Երևանի Ս. Խանզադյանի անվան հ. 184 ավագ դպրոց» ՊՈԱԿ</t>
  </si>
  <si>
    <t>«Երևանի Ա. Երզնկյանի անվան հ. 118 ավագ դպրոց» ՊՈԱԿ</t>
  </si>
  <si>
    <t>«Երևանի Սիլվա Կապուտիկյանի անվան հ. 145 հիմնական դպրոց» ՊՈԱԿ</t>
  </si>
  <si>
    <t>Ալագյազի միջնակարգ դպրոց ՊՈԱԿ</t>
  </si>
  <si>
    <t>«Թալինի ավագ դպրոց» ՊՈԱԿ</t>
  </si>
  <si>
    <t>«Արտիմետի միջնակարգ դպրոց» ՊՈԱԿ</t>
  </si>
  <si>
    <t>«Արագածի Մ. Մեխակյանի անվան միջնակարգ դպրոց» ՊՈԱԿ</t>
  </si>
  <si>
    <t>«Վաղարշապատի Երվանդ Օտյանի անվան N 7 հիմնական դպրոց » ՊՈԱԿ</t>
  </si>
  <si>
    <t>«Ջանֆիդայի Է. Դաշտոյանի անվան միջնակարգ դպրոց» ՊՈԱԿ</t>
  </si>
  <si>
    <t>«Արմավիրի N 6 հիմնական դպրոց» ՊՈԱԿ</t>
  </si>
  <si>
    <t>Գագարինի միջնակարգ դպրոց ՊՈԱԿ</t>
  </si>
  <si>
    <t>«Վանաձորի Ծովակալ Իսակովի  անվան թիվ 23 հիմնական դպրոց ՊՈԱԿ</t>
  </si>
  <si>
    <t>«Վանաձորի Խ. Աբովյանի անվան թիվ 9 հիմնական դպրոց» ՊՈԱԿ</t>
  </si>
  <si>
    <t>Ստեփանավանի N1 վարժարան ՊՈԱԿ</t>
  </si>
  <si>
    <t>«Ագարակի միջնակարգ դպրոց» ՊՈԱԿ</t>
  </si>
  <si>
    <t>«Վարդաբլուրի միջնակարգ դպրոց» ՊՈԱԿ</t>
  </si>
  <si>
    <t>1183-32007</t>
  </si>
  <si>
    <t xml:space="preserve"> ընդհանուր շինարարական աշխատանքներ</t>
  </si>
  <si>
    <t>Հանրակրթական կրթություն իրականացնող ուսումնական հաստատությունների մարզադահլիճների վերակառուցում</t>
  </si>
  <si>
    <t>«Երևանի Մ. Սարյանի անվան հ. 86 հիմնական դպրոց» ՊՈԱԿ</t>
  </si>
  <si>
    <t>Շահումյանի միջնակարգ դպրոց ՊՈԱԿ</t>
  </si>
  <si>
    <t>«Հայաստանի Հանրապետության Գեղարքունիքի մարզի Ակունք գյուղի միջնակարգ դպրոց» ՊՈԱԿ</t>
  </si>
  <si>
    <t>«Հայաստանի Հանրապետության Լոռու մարզի Վանաձորի Ղևոնդ Ալիշանի անվան N 27 հիմնական դպրոց» ՊՈԱԿ</t>
  </si>
  <si>
    <t>«ՀՀ Վայոց Ձորի մարզի Շատինի միջնակարգ դպրոց» ՊՈԱԿ</t>
  </si>
  <si>
    <t>Հեծանվային սպորտի և Հրանտ Շահինյանի անվան  սպորտային, գեղարվեստական մարմնամարզության  և ակրոբատիկայի օլիմպիական մանկապատանեկան մարզադպրոց</t>
  </si>
  <si>
    <t>«Երևանի օլիմպիական հերթափոխի պետական մարզական քոլեջ» ՊՈԱԿ</t>
  </si>
  <si>
    <t xml:space="preserve"> ՀՀ կրթության, գիտության, մշակույթի և սպորտի նախարարություն </t>
  </si>
  <si>
    <t>1183-32009</t>
  </si>
  <si>
    <t xml:space="preserve"> Հանրակրթական կրթություն իրականացնող ուսումնական հաստատությունների մարզադահլիճների վերակառուցում</t>
  </si>
  <si>
    <t xml:space="preserve"> Մարզական օբյեկտների շինարարություն</t>
  </si>
  <si>
    <t>71351540-1</t>
  </si>
  <si>
    <t>98111140-1</t>
  </si>
  <si>
    <t xml:space="preserve"> տեխնիկական հսկողության ծառայություններ</t>
  </si>
  <si>
    <t xml:space="preserve"> հեղինակային հսկողության ծառայություններ</t>
  </si>
  <si>
    <t>լուսավորման համակարգեր</t>
  </si>
  <si>
    <t>31521580-5</t>
  </si>
  <si>
    <t>Դաս N 07</t>
  </si>
  <si>
    <t xml:space="preserve"> Հուշարձանների և մշակութային արժեքների վերականգնում և պահպանում</t>
  </si>
  <si>
    <t>1075-21001</t>
  </si>
  <si>
    <t>Հուշարձանների ամրակայում, նորոգում և վերականգնում</t>
  </si>
  <si>
    <t>45451600-1</t>
  </si>
  <si>
    <t>վերականգնողական աշխատանքներ</t>
  </si>
  <si>
    <t>մարզական օբյեկտների շինարարական աշխատանքներ</t>
  </si>
  <si>
    <t xml:space="preserve"> Հանրակրթական դպրոցների գույքով և տեխնիկայով ապահովում</t>
  </si>
  <si>
    <t>«Գեղարքունիքի մարզի Ակունք գյուղի միջնակարգ դպրոց» ՊՈԱԿ</t>
  </si>
  <si>
    <t>«Վանաձորի Ղևոնդ Ալիշանի անվան N 27 հիմնական դպրոց» ՊՈԱԿ</t>
  </si>
  <si>
    <t>«Վանաձորի Ծովակալ Իսակովի անվան թիվ 23 հիմնական դպրոց ՊՈԱԿ</t>
  </si>
  <si>
    <t>«Շատինի միջնակարգ դպրոց» ՊՈԱԿ</t>
  </si>
  <si>
    <t>1183-32012</t>
  </si>
  <si>
    <t>գրասեղաններ</t>
  </si>
  <si>
    <t>39121100-2</t>
  </si>
  <si>
    <t>«Ալ․ Սպենդիարյանի անվանա օպերայի և բալետի ազգային ակադեմիական թատրոն» ՊՈԱԿ /հակահրդեհային/ և /ցածր լարման կայաններ/</t>
  </si>
  <si>
    <t xml:space="preserve"> Ներդրումներ թատրոնների շենքերի կապիտալ վերանորոգման համար</t>
  </si>
  <si>
    <t>1168-32001</t>
  </si>
  <si>
    <t>71241200-1</t>
  </si>
  <si>
    <t xml:space="preserve"> Առաջին եռամսյակ</t>
  </si>
  <si>
    <t xml:space="preserve"> ԱՅԼ ՀԻՄՆԱԿԱՆ ՄԻՋՈՑՆԵՐ</t>
  </si>
  <si>
    <t xml:space="preserve"> ՄԵՔԵՆԱՆԵՐ  ԵՎ  ՍԱՐՔԱՎՈՐՈՒՄՆԵՐ</t>
  </si>
  <si>
    <t xml:space="preserve"> - Վարչական սարքավորումներ</t>
  </si>
  <si>
    <t>07</t>
  </si>
  <si>
    <t>Հուշարձանների և մշակութային արժեքների վերականգնում և պահպանում</t>
  </si>
  <si>
    <t xml:space="preserve"> Հանրակրթության ծրագիր</t>
  </si>
  <si>
    <t xml:space="preserve"> - Շենքերի և շինությունների շինարարություն</t>
  </si>
  <si>
    <t>Մարզական օբյեկտների հիմնանորոգում</t>
  </si>
  <si>
    <t xml:space="preserve">Նախնական մասնագիտական (արհեստագործական) և միջին մասնագիտական ուսումնական հաստատություններում ուսումնարտադրական բազայով ապահովում </t>
  </si>
  <si>
    <t>ՆՄՄԿՈՒ հաստատություններում ուսումնարտադրական բազայով ապահովման աշխատանքների իրականացում</t>
  </si>
  <si>
    <t xml:space="preserve"> Հուշարձանների գիտանախագծային փաստաթղթերի կազմում,  հրատապ ուսումնասիրում, վավերագրման և ուսումնասիրման աշխատանքներ, հետախուզում և հնագիտական պեղում, ամրակայում, նորոգում և վերականգնում</t>
  </si>
  <si>
    <t xml:space="preserve"> Հանրության կողմից անմիջականորեն օգտագործվող ակտիվների հետ կապված միջոցառումներ</t>
  </si>
  <si>
    <t xml:space="preserve"> Բարձրագույն  ուսումնական հաստատությունների և «Զեյթուն»  ուսանողական ավան»  հիմնադրամի շենքային պայմանների բարելավում</t>
  </si>
  <si>
    <t xml:space="preserve"> Բարձրագույն  ուսումնական հաստատությունների և «Զեյթուն» ուսանողական ավան»   հիմնադրամի շենքային պայմանների բարելավում</t>
  </si>
  <si>
    <t xml:space="preserve"> Ապահովել անվճար և որակյալ հանրակրթություն</t>
  </si>
  <si>
    <t xml:space="preserve"> Մտավոր, հոգևոր, ֆիզիկական և սոցիալական ունակությունների համակողմանի ու ներդաշնակ զարգացմամբ, հայրենասիրության, պետականության և մարդասիրության ոգով դաստիրակված, պատշաճ վարքով և վարվելակերպով անձի  ձևավորում</t>
  </si>
  <si>
    <t xml:space="preserve"> Համայնքներում «Մոդուլային» տիպի մանկապարտեզների կառուցում և նախագծում</t>
  </si>
  <si>
    <t>Մարզական օբյեկտների շենքերի (մասնաշենքերի)  հիմնանորոգում</t>
  </si>
  <si>
    <t xml:space="preserve"> Թատերահամերգային կազմակերպությունների համար անհրաժեշտ տեխնիկայի և սարքավորումենրի ձեռքբերում</t>
  </si>
  <si>
    <t xml:space="preserve"> Կրթական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</t>
  </si>
  <si>
    <t xml:space="preserve"> Կրթական հաստատությունների կառուցում  համայնքային կենտրոնների մոդելով</t>
  </si>
  <si>
    <t xml:space="preserve"> Հանրակրթական ուսուցում իրականացնող ուսումնական հաստատությունների նոր մարզադահլիճների կառուցման նախագծանախահաշվային փաստաթղթերի մշակում</t>
  </si>
  <si>
    <t xml:space="preserve"> Հանրակրթական ուսուցում իրականացնող ուսումնական հաստատությունների մարզադահլիճների վերակառուցման նախագծանախահաշվային փաստաթղթերի մշակում</t>
  </si>
  <si>
    <t xml:space="preserve"> Կրթական ժամանակակից նորմերին համապատասխանող գույքի ձեռքբերում</t>
  </si>
  <si>
    <t xml:space="preserve"> Հաստատությունների քանակ, որոնց շինարարական աշխատանքների ավարտվածության աստիճանը 100% է, հատ </t>
  </si>
  <si>
    <t xml:space="preserve"> Նախնական մասնագիտական (արհեստագործական) և միջին մասնագիտական ուսումնական հաստատություններ </t>
  </si>
  <si>
    <t>ՆՄՄԿՈՒ հաստատությունների քանակ, որտեղ կատարվում են ներդրումները, հատ_x000D_</t>
  </si>
  <si>
    <t xml:space="preserve"> Հուշարձանների ամրակայում, նորոգում և վերականգնում </t>
  </si>
  <si>
    <t xml:space="preserve"> Հուշարձանների գիտանախագծային փաստաթղթերի կազմում,  հրատապ ուսումնասիրում, վավերագրման և ուսումնասիրման աշխատանքներ, հետախուզում և հնագիտական պեղում, ամրակայում, նորոգում և վերականգնում </t>
  </si>
  <si>
    <t xml:space="preserve"> Հանրության կողմից անմիջականորեն օգտագործվող ակտիվների հետ կապված միջոցառումներ </t>
  </si>
  <si>
    <t xml:space="preserve"> Միջոցառումն իրականացնողի անվանումը </t>
  </si>
  <si>
    <t xml:space="preserve"> Հուշարձանների ամրակայման, նորոգման և վերականգնման աշխատանքներ, քանակ </t>
  </si>
  <si>
    <t xml:space="preserve"> Առաջին եռամսյակ </t>
  </si>
  <si>
    <t xml:space="preserve"> Հուշարձանների ուսումնասիրման (այդ թվում` հետախուզում և պեղում) և նախագծման, փորձաքննության աշխատանքներ, քանակ </t>
  </si>
  <si>
    <t xml:space="preserve"> Հուշարձանների ուսումնասիրման /այդ թվում հետախուզում և պեղում/ և նախագծման աշխատանքնեի ավարտվածության աստիճանը, տոկոս </t>
  </si>
  <si>
    <t xml:space="preserve"> Բարձրագույն  ուսումնական հաստատությունների և «Զեյթուն»  ուսանողական ավան»  հիմնադրամի շենքային պայմանների բարելավում </t>
  </si>
  <si>
    <t xml:space="preserve"> Բարձրագույն  ուսումնական հաստատությունների և «Զեյթուն» ուսանողական ավան»   հիմնադրամի շենքային պայմանների բարելավում </t>
  </si>
  <si>
    <t xml:space="preserve"> Բարձրագույն  ուսումնական հաստատություններ </t>
  </si>
  <si>
    <t xml:space="preserve">Ցուցանիշների փոփոխությունը (նվազեցումները նշված են փակագծերում)  </t>
  </si>
  <si>
    <t>Հանրակրթության ծրագիր</t>
  </si>
  <si>
    <t xml:space="preserve"> «Մոդուլային» տիպի մանկապարտեզների շենքային ապահովում </t>
  </si>
  <si>
    <t xml:space="preserve"> Համայնքներում «Մոդուլային» տիպի մանկապարտեզների կառուցում և նախագծում </t>
  </si>
  <si>
    <t xml:space="preserve"> Նախադպրոցական կրթությույն իրականացնող ուսումնական հաստատություններ </t>
  </si>
  <si>
    <t xml:space="preserve"> Շահառուների ընտրության չափանիշները </t>
  </si>
  <si>
    <t>Հաստատությունների քանակ, որոնց շինարարական աշխատանքների ավարտվածության աստիճանը 100% է, հատ</t>
  </si>
  <si>
    <t>Այլ պետական կազմակերպությունների կողմից օգտագործվող ոչ ֆինանսական ակտիվների հետ գործառնություններ</t>
  </si>
  <si>
    <t>Հիմնանորոգման ենթակա օբյյեկտների թիվ, հատ</t>
  </si>
  <si>
    <t xml:space="preserve"> Նախագծանախահաշվային փաստաթղթերի քանակ, հատ </t>
  </si>
  <si>
    <t xml:space="preserve"> Թատերահամերգային կազմակերպությունների նյութատեխնիկական բազայի  համալրում </t>
  </si>
  <si>
    <t xml:space="preserve"> Թատերահամերգային կազմակերպությունների համար անհրաժեշտ տեխնիկայի և սարքավորումենրի ձեռքբերում </t>
  </si>
  <si>
    <t xml:space="preserve"> Թատրոններ </t>
  </si>
  <si>
    <t xml:space="preserve"> Թատրոնների թիվը, որտեղ կատարվում են ներդրումները, հատ </t>
  </si>
  <si>
    <t xml:space="preserve"> Կրթական օբյեկտների շենքային ապահովվածության բարելավում </t>
  </si>
  <si>
    <t xml:space="preserve"> Կրթական օբյեկտների շենքերի (մասնաշենքերի) կառուցում (համաշինարարական աշխատանքներ, ջեռուցման համակարգի իրականացում, ներքին հարդարում, տարածքի բարեկարգում) և նախագծում </t>
  </si>
  <si>
    <t xml:space="preserve"> Փոքրաքանակ երեխաներով համալրված հանրակրթական դպրոցների  մոդուլային շենքերի կառուցում </t>
  </si>
  <si>
    <t xml:space="preserve"> Կրթական հաստատությունների կառուցում  համայնքային կենտրոնների մոդելով </t>
  </si>
  <si>
    <t xml:space="preserve"> Փոքրաքանակ երեխաներով համալրված հանրակրթական դպրոցներ </t>
  </si>
  <si>
    <t xml:space="preserve"> Հանրակրթական կրթություն իրականացնող ուսումնական հաստատությունների նոր մարզադահլիճների կառուցում </t>
  </si>
  <si>
    <t xml:space="preserve"> Հանրակրթական ուսուցում իրականացնող ուսումնական հաստատությունների նոր մարզադահլիճների կառուցման նախագծանախահաշվային փաստաթղթերի մշակում </t>
  </si>
  <si>
    <t xml:space="preserve"> Հանրակրթական կրթություն իրականացնող ուսումնական հաստատությունների մարզադահլիճների վերակառուցում </t>
  </si>
  <si>
    <t xml:space="preserve"> Հանրակրթական ուսուցում իրականացնող ուսումնական հաստատությունների մարզադահլիճների վերակառուցման նախագծանախահաշվային փաստաթղթերի մշակում </t>
  </si>
  <si>
    <t xml:space="preserve"> Հանրակրթական դպրոցների գույքով և տեխնիկայով ապահովում </t>
  </si>
  <si>
    <t xml:space="preserve"> Կրթական ժամանակակից նորմերին համապատասխանող գույքի ձեռքբերում </t>
  </si>
  <si>
    <t xml:space="preserve"> Քոլեջների թիվը, որոնք ապահովվում են գույքով, հատ </t>
  </si>
  <si>
    <t>ՄԱՍ 1. ՊԵՏԱԿԱՆ ՄԱՐՄՆԻ ԳԾՈՎ ԱՐԴՅՈՒՆՔԱՅԻՆ (ԿԱՏԱՐՈՂԱԿԱՆ) ՑՈՒՑԱՆԻՇՆԵՐԸ</t>
  </si>
  <si>
    <t xml:space="preserve"> ՀՀ  կրթության, գիտության, մշակույթի և սպորտի նախարարություն</t>
  </si>
  <si>
    <t>ԲԳԿ/Միջոցառում</t>
  </si>
  <si>
    <t>«Լուսակնի միջնակարգ դպրոց» ՊՈԱԿ</t>
  </si>
  <si>
    <t>ք. Վանաձորի գյուղատնտեսական պետական քոլեջ</t>
  </si>
  <si>
    <t xml:space="preserve">«ք. Վանաձորի Միքայել Թավրիզյանի անվան արվեստի պետական քոլեջ» ՊՈԱԿ-ի վերակառուցում </t>
  </si>
  <si>
    <t>45221142-2</t>
  </si>
  <si>
    <t>ՀՀ Արմավիրի մարզի Գետաշեն համայնքում «Մոդուլային» տիպի 144 տեղ հզորությամբ մսուր-մանկապարտեզ</t>
  </si>
  <si>
    <t>ՀՀ Արմավիրի մարզի Նորավան համայնքում «Մոդուլային» տիպի 144 տեղ հզորությամբ մսուր-մանկապարտեզ</t>
  </si>
  <si>
    <t>ՀՀ Արմավիրի մարզի Փշատավան համայնքում «Մոդուլային» տիպի 144 տեղ հզորությամբ մսուր-մանկապարտեզ</t>
  </si>
  <si>
    <t>ՀՀ Արմավիրի մարզի Լենուղի համայնքում «Մոդուլային» տիպի 144 տեղ հզորությամբ մսուր-մանկապարտեզ</t>
  </si>
  <si>
    <t>ՀՀ Լոռու մարզի Լեռնավան համայնքում «Մոդուլային» տիպի 144 տեղ հզորությամբ մսուր-մանկապարտեզ</t>
  </si>
  <si>
    <t>ՀՀ Լոռու մարզի Լուսաղբյուր համայնքում «Մոդուլային» տիպի 144 տեղ հզորությամբ մսուր-մանկապարտեզ</t>
  </si>
  <si>
    <t>ՀՀ Կոտայքի մարզի Չարենցավան համայնքի Ֆանտան բնակավայրում «Մոդուլային» տիպի 144 տեղ հզորությամբ մսուր-մանկապարտեզ</t>
  </si>
  <si>
    <t>ՀՀ Շիրակի մարզի Արթիկ համայնքում «Մոդուլային» տիպի 144 տեղ հզորությամբ մսուր-մանկապարտեզ</t>
  </si>
  <si>
    <t>ՀՀ Շիրակի մարզի Արևշատ համայնքում «Մոդուլային» տիպի 144 տեղ հզորությամբ մսուր-մանկապարտեզ</t>
  </si>
  <si>
    <t>ՀՀ Վայոց ձորի մարզի Եղեգիս համայնքի Շատին բնակավայրում «Մոդուլային» տիպի 144 տեղ հզորությամբ մսուր-մանկապարտեզ</t>
  </si>
  <si>
    <t>Մնջախաղի թատրոն</t>
  </si>
  <si>
    <t xml:space="preserve">Երևանի մնջախաղի պետական թատրոնի շենքի վերակառուցում </t>
  </si>
  <si>
    <t xml:space="preserve"> 71351540-1</t>
  </si>
  <si>
    <t xml:space="preserve"> 98111140-1</t>
  </si>
  <si>
    <t xml:space="preserve"> ՄԱ</t>
  </si>
  <si>
    <t xml:space="preserve"> 45611200-1</t>
  </si>
  <si>
    <t xml:space="preserve"> մշակութային օբյեկտների հիմնանորոգում</t>
  </si>
  <si>
    <t xml:space="preserve"> Ներդրումներ թանգարանների և պատկերասրահների հիմնանորոգման համար</t>
  </si>
  <si>
    <t>«Հայաստանի պատմության թանգարան» ՊՈԱԿ</t>
  </si>
  <si>
    <t>1075-32001</t>
  </si>
  <si>
    <t>Թանգարաններ և ցուցասրահներ</t>
  </si>
  <si>
    <t>Դաս N 02</t>
  </si>
  <si>
    <t>ջերմաստիճանի կարգավորման համակարգի տեղադրման աշխատանքներ</t>
  </si>
  <si>
    <t>71351540-549</t>
  </si>
  <si>
    <t>ՀՄԱ</t>
  </si>
  <si>
    <t xml:space="preserve"> Թանգարաններ և ցուցասրահներ</t>
  </si>
  <si>
    <t>Մշակութային ժառանգության ծրագիր</t>
  </si>
  <si>
    <t xml:space="preserve"> Նախադպրոցական և տարրական ընդհանուր կրթություն</t>
  </si>
  <si>
    <t xml:space="preserve"> Տարրական ընդհանուր կրթություն</t>
  </si>
  <si>
    <t xml:space="preserve"> Տարրական ընդհանուր հանրակրթություն</t>
  </si>
  <si>
    <t xml:space="preserve"> ՍՈՒԲՍԻԴԻԱՆԵՐ</t>
  </si>
  <si>
    <t xml:space="preserve"> Սուբսիդիաներ պետական կազմակերպություններին</t>
  </si>
  <si>
    <t xml:space="preserve"> - Սուբսիդիաներ ոչ ֆինանսական պետական կազմակերպություններին</t>
  </si>
  <si>
    <t xml:space="preserve"> Միջնակարգ ընդհանուր կրթություն</t>
  </si>
  <si>
    <t xml:space="preserve"> Հիմնական ընդհանուր կրթություն</t>
  </si>
  <si>
    <t xml:space="preserve"> Հիմնական ընդհանուր հանրակրթություն</t>
  </si>
  <si>
    <t xml:space="preserve"> Թանգարանների և պատկերասրահների շենքերի՝ մասնաշենքերի հիմնանորոգում՝ համաշինարարական աշխատանքներ՝ ջեռուցման համակարգի իրականացում՝ ներքին հարդարում՝ տարածքի բարեկարգում և նախագծում</t>
  </si>
  <si>
    <t xml:space="preserve"> Պարտադիր կրթության առաջին մակարդակում սովորողների ընդգրկվածության, գրագիտության և համակողմանի զարգացման բարձր մակարդակի ապահովում</t>
  </si>
  <si>
    <t xml:space="preserve"> Պարտադիր կրթության երկրորդ մակարդակում սովորողների ընդգրկվածության, գրագիտության և համակողմանի զարգացման բարձր մակարդակի ապահովում</t>
  </si>
  <si>
    <t>Թանգարանների և պատկերասրահների շենքերի՝ մասնաշենքերի հիմնանորոգում՝ համաշինարարական աշխատանքներ՝ ջեռուցման համակարգի իրականացում՝ ներքին հարդարում՝ տարածքի բարեկարգում և նախագծում</t>
  </si>
  <si>
    <t>Թանգարաններ և պատկերասրահներ</t>
  </si>
  <si>
    <t xml:space="preserve"> Հիմնանորոգվող թանգարաններ և պատկերասրահներ քանակ, հատ</t>
  </si>
  <si>
    <t xml:space="preserve"> Տարրական ընդհանուր հանրակրթություն </t>
  </si>
  <si>
    <t xml:space="preserve"> Պարտադիր կրթության առաջին մակարդակում սովորողների ընդգրկվածության, գրագիտության և համակողմանի զարգացման բարձր մակարդակի ապահովում </t>
  </si>
  <si>
    <t xml:space="preserve"> ՀՀ կրթության, գիտության,մշակույթի և սպորտի նախարարության, ՀՀ մարզպետարանների, Երևանի քաղաքապետարանի ենթակայության ուսումնական հաստատություններ </t>
  </si>
  <si>
    <t xml:space="preserve"> Ծառայությունը մատուցող կազմակերպության(ների) անվանում(ներ)ը՛ </t>
  </si>
  <si>
    <t xml:space="preserve"> Հիմնական ընդհանուր հանրակրթություն </t>
  </si>
  <si>
    <t xml:space="preserve"> Պարտադիր կրթության երկրորդ մակարդակում սովորողների ընդգրկվածության, գրագիտության և համակողմանի զարգացման բարձր մակարդակի ապահովում </t>
  </si>
  <si>
    <t xml:space="preserve">Ցուցանիշների փոփոխությունը (ավելացումները նշված են դրական նշանով, իսկ նվազեցումները  փակագծերում)  </t>
  </si>
  <si>
    <t xml:space="preserve"> Հիմնանորոգվող թատրոնների քանակ, հատ </t>
  </si>
  <si>
    <t xml:space="preserve">Ցուցանիշների փոփոխությունը (ավելացումները նշված են դրական նշանով, իսկ նվազեցումները՝  փակագծերում)  </t>
  </si>
  <si>
    <t xml:space="preserve"> Մոդուլային դպրոցների թիվը, որոնք ապահովվում են գույքով, հատ </t>
  </si>
  <si>
    <t>Աղյուսակ 9․13</t>
  </si>
  <si>
    <t xml:space="preserve"> ՀՀ ԿԳՄՍՆ ենթակայության հանրակրթական դպրոցներ </t>
  </si>
  <si>
    <t xml:space="preserve"> ՀՀ ԿԳՄՍՆ ենթակայության հանրակրթական ուսումնական հաստատություններ </t>
  </si>
  <si>
    <t xml:space="preserve"> Կառուցվող ուսումնական հաստատությունների քանակ, հատ </t>
  </si>
  <si>
    <t>Աղյուսակ 9․1.59</t>
  </si>
  <si>
    <t>ՀԱՅԱՍՏԱՆԻ ՀԱՆՐԱՊԵՏՈՒԹՅԱՆ 2022 ԹՎԱԿԱՆԻ ՊԵՏԱԿԱՆ ԲՅՈՒՋԵՈՎ ՆԱԽԱՏԵՍՎԱԾ՝ ՀԱՅԱՍՏԱՆԻ ՀԱՆՐԱՊԵՏՈՒԹՅԱՆ ԿԱՌԱՎԱՐՈՒԹՅԱՆ ՊԱՀՈՒՍՏԱՅԻՆ ՖՈՆԴԻՑ ՀԱՏԿԱՑՈՒՄՆԵՐ ԿԱՏԱՐԵԼՈՒ ՎԵՐԱԲԵՐՅԱԼ</t>
  </si>
  <si>
    <t>«ՀԱՅԱUՏԱՆԻ ՀԱՆՐԱՊԵՏՈՒԹՅԱՆ 2022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ԿԱՏԱՐՎՈՂ ՓՈՓՈԽՈՒԹՅՈՒՆՆԵՐԸ ԵՎ ԼՐԱՑՈՒՄՆԵՐԸ</t>
  </si>
  <si>
    <t>ՀԱՅԱՍՏԱՆԻ ՀԱՆՐԱՊԵՏՈՒԹՅԱՆ ԿԱՌԱՎԱՐՈՒԹՅԱՆ 2021 ԹՎԱԿԱՆԻ ԴԵԿՏԵՄԲԵՐԻ 23-Ի N2121-Ն ՈՐՈՇՄԱՆ N 3 ԵՎ N 4 ՀԱՎԵԼՎԱԾՆԵՐՈՒՄ ԿԱՏԱՐՎՈՂ  ՓՈՓՈԽՈՒԹՅՈՒՆՆԵՐԸ ԵՎ ԼՐԱՑՈՒՄՆԵՐԸ</t>
  </si>
  <si>
    <t>«ՀԱՅԱUՏԱՆԻ ՀԱՆՐԱՊԵՏՈՒԹՅԱՆ 2022 ԹՎԱԿԱՆԻ ՊԵՏԱԿԱՆ ԲՅՈՒՋԵԻ ՄԱUԻՆ» ՀԱՅԱUՏԱՆԻ ՀԱՆՐԱՊԵՏՈՒԹՅԱՆ OՐԵՆՔԻ N 1 ՀԱՎԵԼՎԱԾԻ N 3 ԱՂՅՈՒՍԱԿՈՒՄ ԿԱՏԱՐՎՈՂ ՓՈՓՈԽՈՒԹՅՈՒՆՆԵՐԸ ԵՎ ԼՐԱՑՈՒՄՆԵՐԸ</t>
  </si>
  <si>
    <t>ՀԱՅԱՍՏԱՆԻ ՀԱՆՐԱՊԵՏՈՒԹՅԱՆ ԿԱՌԱՎԱՐՈՒԹՅԱՆ 2021 ԹՎԱԿԱՆԻ ԴԵԿՏԵՄԲԵՐԻ 23-Ի N 2121-Ն ՈՐՈՇՄԱՆ N 5 ՀԱՎԵԼՎԱԾԻ N 2 ԱՂՅՈՒՍԱԿՈՒՄ ԿԱՏԱՐՎՈՂ ՓՈՓՈԽՈՒԹՅՈՒՆՆԵՐԸ ԵՎ  ԼՐԱՑՈՒՄՆԵՐԸ</t>
  </si>
  <si>
    <t xml:space="preserve">ՀԱՅԱՍՏԱՆԻ ՀԱՆՐԱՊԵՏՈՒԹՅԱՆ ԿԱՌԱՎԱՐՈՒԹՅԱՆ 2021 ԹՎԱԿԱՆԻ ԴԵԿՏԵՄԲԵՐԻ 23-Ի N 2121-Ն ՈՐՈՇՄԱՆ N 9 ՀԱՎԵԼՎԱԾԻ  N 9.13 ԵՎ 9.47 ԱՂՅՈՒՍԱԿՆԵՐՈՒՄ ԿԱՏԱՐՎՈՂ ՓՈՓՈԽՈՒԹՅՈՒՆՆԵՐԸ ԵՎ ԼՐԱՑՈՒՄՆԵՐԸ </t>
  </si>
  <si>
    <t>ՀԱՅԱՍՏԱՆԻ ՀԱՆՐԱՊԵՏՈՒԹՅԱՆ ԿԱՌԱՎԱՐՈՒԹՅԱՆ 2021 ԹՎԱԿԱՆԻ ԴԵԿՏԵՄԲԵՐԻ 23-Ի N 2121-Ն ՈՐՈՇՄԱՆ N 9.1 ՀԱՎԵԼՎԱԾԻ  N 9.1.14, 9.1.42 ԵՎ 9․1.59 ԱՂՅՈՒՍԱԿՆԵՐՈՒՄ ԿԱՏԱՐՎՈՂ ՓՈՓՈԽՈՒԹՅՈՒՆՆԵՐԸ ԵՎ ԼՐԱՑՈՒՄՆԵՐԸ</t>
  </si>
  <si>
    <t xml:space="preserve">ՀԱՅԱՍՏԱՆԻ ՀԱՆՐԱՊԵՏՈՒԹՅԱՆ ԿԱՌԱՎԱՐՈՒԹՅԱՆ 2021 ԹՎԱԿԱՆԻ ԴԵԿՏԵՄԲԵՐԻ 23-Ի 
N 2121-Ն ՈՐՈՇՄԱՆ N 10 ՀԱՎԵԼՎԱԾՈՒՄ ԿԱՏԱՐՎՈՂ ՓՈՓՈԽՈՒԹՅՈՒՆՆԵՐԸ ԵՎ ԼՐԱՑՈՒՄՆԵՐԸ
</t>
  </si>
  <si>
    <t xml:space="preserve">«ՀԱՅԱUՏԱՆԻ ՀԱՆՐԱՊԵՏՈՒԹՅԱՆ 2022 ԹՎԱԿԱՆԻ ՊԵՏԱԿԱՆ ԲՅՈՒՋԵԻ ՄԱUԻՆ» ՀԱՅԱUՏԱՆԻ ՀԱՆՐԱՊԵՏՈՒԹՅԱՆ OՐԵՆՔԻ N 6  ՀԱՎԵԼՎԱԾՈՒՄ ԿԱՏԱՐՎՈՂ ՓՈՓՈԽՈՒԹՅՈՒՆԸ </t>
  </si>
  <si>
    <t xml:space="preserve">ՀՀ կառավարության  2022 թվականի </t>
  </si>
  <si>
    <t>ՀՀ կառավարության  2022 թվականի</t>
  </si>
  <si>
    <t>Հավելված N 5</t>
  </si>
  <si>
    <t>1163-32002</t>
  </si>
</sst>
</file>

<file path=xl/styles.xml><?xml version="1.0" encoding="utf-8"?>
<styleSheet xmlns="http://schemas.openxmlformats.org/spreadsheetml/2006/main">
  <numFmts count="25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0.0"/>
    <numFmt numFmtId="168" formatCode="#,##0.0"/>
    <numFmt numFmtId="169" formatCode="#,##0.0_);\(#,##0.0\)"/>
    <numFmt numFmtId="170" formatCode="_-* #,##0.00_р_._-;\-* #,##0.00_р_._-;_-* &quot;-&quot;??_р_._-;_-@_-"/>
    <numFmt numFmtId="171" formatCode="##,##0;\(##,##0\);\-"/>
    <numFmt numFmtId="172" formatCode="_-* #,##0.0\ _₽_-;\-* #,##0.0\ _₽_-;_-* &quot;-&quot;?\ _₽_-;_-@_-"/>
    <numFmt numFmtId="173" formatCode="General_)"/>
    <numFmt numFmtId="174" formatCode="_-* #,##0.0\ _р_._-;\-* #,##0.0\ _р_._-;_-* &quot;-&quot;?\ _р_._-;_-@_-"/>
    <numFmt numFmtId="175" formatCode="0.000%"/>
    <numFmt numFmtId="176" formatCode="##,##0.0000000000000000000;\(##,##0.0000000000000000000\);\-"/>
    <numFmt numFmtId="177" formatCode="_(* #,##0.00000000000000_);_(* \(#,##0.00000000000000\);_(* &quot;-&quot;??_);_(@_)"/>
    <numFmt numFmtId="178" formatCode="_(* #,##0.0000000000000000000_);_(* \(#,##0.0000000000000000000\);_(* &quot;-&quot;??_);_(@_)"/>
    <numFmt numFmtId="179" formatCode="_(* #,##0.0000000000000000000_);_(* \(#,##0.0000000000000000000\);_(* &quot;-&quot;???????????????????_);_(@_)"/>
    <numFmt numFmtId="180" formatCode="_(* #,##0.00000000000000000000_);_(* \(#,##0.00000000000000000000\);_(* &quot;-&quot;??_);_(@_)"/>
    <numFmt numFmtId="181" formatCode="#,##0.00000000000000000000000_);\(#,##0.00000000000000000000000\)"/>
    <numFmt numFmtId="182" formatCode="#,##0.00000000000000000000000000_);\(#,##0.00000000000000000000000000\)"/>
    <numFmt numFmtId="183" formatCode="_(* #,##0.000000000000000_);_(* \(#,##0.000000000000000\);_(* &quot;-&quot;?_);_(@_)"/>
    <numFmt numFmtId="184" formatCode="_(* #,##0.000000000000000000000_);_(* \(#,##0.000000000000000000000\);_(* &quot;-&quot;?_);_(@_)"/>
    <numFmt numFmtId="185" formatCode="0.0000000000000E+00"/>
    <numFmt numFmtId="186" formatCode="0.00000000000000000000000000"/>
    <numFmt numFmtId="187" formatCode="_(* #,##0_);_(* \(#,##0\);_(* &quot;-&quot;??_);_(@_)"/>
  </numFmts>
  <fonts count="10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b/>
      <i/>
      <sz val="12"/>
      <name val="GHEA Grapalat"/>
      <family val="3"/>
    </font>
    <font>
      <b/>
      <sz val="12"/>
      <color indexed="8"/>
      <name val="GHEA Grapalat"/>
      <family val="3"/>
    </font>
    <font>
      <b/>
      <u/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GHEA Grapalat"/>
      <family val="3"/>
    </font>
    <font>
      <sz val="12"/>
      <name val="Calibri"/>
      <family val="2"/>
      <charset val="1"/>
      <scheme val="minor"/>
    </font>
    <font>
      <b/>
      <sz val="12"/>
      <name val="Calibri"/>
      <family val="2"/>
      <charset val="1"/>
      <scheme val="minor"/>
    </font>
    <font>
      <i/>
      <sz val="12"/>
      <name val="GHEA Grapalat"/>
      <family val="3"/>
    </font>
    <font>
      <sz val="12"/>
      <color theme="1"/>
      <name val="Calibri"/>
      <family val="2"/>
      <charset val="1"/>
      <scheme val="minor"/>
    </font>
    <font>
      <i/>
      <sz val="12"/>
      <name val="GHEA Grapalat"/>
      <family val="2"/>
    </font>
    <font>
      <sz val="12"/>
      <name val="GHEA Grapalat"/>
      <family val="2"/>
    </font>
    <font>
      <b/>
      <sz val="12"/>
      <name val="Calibri"/>
      <family val="2"/>
      <scheme val="minor"/>
    </font>
    <font>
      <i/>
      <sz val="12"/>
      <color theme="1"/>
      <name val="GHEA Grapalat"/>
      <family val="3"/>
    </font>
    <font>
      <sz val="12"/>
      <color rgb="FFFF0000"/>
      <name val="GHEA Grapalat"/>
      <family val="3"/>
    </font>
    <font>
      <sz val="12"/>
      <color indexed="8"/>
      <name val="GHEA Grapalat"/>
      <family val="3"/>
    </font>
    <font>
      <b/>
      <i/>
      <sz val="12"/>
      <color theme="1"/>
      <name val="GHEA Grapalat"/>
      <family val="3"/>
    </font>
    <font>
      <b/>
      <sz val="12"/>
      <color theme="1"/>
      <name val="Calibri"/>
      <family val="2"/>
      <charset val="1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000000"/>
      <name val="GHEA Grapalat"/>
      <family val="3"/>
    </font>
    <font>
      <b/>
      <i/>
      <sz val="11"/>
      <name val="GHEA Grapalat"/>
      <family val="3"/>
    </font>
    <font>
      <sz val="11"/>
      <name val="GHEA Grapalat"/>
      <family val="3"/>
    </font>
    <font>
      <b/>
      <sz val="11"/>
      <color rgb="FF000000"/>
      <name val="GHEA Grapalat"/>
      <family val="3"/>
    </font>
    <font>
      <b/>
      <sz val="12"/>
      <color rgb="FFFF0000"/>
      <name val="GHEA Grapalat"/>
      <family val="3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22">
    <xf numFmtId="0" fontId="0" fillId="0" borderId="0"/>
    <xf numFmtId="0" fontId="8" fillId="0" borderId="0"/>
    <xf numFmtId="9" fontId="9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2" fillId="0" borderId="0"/>
    <xf numFmtId="165" fontId="14" fillId="0" borderId="0" applyFill="0" applyBorder="0" applyProtection="0">
      <alignment horizontal="right" vertical="top"/>
    </xf>
    <xf numFmtId="43" fontId="12" fillId="0" borderId="0" applyFont="0" applyFill="0" applyBorder="0" applyAlignment="0" applyProtection="0"/>
    <xf numFmtId="0" fontId="14" fillId="0" borderId="0">
      <alignment horizontal="left" vertical="top" wrapText="1"/>
    </xf>
    <xf numFmtId="0" fontId="15" fillId="0" borderId="0"/>
    <xf numFmtId="43" fontId="15" fillId="0" borderId="0" applyFont="0" applyFill="0" applyBorder="0" applyAlignment="0" applyProtection="0"/>
    <xf numFmtId="0" fontId="17" fillId="0" borderId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15" applyNumberFormat="0" applyAlignment="0" applyProtection="0"/>
    <xf numFmtId="0" fontId="25" fillId="7" borderId="16" applyNumberFormat="0" applyAlignment="0" applyProtection="0"/>
    <xf numFmtId="0" fontId="26" fillId="7" borderId="15" applyNumberFormat="0" applyAlignment="0" applyProtection="0"/>
    <xf numFmtId="0" fontId="27" fillId="0" borderId="17" applyNumberFormat="0" applyFill="0" applyAlignment="0" applyProtection="0"/>
    <xf numFmtId="0" fontId="28" fillId="8" borderId="18" applyNumberFormat="0" applyAlignment="0" applyProtection="0"/>
    <xf numFmtId="0" fontId="29" fillId="0" borderId="0" applyNumberFormat="0" applyFill="0" applyBorder="0" applyAlignment="0" applyProtection="0"/>
    <xf numFmtId="0" fontId="12" fillId="9" borderId="19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2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2" fillId="33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7" fillId="9" borderId="19" applyNumberFormat="0" applyFont="0" applyAlignment="0" applyProtection="0"/>
    <xf numFmtId="0" fontId="34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10" borderId="0" applyNumberFormat="0" applyBorder="0" applyAlignment="0" applyProtection="0"/>
    <xf numFmtId="0" fontId="34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16" borderId="0" applyNumberFormat="0" applyBorder="0" applyAlignment="0" applyProtection="0"/>
    <xf numFmtId="0" fontId="34" fillId="17" borderId="0" applyNumberFormat="0" applyBorder="0" applyAlignment="0" applyProtection="0"/>
    <xf numFmtId="0" fontId="42" fillId="0" borderId="0" applyNumberFormat="0" applyFill="0" applyBorder="0" applyAlignment="0" applyProtection="0"/>
    <xf numFmtId="0" fontId="34" fillId="13" borderId="0" applyNumberFormat="0" applyBorder="0" applyAlignment="0" applyProtection="0"/>
    <xf numFmtId="0" fontId="40" fillId="0" borderId="12" applyNumberFormat="0" applyFill="0" applyAlignment="0" applyProtection="0"/>
    <xf numFmtId="0" fontId="34" fillId="25" borderId="0" applyNumberFormat="0" applyBorder="0" applyAlignment="0" applyProtection="0"/>
    <xf numFmtId="0" fontId="42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44" fillId="0" borderId="17" applyNumberFormat="0" applyFill="0" applyAlignment="0" applyProtection="0"/>
    <xf numFmtId="0" fontId="12" fillId="19" borderId="0" applyNumberFormat="0" applyBorder="0" applyAlignment="0" applyProtection="0"/>
    <xf numFmtId="0" fontId="12" fillId="15" borderId="0" applyNumberFormat="0" applyBorder="0" applyAlignment="0" applyProtection="0"/>
    <xf numFmtId="0" fontId="34" fillId="29" borderId="0" applyNumberFormat="0" applyBorder="0" applyAlignment="0" applyProtection="0"/>
    <xf numFmtId="0" fontId="38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45" fillId="5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36" fillId="7" borderId="15" applyNumberFormat="0" applyAlignment="0" applyProtection="0"/>
    <xf numFmtId="0" fontId="39" fillId="3" borderId="0" applyNumberFormat="0" applyBorder="0" applyAlignment="0" applyProtection="0"/>
    <xf numFmtId="0" fontId="46" fillId="7" borderId="16" applyNumberFormat="0" applyAlignment="0" applyProtection="0"/>
    <xf numFmtId="0" fontId="43" fillId="6" borderId="15" applyNumberFormat="0" applyAlignment="0" applyProtection="0"/>
    <xf numFmtId="0" fontId="41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7" fillId="8" borderId="18" applyNumberFormat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48" fillId="0" borderId="20" applyNumberFormat="0" applyFill="0" applyAlignment="0" applyProtection="0"/>
    <xf numFmtId="0" fontId="34" fillId="18" borderId="0" applyNumberFormat="0" applyBorder="0" applyAlignment="0" applyProtection="0"/>
    <xf numFmtId="0" fontId="12" fillId="27" borderId="0" applyNumberFormat="0" applyBorder="0" applyAlignment="0" applyProtection="0"/>
    <xf numFmtId="0" fontId="35" fillId="4" borderId="0" applyNumberFormat="0" applyBorder="0" applyAlignment="0" applyProtection="0"/>
    <xf numFmtId="0" fontId="12" fillId="1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1" fillId="0" borderId="0"/>
    <xf numFmtId="0" fontId="52" fillId="5" borderId="0" applyNumberFormat="0" applyBorder="0" applyAlignment="0" applyProtection="0"/>
    <xf numFmtId="0" fontId="17" fillId="0" borderId="0"/>
    <xf numFmtId="0" fontId="10" fillId="0" borderId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40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39" borderId="0" applyNumberFormat="0" applyBorder="0" applyAlignment="0" applyProtection="0"/>
    <xf numFmtId="0" fontId="53" fillId="47" borderId="0" applyNumberFormat="0" applyBorder="0" applyAlignment="0" applyProtection="0"/>
    <xf numFmtId="0" fontId="53" fillId="51" borderId="0" applyNumberFormat="0" applyBorder="0" applyAlignment="0" applyProtection="0"/>
    <xf numFmtId="0" fontId="54" fillId="35" borderId="0" applyNumberFormat="0" applyBorder="0" applyAlignment="0" applyProtection="0"/>
    <xf numFmtId="0" fontId="55" fillId="52" borderId="21" applyNumberFormat="0" applyAlignment="0" applyProtection="0"/>
    <xf numFmtId="0" fontId="56" fillId="53" borderId="22" applyNumberFormat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36" borderId="0" applyNumberFormat="0" applyBorder="0" applyAlignment="0" applyProtection="0"/>
    <xf numFmtId="0" fontId="59" fillId="0" borderId="23" applyNumberFormat="0" applyFill="0" applyAlignment="0" applyProtection="0"/>
    <xf numFmtId="0" fontId="60" fillId="0" borderId="24" applyNumberFormat="0" applyFill="0" applyAlignment="0" applyProtection="0"/>
    <xf numFmtId="0" fontId="61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62" fillId="42" borderId="21" applyNumberFormat="0" applyAlignment="0" applyProtection="0"/>
    <xf numFmtId="0" fontId="63" fillId="0" borderId="26" applyNumberFormat="0" applyFill="0" applyAlignment="0" applyProtection="0"/>
    <xf numFmtId="0" fontId="64" fillId="54" borderId="0" applyNumberFormat="0" applyBorder="0" applyAlignment="0" applyProtection="0"/>
    <xf numFmtId="1" fontId="70" fillId="0" borderId="0"/>
    <xf numFmtId="1" fontId="70" fillId="0" borderId="0"/>
    <xf numFmtId="1" fontId="70" fillId="0" borderId="0"/>
    <xf numFmtId="0" fontId="6" fillId="0" borderId="0"/>
    <xf numFmtId="0" fontId="10" fillId="0" borderId="0"/>
    <xf numFmtId="0" fontId="10" fillId="0" borderId="0"/>
    <xf numFmtId="0" fontId="15" fillId="55" borderId="27" applyNumberFormat="0" applyFont="0" applyAlignment="0" applyProtection="0"/>
    <xf numFmtId="0" fontId="65" fillId="52" borderId="28" applyNumberFormat="0" applyAlignment="0" applyProtection="0"/>
    <xf numFmtId="0" fontId="69" fillId="0" borderId="0"/>
    <xf numFmtId="0" fontId="69" fillId="0" borderId="0"/>
    <xf numFmtId="0" fontId="69" fillId="0" borderId="0"/>
    <xf numFmtId="0" fontId="66" fillId="0" borderId="0" applyNumberFormat="0" applyFill="0" applyBorder="0" applyAlignment="0" applyProtection="0"/>
    <xf numFmtId="0" fontId="67" fillId="0" borderId="29" applyNumberFormat="0" applyFill="0" applyAlignment="0" applyProtection="0"/>
    <xf numFmtId="0" fontId="68" fillId="0" borderId="0" applyNumberFormat="0" applyFill="0" applyBorder="0" applyAlignment="0" applyProtection="0"/>
    <xf numFmtId="0" fontId="51" fillId="0" borderId="0"/>
    <xf numFmtId="1" fontId="70" fillId="0" borderId="0"/>
    <xf numFmtId="0" fontId="71" fillId="0" borderId="0"/>
    <xf numFmtId="0" fontId="10" fillId="0" borderId="0"/>
    <xf numFmtId="0" fontId="6" fillId="0" borderId="0"/>
    <xf numFmtId="0" fontId="14" fillId="0" borderId="0">
      <alignment horizontal="left" vertical="top" wrapText="1"/>
    </xf>
    <xf numFmtId="0" fontId="5" fillId="9" borderId="1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69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9" borderId="1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38" fontId="77" fillId="0" borderId="0"/>
    <xf numFmtId="38" fontId="78" fillId="0" borderId="0"/>
    <xf numFmtId="38" fontId="79" fillId="0" borderId="0"/>
    <xf numFmtId="38" fontId="80" fillId="0" borderId="0"/>
    <xf numFmtId="0" fontId="81" fillId="0" borderId="0"/>
    <xf numFmtId="0" fontId="81" fillId="0" borderId="0"/>
    <xf numFmtId="0" fontId="82" fillId="0" borderId="0"/>
    <xf numFmtId="0" fontId="5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51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83" fillId="0" borderId="0"/>
    <xf numFmtId="0" fontId="10" fillId="0" borderId="0"/>
    <xf numFmtId="0" fontId="12" fillId="0" borderId="0"/>
    <xf numFmtId="0" fontId="10" fillId="0" borderId="0"/>
    <xf numFmtId="0" fontId="15" fillId="0" borderId="0"/>
    <xf numFmtId="0" fontId="10" fillId="0" borderId="0"/>
    <xf numFmtId="0" fontId="17" fillId="0" borderId="0"/>
    <xf numFmtId="0" fontId="51" fillId="0" borderId="0"/>
    <xf numFmtId="0" fontId="83" fillId="0" borderId="0"/>
    <xf numFmtId="0" fontId="50" fillId="55" borderId="39" applyNumberFormat="0" applyFont="0" applyAlignment="0" applyProtection="0"/>
    <xf numFmtId="9" fontId="5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84" fillId="0" borderId="40">
      <protection locked="0"/>
    </xf>
    <xf numFmtId="173" fontId="85" fillId="57" borderId="4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50" fillId="0" borderId="0"/>
    <xf numFmtId="0" fontId="10" fillId="0" borderId="0"/>
    <xf numFmtId="0" fontId="50" fillId="0" borderId="0"/>
    <xf numFmtId="0" fontId="14" fillId="0" borderId="0">
      <alignment horizontal="left" vertical="top" wrapText="1"/>
    </xf>
    <xf numFmtId="0" fontId="69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86" fillId="0" borderId="0"/>
    <xf numFmtId="43" fontId="1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55" fillId="5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62" fillId="42" borderId="21" applyNumberForma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15" fillId="55" borderId="27" applyNumberFormat="0" applyFon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5" fillId="52" borderId="28" applyNumberFormat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67" fillId="0" borderId="29" applyNumberFormat="0" applyFill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4" fillId="6" borderId="15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5" fillId="7" borderId="16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26" fillId="7" borderId="15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8" fillId="8" borderId="18" applyNumberFormat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1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top" wrapText="1"/>
    </xf>
    <xf numFmtId="0" fontId="12" fillId="0" borderId="0"/>
    <xf numFmtId="0" fontId="12" fillId="0" borderId="0"/>
    <xf numFmtId="0" fontId="12" fillId="0" borderId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12" fillId="9" borderId="19" applyNumberFormat="0" applyFont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9" fontId="12" fillId="0" borderId="0" applyFont="0" applyFill="0" applyBorder="0" applyAlignment="0" applyProtection="0"/>
  </cellStyleXfs>
  <cellXfs count="874">
    <xf numFmtId="0" fontId="0" fillId="0" borderId="0" xfId="0"/>
    <xf numFmtId="0" fontId="13" fillId="0" borderId="0" xfId="0" applyFont="1" applyAlignment="1">
      <alignment wrapText="1"/>
    </xf>
    <xf numFmtId="0" fontId="75" fillId="2" borderId="1" xfId="0" applyFont="1" applyFill="1" applyBorder="1" applyAlignment="1">
      <alignment horizontal="center" vertical="center" wrapText="1"/>
    </xf>
    <xf numFmtId="0" fontId="16" fillId="0" borderId="1" xfId="96" applyFont="1" applyBorder="1" applyAlignment="1">
      <alignment horizontal="center" vertical="center" wrapText="1"/>
    </xf>
    <xf numFmtId="0" fontId="16" fillId="0" borderId="1" xfId="96" applyFont="1" applyBorder="1" applyAlignment="1">
      <alignment horizontal="left" vertical="center" wrapText="1"/>
    </xf>
    <xf numFmtId="49" fontId="16" fillId="0" borderId="1" xfId="96" applyNumberFormat="1" applyFont="1" applyFill="1" applyBorder="1" applyAlignment="1">
      <alignment horizontal="center" vertical="center" textRotation="90" wrapText="1"/>
    </xf>
    <xf numFmtId="0" fontId="16" fillId="0" borderId="1" xfId="96" applyNumberFormat="1" applyFont="1" applyFill="1" applyBorder="1" applyAlignment="1">
      <alignment horizontal="center" vertical="center" wrapText="1"/>
    </xf>
    <xf numFmtId="168" fontId="16" fillId="0" borderId="3" xfId="96" applyNumberFormat="1" applyFont="1" applyFill="1" applyBorder="1" applyAlignment="1">
      <alignment horizontal="center" vertical="center" wrapText="1"/>
    </xf>
    <xf numFmtId="0" fontId="72" fillId="2" borderId="1" xfId="96" applyFont="1" applyFill="1" applyBorder="1" applyAlignment="1">
      <alignment horizontal="center" vertical="center" wrapText="1"/>
    </xf>
    <xf numFmtId="0" fontId="75" fillId="2" borderId="1" xfId="96" applyFont="1" applyFill="1" applyBorder="1" applyAlignment="1">
      <alignment horizontal="center" vertical="center" wrapText="1"/>
    </xf>
    <xf numFmtId="168" fontId="72" fillId="2" borderId="1" xfId="96" applyNumberFormat="1" applyFont="1" applyFill="1" applyBorder="1" applyAlignment="1">
      <alignment horizontal="center" vertic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169" fontId="16" fillId="0" borderId="1" xfId="96" applyNumberFormat="1" applyFont="1" applyBorder="1" applyAlignment="1">
      <alignment horizontal="center" vertical="center" wrapText="1"/>
    </xf>
    <xf numFmtId="165" fontId="16" fillId="2" borderId="1" xfId="6" applyNumberFormat="1" applyFont="1" applyFill="1" applyBorder="1" applyAlignment="1">
      <alignment horizontal="center" vertical="center"/>
    </xf>
    <xf numFmtId="0" fontId="73" fillId="0" borderId="1" xfId="96" applyFont="1" applyFill="1" applyBorder="1" applyAlignment="1">
      <alignment horizontal="left" vertical="center" wrapText="1"/>
    </xf>
    <xf numFmtId="0" fontId="16" fillId="0" borderId="2" xfId="96" applyFont="1" applyBorder="1" applyAlignment="1">
      <alignment horizontal="center" vertical="center" wrapText="1"/>
    </xf>
    <xf numFmtId="0" fontId="76" fillId="2" borderId="0" xfId="0" applyFont="1" applyFill="1"/>
    <xf numFmtId="0" fontId="72" fillId="0" borderId="0" xfId="96" applyFont="1" applyAlignment="1">
      <alignment vertical="center" wrapText="1"/>
    </xf>
    <xf numFmtId="0" fontId="72" fillId="0" borderId="0" xfId="96" applyFont="1" applyAlignment="1">
      <alignment horizontal="center" vertical="center" wrapText="1"/>
    </xf>
    <xf numFmtId="0" fontId="72" fillId="2" borderId="0" xfId="96" applyFont="1" applyFill="1" applyAlignment="1">
      <alignment horizontal="center" vertical="center" wrapText="1"/>
    </xf>
    <xf numFmtId="168" fontId="16" fillId="0" borderId="0" xfId="96" applyNumberFormat="1" applyFont="1" applyAlignment="1">
      <alignment vertical="center" wrapText="1"/>
    </xf>
    <xf numFmtId="0" fontId="16" fillId="0" borderId="0" xfId="96" applyFont="1" applyAlignment="1">
      <alignment vertical="center" wrapText="1"/>
    </xf>
    <xf numFmtId="168" fontId="72" fillId="2" borderId="0" xfId="96" applyNumberFormat="1" applyFont="1" applyFill="1" applyAlignment="1">
      <alignment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top" wrapText="1"/>
    </xf>
    <xf numFmtId="0" fontId="16" fillId="0" borderId="3" xfId="96" applyFont="1" applyBorder="1" applyAlignment="1">
      <alignment horizontal="center" vertical="center" wrapText="1"/>
    </xf>
    <xf numFmtId="0" fontId="73" fillId="0" borderId="34" xfId="96" applyFont="1" applyFill="1" applyBorder="1" applyAlignment="1">
      <alignment horizontal="left" vertical="center" wrapText="1"/>
    </xf>
    <xf numFmtId="0" fontId="16" fillId="0" borderId="41" xfId="96" applyFont="1" applyBorder="1" applyAlignment="1">
      <alignment horizontal="center" vertical="center" wrapText="1"/>
    </xf>
    <xf numFmtId="169" fontId="16" fillId="2" borderId="31" xfId="7" applyNumberFormat="1" applyFont="1" applyFill="1" applyBorder="1" applyAlignment="1">
      <alignment horizontal="center" vertical="center" wrapText="1"/>
    </xf>
    <xf numFmtId="166" fontId="87" fillId="0" borderId="44" xfId="7" applyNumberFormat="1" applyFont="1" applyFill="1" applyBorder="1" applyAlignment="1">
      <alignment vertical="top" wrapText="1"/>
    </xf>
    <xf numFmtId="168" fontId="74" fillId="2" borderId="1" xfId="96" applyNumberFormat="1" applyFont="1" applyFill="1" applyBorder="1" applyAlignment="1">
      <alignment horizontal="center" vertical="center" wrapText="1"/>
    </xf>
    <xf numFmtId="0" fontId="76" fillId="0" borderId="48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169" fontId="13" fillId="2" borderId="48" xfId="7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horizontal="left" vertical="center" wrapText="1"/>
    </xf>
    <xf numFmtId="0" fontId="76" fillId="0" borderId="48" xfId="0" applyFont="1" applyBorder="1" applyAlignment="1">
      <alignment horizontal="center" vertical="center" wrapText="1"/>
    </xf>
    <xf numFmtId="0" fontId="76" fillId="0" borderId="48" xfId="0" applyFont="1" applyBorder="1" applyAlignment="1">
      <alignment horizontal="left" vertical="top" wrapText="1"/>
    </xf>
    <xf numFmtId="0" fontId="16" fillId="0" borderId="48" xfId="0" applyFont="1" applyBorder="1" applyAlignment="1">
      <alignment horizontal="left" vertical="top" wrapText="1"/>
    </xf>
    <xf numFmtId="0" fontId="76" fillId="0" borderId="0" xfId="0" applyFont="1" applyAlignment="1">
      <alignment horizontal="left" vertical="top" wrapText="1"/>
    </xf>
    <xf numFmtId="0" fontId="72" fillId="0" borderId="0" xfId="0" applyFont="1"/>
    <xf numFmtId="0" fontId="72" fillId="2" borderId="0" xfId="0" applyFont="1" applyFill="1"/>
    <xf numFmtId="0" fontId="88" fillId="0" borderId="0" xfId="0" applyFont="1" applyAlignment="1">
      <alignment horizontal="left" vertical="top" wrapText="1"/>
    </xf>
    <xf numFmtId="0" fontId="72" fillId="0" borderId="11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72" fillId="2" borderId="8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top" wrapText="1"/>
    </xf>
    <xf numFmtId="0" fontId="72" fillId="0" borderId="7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89" fillId="0" borderId="4" xfId="0" applyFont="1" applyBorder="1" applyAlignment="1">
      <alignment vertical="top" wrapText="1"/>
    </xf>
    <xf numFmtId="0" fontId="72" fillId="0" borderId="1" xfId="0" applyFont="1" applyBorder="1" applyAlignment="1">
      <alignment horizontal="left" vertical="top" wrapText="1"/>
    </xf>
    <xf numFmtId="167" fontId="72" fillId="0" borderId="31" xfId="0" applyNumberFormat="1" applyFont="1" applyBorder="1" applyAlignment="1">
      <alignment horizontal="center" vertical="center" wrapText="1"/>
    </xf>
    <xf numFmtId="167" fontId="72" fillId="2" borderId="31" xfId="0" applyNumberFormat="1" applyFont="1" applyFill="1" applyBorder="1" applyAlignment="1">
      <alignment horizontal="center" vertical="center" wrapText="1"/>
    </xf>
    <xf numFmtId="0" fontId="89" fillId="0" borderId="6" xfId="0" applyFont="1" applyBorder="1" applyAlignment="1">
      <alignment vertical="top" wrapText="1"/>
    </xf>
    <xf numFmtId="0" fontId="90" fillId="0" borderId="31" xfId="0" applyFont="1" applyBorder="1" applyAlignment="1">
      <alignment horizontal="left" vertical="top" wrapText="1"/>
    </xf>
    <xf numFmtId="165" fontId="16" fillId="0" borderId="31" xfId="0" applyNumberFormat="1" applyFont="1" applyBorder="1" applyAlignment="1">
      <alignment horizontal="left" vertical="top" wrapText="1"/>
    </xf>
    <xf numFmtId="165" fontId="16" fillId="2" borderId="31" xfId="0" applyNumberFormat="1" applyFont="1" applyFill="1" applyBorder="1" applyAlignment="1">
      <alignment horizontal="left" vertical="top" wrapText="1"/>
    </xf>
    <xf numFmtId="165" fontId="16" fillId="0" borderId="31" xfId="6" applyNumberFormat="1" applyFont="1" applyBorder="1" applyAlignment="1">
      <alignment horizontal="center" vertical="center"/>
    </xf>
    <xf numFmtId="165" fontId="88" fillId="0" borderId="0" xfId="0" applyNumberFormat="1" applyFont="1" applyAlignment="1">
      <alignment horizontal="left" vertical="top" wrapText="1"/>
    </xf>
    <xf numFmtId="0" fontId="92" fillId="0" borderId="31" xfId="165" applyFont="1" applyBorder="1">
      <alignment horizontal="left" vertical="top" wrapText="1"/>
    </xf>
    <xf numFmtId="0" fontId="93" fillId="0" borderId="31" xfId="165" applyFont="1" applyBorder="1" applyAlignment="1">
      <alignment horizontal="left" vertical="top" wrapText="1"/>
    </xf>
    <xf numFmtId="0" fontId="88" fillId="0" borderId="31" xfId="0" applyFont="1" applyBorder="1" applyAlignment="1"/>
    <xf numFmtId="0" fontId="88" fillId="2" borderId="31" xfId="0" applyFont="1" applyFill="1" applyBorder="1" applyAlignment="1"/>
    <xf numFmtId="0" fontId="93" fillId="0" borderId="31" xfId="165" applyFont="1" applyBorder="1" applyAlignment="1">
      <alignment horizontal="center" vertical="top"/>
    </xf>
    <xf numFmtId="0" fontId="93" fillId="2" borderId="31" xfId="165" applyFont="1" applyFill="1" applyBorder="1" applyAlignment="1">
      <alignment horizontal="center" vertical="top"/>
    </xf>
    <xf numFmtId="0" fontId="92" fillId="2" borderId="31" xfId="165" applyFont="1" applyFill="1" applyBorder="1">
      <alignment horizontal="left" vertical="top" wrapText="1"/>
    </xf>
    <xf numFmtId="165" fontId="16" fillId="0" borderId="31" xfId="6" applyNumberFormat="1" applyFont="1" applyBorder="1" applyAlignment="1">
      <alignment horizontal="right" vertical="top"/>
    </xf>
    <xf numFmtId="0" fontId="16" fillId="2" borderId="31" xfId="165" applyFont="1" applyFill="1" applyBorder="1" applyAlignment="1">
      <alignment horizontal="left" vertical="top" wrapText="1"/>
    </xf>
    <xf numFmtId="165" fontId="16" fillId="0" borderId="31" xfId="6" applyNumberFormat="1" applyFont="1" applyBorder="1" applyAlignment="1">
      <alignment horizontal="right" vertical="center"/>
    </xf>
    <xf numFmtId="39" fontId="88" fillId="0" borderId="0" xfId="0" applyNumberFormat="1" applyFont="1" applyAlignment="1">
      <alignment horizontal="left" vertical="top" wrapText="1"/>
    </xf>
    <xf numFmtId="0" fontId="93" fillId="2" borderId="31" xfId="165" applyFont="1" applyFill="1" applyBorder="1" applyAlignment="1">
      <alignment horizontal="left" vertical="top" wrapText="1"/>
    </xf>
    <xf numFmtId="0" fontId="16" fillId="0" borderId="31" xfId="0" applyFont="1" applyFill="1" applyBorder="1" applyAlignment="1">
      <alignment horizontal="left" vertical="top" wrapText="1"/>
    </xf>
    <xf numFmtId="0" fontId="16" fillId="2" borderId="31" xfId="165" applyFont="1" applyFill="1" applyBorder="1" applyAlignment="1">
      <alignment horizontal="left" vertical="center" wrapText="1"/>
    </xf>
    <xf numFmtId="0" fontId="16" fillId="0" borderId="31" xfId="165" applyFont="1" applyBorder="1" applyAlignment="1">
      <alignment horizontal="left" vertical="center" wrapText="1"/>
    </xf>
    <xf numFmtId="0" fontId="90" fillId="0" borderId="3" xfId="0" applyFont="1" applyBorder="1" applyAlignment="1">
      <alignment horizontal="left" vertical="top" wrapText="1"/>
    </xf>
    <xf numFmtId="165" fontId="72" fillId="0" borderId="31" xfId="0" applyNumberFormat="1" applyFont="1" applyBorder="1"/>
    <xf numFmtId="165" fontId="72" fillId="2" borderId="31" xfId="0" applyNumberFormat="1" applyFont="1" applyFill="1" applyBorder="1"/>
    <xf numFmtId="165" fontId="72" fillId="0" borderId="0" xfId="0" applyNumberFormat="1" applyFont="1"/>
    <xf numFmtId="0" fontId="90" fillId="0" borderId="1" xfId="0" applyFont="1" applyBorder="1" applyAlignment="1">
      <alignment horizontal="left" vertical="top" wrapText="1"/>
    </xf>
    <xf numFmtId="0" fontId="16" fillId="0" borderId="31" xfId="0" applyFont="1" applyBorder="1"/>
    <xf numFmtId="0" fontId="16" fillId="2" borderId="31" xfId="0" applyFont="1" applyFill="1" applyBorder="1"/>
    <xf numFmtId="0" fontId="93" fillId="0" borderId="1" xfId="8" applyFont="1" applyBorder="1" applyAlignment="1">
      <alignment horizontal="left" vertical="top" wrapText="1"/>
    </xf>
    <xf numFmtId="0" fontId="93" fillId="0" borderId="8" xfId="8" applyFont="1" applyBorder="1" applyAlignment="1">
      <alignment horizontal="left" vertical="top" wrapText="1"/>
    </xf>
    <xf numFmtId="0" fontId="72" fillId="0" borderId="32" xfId="0" applyFont="1" applyBorder="1" applyAlignment="1">
      <alignment horizontal="center" vertical="top" wrapText="1"/>
    </xf>
    <xf numFmtId="0" fontId="72" fillId="0" borderId="1" xfId="0" applyFont="1" applyBorder="1" applyAlignment="1"/>
    <xf numFmtId="0" fontId="72" fillId="2" borderId="1" xfId="0" applyFont="1" applyFill="1" applyBorder="1" applyAlignment="1"/>
    <xf numFmtId="165" fontId="72" fillId="0" borderId="31" xfId="6" applyNumberFormat="1" applyFont="1" applyBorder="1" applyAlignment="1">
      <alignment horizontal="right" vertical="top"/>
    </xf>
    <xf numFmtId="165" fontId="72" fillId="2" borderId="31" xfId="6" applyNumberFormat="1" applyFont="1" applyFill="1" applyBorder="1" applyAlignment="1">
      <alignment horizontal="right" vertical="top"/>
    </xf>
    <xf numFmtId="0" fontId="16" fillId="0" borderId="1" xfId="8" applyFont="1" applyBorder="1" applyAlignment="1">
      <alignment horizontal="left" vertical="center" wrapText="1"/>
    </xf>
    <xf numFmtId="165" fontId="16" fillId="0" borderId="31" xfId="6" applyNumberFormat="1" applyFont="1" applyBorder="1" applyAlignment="1">
      <alignment vertical="center"/>
    </xf>
    <xf numFmtId="0" fontId="72" fillId="0" borderId="31" xfId="0" applyFont="1" applyBorder="1" applyAlignment="1">
      <alignment horizontal="left" vertical="top" wrapText="1"/>
    </xf>
    <xf numFmtId="0" fontId="72" fillId="2" borderId="31" xfId="0" applyFont="1" applyFill="1" applyBorder="1" applyAlignment="1">
      <alignment horizontal="left" vertical="top" wrapText="1"/>
    </xf>
    <xf numFmtId="0" fontId="72" fillId="0" borderId="1" xfId="8" applyFont="1" applyBorder="1" applyAlignment="1">
      <alignment horizontal="left" vertical="top" wrapText="1"/>
    </xf>
    <xf numFmtId="0" fontId="72" fillId="2" borderId="1" xfId="0" applyFont="1" applyFill="1" applyBorder="1" applyAlignment="1">
      <alignment horizontal="left" vertical="top" wrapText="1"/>
    </xf>
    <xf numFmtId="0" fontId="89" fillId="0" borderId="47" xfId="0" applyFont="1" applyBorder="1" applyAlignment="1">
      <alignment vertical="top" wrapText="1"/>
    </xf>
    <xf numFmtId="168" fontId="72" fillId="0" borderId="31" xfId="0" applyNumberFormat="1" applyFont="1" applyFill="1" applyBorder="1" applyAlignment="1">
      <alignment vertical="center"/>
    </xf>
    <xf numFmtId="168" fontId="16" fillId="0" borderId="31" xfId="0" applyNumberFormat="1" applyFont="1" applyFill="1" applyBorder="1" applyAlignment="1">
      <alignment horizontal="center" vertical="center"/>
    </xf>
    <xf numFmtId="0" fontId="72" fillId="0" borderId="31" xfId="0" applyFont="1" applyBorder="1"/>
    <xf numFmtId="0" fontId="72" fillId="2" borderId="31" xfId="0" applyFont="1" applyFill="1" applyBorder="1"/>
    <xf numFmtId="169" fontId="16" fillId="0" borderId="31" xfId="0" applyNumberFormat="1" applyFont="1" applyFill="1" applyBorder="1" applyAlignment="1">
      <alignment vertical="center"/>
    </xf>
    <xf numFmtId="169" fontId="72" fillId="0" borderId="31" xfId="0" applyNumberFormat="1" applyFont="1" applyFill="1" applyBorder="1" applyAlignment="1">
      <alignment vertical="center"/>
    </xf>
    <xf numFmtId="0" fontId="16" fillId="0" borderId="1" xfId="8" applyFont="1" applyBorder="1" applyAlignment="1">
      <alignment horizontal="left" vertical="top" wrapText="1"/>
    </xf>
    <xf numFmtId="0" fontId="72" fillId="0" borderId="1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top"/>
    </xf>
    <xf numFmtId="0" fontId="72" fillId="0" borderId="0" xfId="0" applyFont="1" applyAlignment="1">
      <alignment horizontal="left" vertical="top" wrapText="1"/>
    </xf>
    <xf numFmtId="0" fontId="72" fillId="0" borderId="31" xfId="0" applyFont="1" applyBorder="1" applyAlignment="1">
      <alignment horizontal="center" vertical="top" wrapText="1"/>
    </xf>
    <xf numFmtId="0" fontId="16" fillId="2" borderId="31" xfId="0" applyFont="1" applyFill="1" applyBorder="1" applyAlignment="1">
      <alignment horizontal="left" vertical="top" wrapText="1"/>
    </xf>
    <xf numFmtId="166" fontId="72" fillId="2" borderId="31" xfId="7" applyNumberFormat="1" applyFont="1" applyFill="1" applyBorder="1" applyAlignment="1">
      <alignment horizontal="center" vertical="center" wrapText="1"/>
    </xf>
    <xf numFmtId="169" fontId="72" fillId="2" borderId="31" xfId="7" applyNumberFormat="1" applyFont="1" applyFill="1" applyBorder="1" applyAlignment="1">
      <alignment horizontal="center" vertical="center" wrapText="1"/>
    </xf>
    <xf numFmtId="169" fontId="72" fillId="0" borderId="31" xfId="7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left" vertical="top" wrapText="1"/>
    </xf>
    <xf numFmtId="0" fontId="72" fillId="0" borderId="0" xfId="0" applyFont="1" applyFill="1" applyAlignment="1">
      <alignment horizontal="left" vertical="top" wrapText="1"/>
    </xf>
    <xf numFmtId="0" fontId="72" fillId="0" borderId="31" xfId="0" applyFont="1" applyFill="1" applyBorder="1" applyAlignment="1">
      <alignment horizontal="left" vertical="top" wrapText="1"/>
    </xf>
    <xf numFmtId="43" fontId="72" fillId="0" borderId="31" xfId="7" applyNumberFormat="1" applyFont="1" applyFill="1" applyBorder="1" applyAlignment="1">
      <alignment horizontal="center" vertical="center" wrapText="1"/>
    </xf>
    <xf numFmtId="0" fontId="72" fillId="0" borderId="31" xfId="0" applyFont="1" applyFill="1" applyBorder="1" applyAlignment="1">
      <alignment horizontal="left" vertical="center" wrapText="1"/>
    </xf>
    <xf numFmtId="166" fontId="16" fillId="0" borderId="31" xfId="7" applyNumberFormat="1" applyFont="1" applyFill="1" applyBorder="1" applyAlignment="1">
      <alignment horizontal="center" vertical="center" wrapText="1"/>
    </xf>
    <xf numFmtId="169" fontId="16" fillId="0" borderId="31" xfId="7" applyNumberFormat="1" applyFont="1" applyFill="1" applyBorder="1" applyAlignment="1">
      <alignment horizontal="center" vertical="center" wrapText="1"/>
    </xf>
    <xf numFmtId="166" fontId="16" fillId="0" borderId="31" xfId="7" applyNumberFormat="1" applyFont="1" applyFill="1" applyBorder="1" applyAlignment="1">
      <alignment horizontal="right" vertical="center" wrapText="1"/>
    </xf>
    <xf numFmtId="169" fontId="16" fillId="0" borderId="31" xfId="7" applyNumberFormat="1" applyFont="1" applyFill="1" applyBorder="1" applyAlignment="1">
      <alignment horizontal="right" vertical="center" wrapText="1"/>
    </xf>
    <xf numFmtId="0" fontId="90" fillId="0" borderId="31" xfId="165" applyFont="1" applyBorder="1" applyAlignment="1">
      <alignment horizontal="left" vertical="top" wrapText="1"/>
    </xf>
    <xf numFmtId="166" fontId="90" fillId="2" borderId="31" xfId="7" applyNumberFormat="1" applyFont="1" applyFill="1" applyBorder="1" applyAlignment="1">
      <alignment horizontal="center" vertical="center" wrapText="1"/>
    </xf>
    <xf numFmtId="169" fontId="90" fillId="2" borderId="31" xfId="7" applyNumberFormat="1" applyFont="1" applyFill="1" applyBorder="1" applyAlignment="1">
      <alignment horizontal="center" vertical="center" wrapText="1"/>
    </xf>
    <xf numFmtId="0" fontId="90" fillId="0" borderId="0" xfId="0" applyFont="1" applyAlignment="1">
      <alignment horizontal="left" vertical="top" wrapText="1"/>
    </xf>
    <xf numFmtId="166" fontId="72" fillId="2" borderId="31" xfId="7" applyNumberFormat="1" applyFont="1" applyFill="1" applyBorder="1" applyAlignment="1">
      <alignment vertical="center" wrapText="1"/>
    </xf>
    <xf numFmtId="166" fontId="72" fillId="2" borderId="31" xfId="7" applyNumberFormat="1" applyFont="1" applyFill="1" applyBorder="1" applyAlignment="1">
      <alignment horizontal="right" vertical="center" wrapText="1"/>
    </xf>
    <xf numFmtId="172" fontId="72" fillId="0" borderId="0" xfId="0" applyNumberFormat="1" applyFont="1" applyAlignment="1">
      <alignment horizontal="left" vertical="top" wrapText="1"/>
    </xf>
    <xf numFmtId="167" fontId="72" fillId="0" borderId="0" xfId="0" applyNumberFormat="1" applyFont="1" applyAlignment="1">
      <alignment horizontal="left" vertical="top" wrapText="1"/>
    </xf>
    <xf numFmtId="169" fontId="72" fillId="2" borderId="31" xfId="7" applyNumberFormat="1" applyFont="1" applyFill="1" applyBorder="1" applyAlignment="1">
      <alignment vertical="center" wrapText="1"/>
    </xf>
    <xf numFmtId="169" fontId="72" fillId="2" borderId="31" xfId="7" applyNumberFormat="1" applyFont="1" applyFill="1" applyBorder="1" applyAlignment="1">
      <alignment horizontal="right" vertical="center" wrapText="1"/>
    </xf>
    <xf numFmtId="0" fontId="16" fillId="2" borderId="43" xfId="0" applyFont="1" applyFill="1" applyBorder="1" applyAlignment="1">
      <alignment horizontal="left" vertical="top" wrapText="1"/>
    </xf>
    <xf numFmtId="49" fontId="72" fillId="0" borderId="31" xfId="0" applyNumberFormat="1" applyFont="1" applyBorder="1" applyAlignment="1">
      <alignment horizontal="left" vertical="top" wrapText="1"/>
    </xf>
    <xf numFmtId="43" fontId="72" fillId="0" borderId="31" xfId="7" applyNumberFormat="1" applyFont="1" applyFill="1" applyBorder="1" applyAlignment="1">
      <alignment vertical="center" wrapText="1"/>
    </xf>
    <xf numFmtId="169" fontId="72" fillId="0" borderId="31" xfId="7" applyNumberFormat="1" applyFont="1" applyFill="1" applyBorder="1" applyAlignment="1">
      <alignment vertical="center" wrapText="1"/>
    </xf>
    <xf numFmtId="0" fontId="16" fillId="0" borderId="42" xfId="0" applyFont="1" applyBorder="1" applyAlignment="1">
      <alignment horizontal="center" wrapText="1"/>
    </xf>
    <xf numFmtId="166" fontId="72" fillId="0" borderId="31" xfId="7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66" fontId="72" fillId="2" borderId="0" xfId="7" applyNumberFormat="1" applyFont="1" applyFill="1" applyBorder="1" applyAlignment="1">
      <alignment horizontal="right" vertical="center" wrapText="1"/>
    </xf>
    <xf numFmtId="165" fontId="72" fillId="0" borderId="31" xfId="6" applyNumberFormat="1" applyFont="1" applyFill="1" applyBorder="1" applyAlignment="1">
      <alignment horizontal="center" vertical="center"/>
    </xf>
    <xf numFmtId="169" fontId="72" fillId="0" borderId="0" xfId="96" applyNumberFormat="1" applyFont="1" applyFill="1" applyAlignment="1">
      <alignment vertical="center" wrapText="1"/>
    </xf>
    <xf numFmtId="49" fontId="16" fillId="0" borderId="0" xfId="96" applyNumberFormat="1" applyFont="1" applyFill="1" applyAlignment="1">
      <alignment horizontal="center" vertical="center" wrapText="1"/>
    </xf>
    <xf numFmtId="168" fontId="16" fillId="0" borderId="0" xfId="96" applyNumberFormat="1" applyFont="1" applyFill="1" applyAlignment="1">
      <alignment horizontal="center" vertical="center" wrapText="1"/>
    </xf>
    <xf numFmtId="168" fontId="16" fillId="0" borderId="1" xfId="96" applyNumberFormat="1" applyFont="1" applyFill="1" applyBorder="1" applyAlignment="1">
      <alignment horizontal="center" vertical="center" wrapText="1"/>
    </xf>
    <xf numFmtId="0" fontId="72" fillId="0" borderId="34" xfId="0" applyFont="1" applyBorder="1" applyAlignment="1">
      <alignment horizontal="center"/>
    </xf>
    <xf numFmtId="0" fontId="72" fillId="0" borderId="1" xfId="0" applyFont="1" applyBorder="1"/>
    <xf numFmtId="166" fontId="73" fillId="0" borderId="1" xfId="7" applyNumberFormat="1" applyFont="1" applyBorder="1"/>
    <xf numFmtId="0" fontId="90" fillId="0" borderId="34" xfId="0" applyFont="1" applyBorder="1" applyAlignment="1">
      <alignment vertical="center" wrapText="1"/>
    </xf>
    <xf numFmtId="166" fontId="90" fillId="0" borderId="1" xfId="7" applyNumberFormat="1" applyFont="1" applyBorder="1" applyAlignment="1">
      <alignment vertical="center"/>
    </xf>
    <xf numFmtId="166" fontId="90" fillId="0" borderId="31" xfId="7" applyNumberFormat="1" applyFont="1" applyBorder="1" applyAlignment="1">
      <alignment vertical="center"/>
    </xf>
    <xf numFmtId="166" fontId="73" fillId="0" borderId="31" xfId="7" applyNumberFormat="1" applyFont="1" applyBorder="1" applyAlignment="1">
      <alignment vertical="center"/>
    </xf>
    <xf numFmtId="0" fontId="95" fillId="0" borderId="31" xfId="0" applyFont="1" applyBorder="1" applyAlignment="1">
      <alignment vertical="center" wrapText="1"/>
    </xf>
    <xf numFmtId="0" fontId="72" fillId="0" borderId="1" xfId="0" applyFont="1" applyBorder="1" applyAlignment="1">
      <alignment horizontal="center"/>
    </xf>
    <xf numFmtId="0" fontId="95" fillId="2" borderId="34" xfId="0" applyFont="1" applyFill="1" applyBorder="1" applyAlignment="1">
      <alignment vertical="center" wrapText="1"/>
    </xf>
    <xf numFmtId="0" fontId="90" fillId="2" borderId="1" xfId="0" applyFont="1" applyFill="1" applyBorder="1" applyAlignment="1">
      <alignment vertical="center" wrapText="1"/>
    </xf>
    <xf numFmtId="0" fontId="90" fillId="2" borderId="34" xfId="0" applyFont="1" applyFill="1" applyBorder="1" applyAlignment="1">
      <alignment vertical="center" wrapText="1"/>
    </xf>
    <xf numFmtId="166" fontId="73" fillId="0" borderId="1" xfId="7" applyNumberFormat="1" applyFont="1" applyBorder="1" applyAlignment="1">
      <alignment vertical="center"/>
    </xf>
    <xf numFmtId="167" fontId="16" fillId="0" borderId="0" xfId="0" applyNumberFormat="1" applyFont="1"/>
    <xf numFmtId="165" fontId="16" fillId="0" borderId="0" xfId="0" applyNumberFormat="1" applyFont="1"/>
    <xf numFmtId="168" fontId="72" fillId="0" borderId="0" xfId="0" applyNumberFormat="1" applyFont="1"/>
    <xf numFmtId="0" fontId="76" fillId="0" borderId="0" xfId="0" applyFont="1"/>
    <xf numFmtId="0" fontId="76" fillId="0" borderId="0" xfId="0" applyFont="1" applyAlignment="1">
      <alignment wrapText="1"/>
    </xf>
    <xf numFmtId="168" fontId="76" fillId="0" borderId="0" xfId="0" applyNumberFormat="1" applyFont="1"/>
    <xf numFmtId="0" fontId="90" fillId="2" borderId="1" xfId="0" applyFont="1" applyFill="1" applyBorder="1" applyAlignment="1">
      <alignment horizontal="center" vertical="center" wrapText="1"/>
    </xf>
    <xf numFmtId="168" fontId="74" fillId="2" borderId="31" xfId="96" applyNumberFormat="1" applyFont="1" applyFill="1" applyBorder="1" applyAlignment="1">
      <alignment horizontal="center" vertical="center" wrapText="1"/>
    </xf>
    <xf numFmtId="0" fontId="72" fillId="0" borderId="1" xfId="96" applyFont="1" applyBorder="1" applyAlignment="1">
      <alignment horizontal="center" vertical="center" wrapText="1"/>
    </xf>
    <xf numFmtId="168" fontId="16" fillId="2" borderId="1" xfId="96" applyNumberFormat="1" applyFont="1" applyFill="1" applyBorder="1" applyAlignment="1">
      <alignment vertical="center" wrapText="1"/>
    </xf>
    <xf numFmtId="168" fontId="72" fillId="2" borderId="1" xfId="96" applyNumberFormat="1" applyFont="1" applyFill="1" applyBorder="1" applyAlignment="1">
      <alignment vertical="center" wrapText="1"/>
    </xf>
    <xf numFmtId="0" fontId="73" fillId="0" borderId="1" xfId="96" applyFont="1" applyBorder="1" applyAlignment="1">
      <alignment horizontal="center" vertical="center" wrapText="1"/>
    </xf>
    <xf numFmtId="168" fontId="73" fillId="2" borderId="1" xfId="96" applyNumberFormat="1" applyFont="1" applyFill="1" applyBorder="1" applyAlignment="1">
      <alignment horizontal="center" vertical="center" wrapText="1"/>
    </xf>
    <xf numFmtId="166" fontId="13" fillId="0" borderId="31" xfId="0" applyNumberFormat="1" applyFont="1" applyBorder="1"/>
    <xf numFmtId="166" fontId="76" fillId="0" borderId="31" xfId="7" applyNumberFormat="1" applyFont="1" applyBorder="1" applyAlignment="1">
      <alignment horizontal="center" vertical="center"/>
    </xf>
    <xf numFmtId="168" fontId="16" fillId="2" borderId="1" xfId="96" applyNumberFormat="1" applyFont="1" applyFill="1" applyBorder="1" applyAlignment="1">
      <alignment horizontal="center" vertical="center" wrapText="1"/>
    </xf>
    <xf numFmtId="0" fontId="73" fillId="0" borderId="31" xfId="96" applyFont="1" applyFill="1" applyBorder="1" applyAlignment="1">
      <alignment horizontal="left" vertical="center" wrapText="1"/>
    </xf>
    <xf numFmtId="0" fontId="90" fillId="2" borderId="31" xfId="0" applyFont="1" applyFill="1" applyBorder="1" applyAlignment="1">
      <alignment vertical="center" wrapText="1"/>
    </xf>
    <xf numFmtId="168" fontId="16" fillId="2" borderId="31" xfId="96" applyNumberFormat="1" applyFont="1" applyFill="1" applyBorder="1" applyAlignment="1">
      <alignment vertical="center" wrapText="1"/>
    </xf>
    <xf numFmtId="168" fontId="72" fillId="2" borderId="31" xfId="96" applyNumberFormat="1" applyFont="1" applyFill="1" applyBorder="1" applyAlignment="1">
      <alignment vertical="center" wrapText="1"/>
    </xf>
    <xf numFmtId="168" fontId="72" fillId="2" borderId="31" xfId="96" applyNumberFormat="1" applyFont="1" applyFill="1" applyBorder="1" applyAlignment="1">
      <alignment horizontal="center" vertical="center" wrapText="1"/>
    </xf>
    <xf numFmtId="166" fontId="13" fillId="0" borderId="31" xfId="7" applyNumberFormat="1" applyFont="1" applyBorder="1" applyAlignment="1">
      <alignment vertical="center"/>
    </xf>
    <xf numFmtId="166" fontId="76" fillId="0" borderId="31" xfId="7" applyNumberFormat="1" applyFont="1" applyBorder="1" applyAlignment="1">
      <alignment vertical="center"/>
    </xf>
    <xf numFmtId="0" fontId="73" fillId="2" borderId="34" xfId="96" applyFont="1" applyFill="1" applyBorder="1" applyAlignment="1">
      <alignment horizontal="left" vertical="center" wrapText="1"/>
    </xf>
    <xf numFmtId="166" fontId="13" fillId="2" borderId="31" xfId="0" applyNumberFormat="1" applyFont="1" applyFill="1" applyBorder="1"/>
    <xf numFmtId="166" fontId="76" fillId="2" borderId="31" xfId="7" applyNumberFormat="1" applyFont="1" applyFill="1" applyBorder="1" applyAlignment="1">
      <alignment vertical="center"/>
    </xf>
    <xf numFmtId="0" fontId="16" fillId="0" borderId="31" xfId="96" applyFont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right"/>
    </xf>
    <xf numFmtId="0" fontId="76" fillId="0" borderId="0" xfId="0" applyFont="1" applyBorder="1"/>
    <xf numFmtId="0" fontId="72" fillId="0" borderId="0" xfId="0" applyFont="1" applyBorder="1"/>
    <xf numFmtId="167" fontId="76" fillId="0" borderId="0" xfId="0" applyNumberFormat="1" applyFont="1" applyBorder="1"/>
    <xf numFmtId="0" fontId="16" fillId="2" borderId="44" xfId="0" applyFont="1" applyFill="1" applyBorder="1" applyAlignment="1">
      <alignment vertical="top" wrapText="1"/>
    </xf>
    <xf numFmtId="0" fontId="76" fillId="0" borderId="44" xfId="0" applyFont="1" applyBorder="1"/>
    <xf numFmtId="0" fontId="72" fillId="0" borderId="44" xfId="0" applyFont="1" applyBorder="1" applyAlignment="1">
      <alignment horizontal="left" vertical="top" wrapText="1"/>
    </xf>
    <xf numFmtId="0" fontId="76" fillId="0" borderId="44" xfId="0" applyFont="1" applyBorder="1" applyAlignment="1">
      <alignment vertical="top" wrapText="1"/>
    </xf>
    <xf numFmtId="0" fontId="13" fillId="0" borderId="44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72" fillId="2" borderId="1" xfId="0" applyFont="1" applyFill="1" applyBorder="1" applyAlignment="1">
      <alignment vertical="top" wrapText="1"/>
    </xf>
    <xf numFmtId="0" fontId="72" fillId="2" borderId="1" xfId="0" applyFont="1" applyFill="1" applyBorder="1" applyAlignment="1">
      <alignment horizontal="center" vertical="top" wrapText="1"/>
    </xf>
    <xf numFmtId="0" fontId="92" fillId="0" borderId="1" xfId="0" applyFont="1" applyBorder="1" applyAlignment="1">
      <alignment horizontal="left" vertical="top" wrapText="1"/>
    </xf>
    <xf numFmtId="0" fontId="72" fillId="2" borderId="1" xfId="0" applyFont="1" applyFill="1" applyBorder="1" applyAlignment="1">
      <alignment horizontal="left" vertical="top"/>
    </xf>
    <xf numFmtId="165" fontId="72" fillId="0" borderId="1" xfId="6" applyNumberFormat="1" applyFont="1" applyBorder="1" applyAlignment="1">
      <alignment horizontal="right" vertical="top"/>
    </xf>
    <xf numFmtId="0" fontId="90" fillId="2" borderId="3" xfId="0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72" fillId="0" borderId="4" xfId="0" applyFont="1" applyBorder="1" applyAlignment="1">
      <alignment horizontal="left" vertical="top" wrapText="1"/>
    </xf>
    <xf numFmtId="0" fontId="72" fillId="0" borderId="1" xfId="0" applyFont="1" applyBorder="1" applyAlignment="1">
      <alignment vertical="top" wrapText="1"/>
    </xf>
    <xf numFmtId="0" fontId="72" fillId="2" borderId="1" xfId="0" applyFont="1" applyFill="1" applyBorder="1" applyAlignment="1">
      <alignment wrapText="1"/>
    </xf>
    <xf numFmtId="0" fontId="72" fillId="2" borderId="1" xfId="0" applyFont="1" applyFill="1" applyBorder="1" applyAlignment="1">
      <alignment vertical="center" wrapText="1"/>
    </xf>
    <xf numFmtId="0" fontId="72" fillId="2" borderId="1" xfId="0" applyFont="1" applyFill="1" applyBorder="1" applyAlignment="1">
      <alignment horizontal="left" vertical="center"/>
    </xf>
    <xf numFmtId="165" fontId="72" fillId="0" borderId="1" xfId="6" applyNumberFormat="1" applyFont="1" applyBorder="1" applyAlignment="1">
      <alignment horizontal="right" vertical="center"/>
    </xf>
    <xf numFmtId="168" fontId="72" fillId="0" borderId="0" xfId="0" applyNumberFormat="1" applyFont="1" applyAlignment="1">
      <alignment vertical="center"/>
    </xf>
    <xf numFmtId="0" fontId="72" fillId="0" borderId="0" xfId="0" applyFont="1" applyAlignment="1">
      <alignment vertical="center"/>
    </xf>
    <xf numFmtId="0" fontId="76" fillId="0" borderId="1" xfId="0" applyFont="1" applyBorder="1"/>
    <xf numFmtId="0" fontId="76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76" fillId="2" borderId="1" xfId="0" applyFont="1" applyFill="1" applyBorder="1" applyAlignment="1">
      <alignment wrapText="1"/>
    </xf>
    <xf numFmtId="0" fontId="76" fillId="2" borderId="1" xfId="0" applyFont="1" applyFill="1" applyBorder="1" applyAlignment="1">
      <alignment vertical="top" wrapText="1"/>
    </xf>
    <xf numFmtId="0" fontId="76" fillId="2" borderId="1" xfId="0" applyFont="1" applyFill="1" applyBorder="1" applyAlignment="1">
      <alignment vertical="center" wrapText="1"/>
    </xf>
    <xf numFmtId="0" fontId="76" fillId="0" borderId="1" xfId="0" applyFont="1" applyBorder="1" applyAlignment="1">
      <alignment horizontal="left" vertical="top" wrapText="1"/>
    </xf>
    <xf numFmtId="171" fontId="90" fillId="0" borderId="1" xfId="6" applyNumberFormat="1" applyFont="1" applyBorder="1" applyAlignment="1">
      <alignment horizontal="right" vertical="top"/>
    </xf>
    <xf numFmtId="0" fontId="76" fillId="2" borderId="1" xfId="0" applyFont="1" applyFill="1" applyBorder="1" applyAlignment="1">
      <alignment horizontal="left" vertical="center"/>
    </xf>
    <xf numFmtId="168" fontId="76" fillId="0" borderId="0" xfId="0" applyNumberFormat="1" applyFont="1" applyAlignment="1">
      <alignment vertical="center"/>
    </xf>
    <xf numFmtId="0" fontId="76" fillId="0" borderId="0" xfId="0" applyFont="1" applyAlignment="1">
      <alignment vertical="center"/>
    </xf>
    <xf numFmtId="0" fontId="13" fillId="2" borderId="32" xfId="0" applyFont="1" applyFill="1" applyBorder="1" applyAlignment="1">
      <alignment vertical="top" wrapText="1"/>
    </xf>
    <xf numFmtId="167" fontId="13" fillId="0" borderId="1" xfId="0" applyNumberFormat="1" applyFont="1" applyBorder="1"/>
    <xf numFmtId="0" fontId="90" fillId="0" borderId="5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76" fillId="2" borderId="1" xfId="0" applyFont="1" applyFill="1" applyBorder="1" applyAlignment="1">
      <alignment horizontal="left" vertical="top" wrapText="1"/>
    </xf>
    <xf numFmtId="0" fontId="13" fillId="2" borderId="31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/>
    <xf numFmtId="0" fontId="16" fillId="2" borderId="7" xfId="0" applyFont="1" applyFill="1" applyBorder="1" applyAlignment="1"/>
    <xf numFmtId="0" fontId="16" fillId="2" borderId="5" xfId="0" applyFont="1" applyFill="1" applyBorder="1" applyAlignment="1"/>
    <xf numFmtId="167" fontId="76" fillId="0" borderId="1" xfId="0" applyNumberFormat="1" applyFont="1" applyBorder="1"/>
    <xf numFmtId="0" fontId="16" fillId="0" borderId="1" xfId="0" applyFont="1" applyFill="1" applyBorder="1" applyAlignment="1">
      <alignment vertical="top" wrapText="1"/>
    </xf>
    <xf numFmtId="0" fontId="72" fillId="0" borderId="31" xfId="0" applyFont="1" applyFill="1" applyBorder="1" applyAlignment="1">
      <alignment vertical="center" wrapText="1"/>
    </xf>
    <xf numFmtId="0" fontId="90" fillId="0" borderId="31" xfId="0" applyFont="1" applyFill="1" applyBorder="1" applyAlignment="1">
      <alignment horizontal="left" vertical="center" wrapText="1"/>
    </xf>
    <xf numFmtId="0" fontId="72" fillId="0" borderId="37" xfId="0" applyFont="1" applyFill="1" applyBorder="1" applyAlignment="1">
      <alignment vertical="top" wrapText="1"/>
    </xf>
    <xf numFmtId="0" fontId="72" fillId="0" borderId="34" xfId="0" applyFont="1" applyFill="1" applyBorder="1" applyAlignment="1">
      <alignment vertical="top" wrapText="1"/>
    </xf>
    <xf numFmtId="0" fontId="76" fillId="0" borderId="0" xfId="0" applyFont="1" applyAlignment="1">
      <alignment horizontal="right"/>
    </xf>
    <xf numFmtId="0" fontId="76" fillId="0" borderId="0" xfId="0" applyFont="1" applyAlignment="1"/>
    <xf numFmtId="0" fontId="76" fillId="56" borderId="41" xfId="0" applyFont="1" applyFill="1" applyBorder="1" applyAlignment="1">
      <alignment horizontal="center" vertical="center" wrapText="1"/>
    </xf>
    <xf numFmtId="0" fontId="76" fillId="56" borderId="31" xfId="0" applyFont="1" applyFill="1" applyBorder="1" applyAlignment="1">
      <alignment horizontal="center" vertical="center"/>
    </xf>
    <xf numFmtId="0" fontId="76" fillId="56" borderId="31" xfId="0" applyFont="1" applyFill="1" applyBorder="1" applyAlignment="1">
      <alignment horizontal="center"/>
    </xf>
    <xf numFmtId="0" fontId="76" fillId="56" borderId="31" xfId="0" applyFont="1" applyFill="1" applyBorder="1" applyAlignment="1">
      <alignment horizontal="center" wrapText="1"/>
    </xf>
    <xf numFmtId="0" fontId="76" fillId="0" borderId="31" xfId="0" applyFont="1" applyBorder="1" applyAlignment="1">
      <alignment horizontal="center"/>
    </xf>
    <xf numFmtId="0" fontId="76" fillId="0" borderId="0" xfId="0" applyFont="1" applyFill="1"/>
    <xf numFmtId="0" fontId="76" fillId="0" borderId="31" xfId="0" applyFont="1" applyFill="1" applyBorder="1" applyAlignment="1">
      <alignment wrapText="1"/>
    </xf>
    <xf numFmtId="169" fontId="101" fillId="0" borderId="34" xfId="0" applyNumberFormat="1" applyFont="1" applyFill="1" applyBorder="1" applyAlignment="1">
      <alignment horizontal="right" vertical="center" wrapText="1"/>
    </xf>
    <xf numFmtId="0" fontId="72" fillId="0" borderId="31" xfId="0" applyFont="1" applyFill="1" applyBorder="1" applyAlignment="1">
      <alignment vertical="top" wrapText="1"/>
    </xf>
    <xf numFmtId="169" fontId="72" fillId="0" borderId="34" xfId="0" applyNumberFormat="1" applyFont="1" applyFill="1" applyBorder="1" applyAlignment="1">
      <alignment horizontal="right" vertical="top" wrapText="1"/>
    </xf>
    <xf numFmtId="0" fontId="72" fillId="0" borderId="0" xfId="0" applyFont="1" applyFill="1" applyAlignment="1">
      <alignment vertical="top"/>
    </xf>
    <xf numFmtId="0" fontId="72" fillId="0" borderId="38" xfId="0" applyFont="1" applyFill="1" applyBorder="1" applyAlignment="1">
      <alignment vertical="center"/>
    </xf>
    <xf numFmtId="0" fontId="72" fillId="0" borderId="34" xfId="0" applyFont="1" applyFill="1" applyBorder="1" applyAlignment="1">
      <alignment horizontal="center" vertical="center"/>
    </xf>
    <xf numFmtId="169" fontId="72" fillId="0" borderId="31" xfId="0" applyNumberFormat="1" applyFont="1" applyFill="1" applyBorder="1" applyAlignment="1">
      <alignment horizontal="right" vertical="center" wrapText="1"/>
    </xf>
    <xf numFmtId="0" fontId="72" fillId="0" borderId="0" xfId="0" applyFont="1" applyAlignment="1">
      <alignment horizontal="left" vertical="center" wrapText="1"/>
    </xf>
    <xf numFmtId="0" fontId="72" fillId="2" borderId="31" xfId="0" applyFont="1" applyFill="1" applyBorder="1" applyAlignment="1">
      <alignment horizontal="center" vertical="center" wrapText="1"/>
    </xf>
    <xf numFmtId="0" fontId="72" fillId="2" borderId="44" xfId="0" applyFont="1" applyFill="1" applyBorder="1" applyAlignment="1">
      <alignment horizontal="center" vertical="top" wrapText="1"/>
    </xf>
    <xf numFmtId="0" fontId="72" fillId="0" borderId="0" xfId="0" applyFont="1" applyFill="1"/>
    <xf numFmtId="171" fontId="72" fillId="0" borderId="31" xfId="6" applyNumberFormat="1" applyFont="1" applyBorder="1" applyAlignment="1">
      <alignment horizontal="center" vertical="center"/>
    </xf>
    <xf numFmtId="0" fontId="72" fillId="2" borderId="31" xfId="0" applyFont="1" applyFill="1" applyBorder="1" applyAlignment="1">
      <alignment horizontal="center" vertical="center"/>
    </xf>
    <xf numFmtId="2" fontId="72" fillId="0" borderId="0" xfId="0" applyNumberFormat="1" applyFont="1" applyAlignment="1">
      <alignment horizontal="left" vertical="center" wrapText="1"/>
    </xf>
    <xf numFmtId="0" fontId="76" fillId="56" borderId="0" xfId="0" applyFont="1" applyFill="1" applyBorder="1" applyAlignment="1">
      <alignment horizontal="center"/>
    </xf>
    <xf numFmtId="0" fontId="76" fillId="56" borderId="0" xfId="0" applyFont="1" applyFill="1" applyBorder="1" applyAlignment="1">
      <alignment horizontal="center" wrapText="1"/>
    </xf>
    <xf numFmtId="0" fontId="76" fillId="0" borderId="0" xfId="0" applyFont="1" applyBorder="1" applyAlignment="1">
      <alignment horizontal="center"/>
    </xf>
    <xf numFmtId="169" fontId="101" fillId="0" borderId="31" xfId="0" applyNumberFormat="1" applyFont="1" applyFill="1" applyBorder="1" applyAlignment="1">
      <alignment horizontal="right" vertical="center" wrapText="1"/>
    </xf>
    <xf numFmtId="169" fontId="101" fillId="0" borderId="34" xfId="0" applyNumberFormat="1" applyFont="1" applyFill="1" applyBorder="1" applyAlignment="1">
      <alignment horizontal="right" vertical="top" wrapText="1"/>
    </xf>
    <xf numFmtId="0" fontId="76" fillId="0" borderId="0" xfId="0" applyFont="1" applyFill="1" applyAlignment="1">
      <alignment vertical="top"/>
    </xf>
    <xf numFmtId="0" fontId="76" fillId="0" borderId="38" xfId="0" applyFont="1" applyFill="1" applyBorder="1" applyAlignment="1">
      <alignment vertical="center"/>
    </xf>
    <xf numFmtId="0" fontId="76" fillId="0" borderId="34" xfId="0" applyFont="1" applyFill="1" applyBorder="1" applyAlignment="1">
      <alignment horizontal="center" vertical="center"/>
    </xf>
    <xf numFmtId="0" fontId="76" fillId="0" borderId="31" xfId="0" applyFont="1" applyFill="1" applyBorder="1" applyAlignment="1">
      <alignment horizontal="center" vertical="top"/>
    </xf>
    <xf numFmtId="0" fontId="76" fillId="2" borderId="31" xfId="0" applyFont="1" applyFill="1" applyBorder="1" applyAlignment="1">
      <alignment horizontal="center" vertical="center"/>
    </xf>
    <xf numFmtId="2" fontId="76" fillId="0" borderId="0" xfId="0" applyNumberFormat="1" applyFont="1" applyAlignment="1">
      <alignment horizontal="left" vertical="center" wrapText="1"/>
    </xf>
    <xf numFmtId="0" fontId="76" fillId="0" borderId="37" xfId="0" applyFont="1" applyFill="1" applyBorder="1" applyAlignment="1">
      <alignment vertical="center"/>
    </xf>
    <xf numFmtId="0" fontId="76" fillId="0" borderId="34" xfId="0" applyFont="1" applyFill="1" applyBorder="1" applyAlignment="1">
      <alignment vertical="center"/>
    </xf>
    <xf numFmtId="0" fontId="76" fillId="0" borderId="0" xfId="0" applyFont="1" applyFill="1" applyAlignment="1">
      <alignment vertical="center"/>
    </xf>
    <xf numFmtId="171" fontId="72" fillId="0" borderId="48" xfId="6" applyNumberFormat="1" applyFont="1" applyBorder="1" applyAlignment="1">
      <alignment horizontal="center" vertical="center"/>
    </xf>
    <xf numFmtId="0" fontId="76" fillId="0" borderId="0" xfId="299" applyFont="1"/>
    <xf numFmtId="168" fontId="72" fillId="2" borderId="32" xfId="96" applyNumberFormat="1" applyFont="1" applyFill="1" applyBorder="1" applyAlignment="1">
      <alignment horizontal="center" vertical="center" wrapText="1"/>
    </xf>
    <xf numFmtId="168" fontId="16" fillId="2" borderId="32" xfId="96" applyNumberFormat="1" applyFont="1" applyFill="1" applyBorder="1" applyAlignment="1">
      <alignment horizontal="center" vertical="center" wrapText="1"/>
    </xf>
    <xf numFmtId="169" fontId="13" fillId="2" borderId="1" xfId="300" applyNumberFormat="1" applyFont="1" applyFill="1" applyBorder="1" applyAlignment="1">
      <alignment horizontal="center" vertical="center" wrapText="1"/>
    </xf>
    <xf numFmtId="0" fontId="72" fillId="2" borderId="1" xfId="299" applyFont="1" applyFill="1" applyBorder="1" applyAlignment="1">
      <alignment horizontal="center" vertical="center" wrapText="1"/>
    </xf>
    <xf numFmtId="0" fontId="72" fillId="2" borderId="1" xfId="299" applyFont="1" applyFill="1" applyBorder="1" applyAlignment="1">
      <alignment horizontal="left" vertical="center" wrapText="1"/>
    </xf>
    <xf numFmtId="169" fontId="76" fillId="2" borderId="44" xfId="300" applyNumberFormat="1" applyFont="1" applyFill="1" applyBorder="1" applyAlignment="1">
      <alignment horizontal="center" vertical="center" wrapText="1"/>
    </xf>
    <xf numFmtId="0" fontId="76" fillId="0" borderId="0" xfId="299" applyFont="1" applyAlignment="1">
      <alignment vertical="center"/>
    </xf>
    <xf numFmtId="0" fontId="76" fillId="0" borderId="0" xfId="299" applyFont="1" applyAlignment="1">
      <alignment horizontal="right" vertical="center"/>
    </xf>
    <xf numFmtId="0" fontId="72" fillId="0" borderId="48" xfId="0" applyFont="1" applyBorder="1" applyAlignment="1">
      <alignment horizontal="left" vertical="top" wrapText="1"/>
    </xf>
    <xf numFmtId="165" fontId="16" fillId="0" borderId="48" xfId="8" applyNumberFormat="1" applyFont="1" applyFill="1" applyBorder="1" applyAlignment="1">
      <alignment horizontal="center" vertical="center" wrapText="1"/>
    </xf>
    <xf numFmtId="169" fontId="13" fillId="0" borderId="48" xfId="0" applyNumberFormat="1" applyFont="1" applyFill="1" applyBorder="1" applyAlignment="1">
      <alignment horizontal="center" vertical="center"/>
    </xf>
    <xf numFmtId="165" fontId="72" fillId="0" borderId="48" xfId="8" applyNumberFormat="1" applyFont="1" applyFill="1" applyBorder="1" applyAlignment="1">
      <alignment horizontal="center" vertical="center" wrapText="1"/>
    </xf>
    <xf numFmtId="168" fontId="13" fillId="0" borderId="48" xfId="0" applyNumberFormat="1" applyFont="1" applyFill="1" applyBorder="1" applyAlignment="1">
      <alignment horizontal="center" vertical="center"/>
    </xf>
    <xf numFmtId="0" fontId="13" fillId="0" borderId="48" xfId="0" applyFont="1" applyBorder="1" applyAlignment="1">
      <alignment wrapText="1"/>
    </xf>
    <xf numFmtId="0" fontId="76" fillId="2" borderId="48" xfId="0" applyFont="1" applyFill="1" applyBorder="1" applyAlignment="1">
      <alignment horizontal="left" vertical="top" wrapText="1"/>
    </xf>
    <xf numFmtId="165" fontId="72" fillId="0" borderId="48" xfId="6" applyNumberFormat="1" applyFont="1" applyFill="1" applyBorder="1" applyAlignment="1">
      <alignment horizontal="center" vertical="center"/>
    </xf>
    <xf numFmtId="0" fontId="13" fillId="0" borderId="48" xfId="0" applyFont="1" applyBorder="1" applyAlignment="1">
      <alignment horizontal="center" wrapText="1"/>
    </xf>
    <xf numFmtId="165" fontId="16" fillId="0" borderId="48" xfId="6" applyNumberFormat="1" applyFont="1" applyBorder="1" applyAlignment="1">
      <alignment horizontal="right" vertical="center"/>
    </xf>
    <xf numFmtId="165" fontId="72" fillId="0" borderId="48" xfId="6" applyNumberFormat="1" applyFont="1" applyBorder="1" applyAlignment="1">
      <alignment horizontal="right" vertical="center"/>
    </xf>
    <xf numFmtId="0" fontId="90" fillId="0" borderId="48" xfId="0" applyFont="1" applyBorder="1" applyAlignment="1">
      <alignment horizontal="left" vertical="top" wrapText="1"/>
    </xf>
    <xf numFmtId="165" fontId="90" fillId="0" borderId="48" xfId="6" applyNumberFormat="1" applyFont="1" applyBorder="1" applyAlignment="1">
      <alignment horizontal="right" vertical="center"/>
    </xf>
    <xf numFmtId="0" fontId="97" fillId="0" borderId="48" xfId="0" applyFont="1" applyBorder="1" applyAlignment="1">
      <alignment horizontal="center" vertical="center" wrapText="1"/>
    </xf>
    <xf numFmtId="165" fontId="72" fillId="0" borderId="48" xfId="6" applyNumberFormat="1" applyFont="1" applyBorder="1" applyAlignment="1">
      <alignment horizontal="center" vertical="center"/>
    </xf>
    <xf numFmtId="0" fontId="97" fillId="0" borderId="48" xfId="0" applyFont="1" applyBorder="1" applyAlignment="1">
      <alignment horizontal="left" vertical="center" wrapText="1"/>
    </xf>
    <xf numFmtId="0" fontId="16" fillId="2" borderId="46" xfId="0" applyFont="1" applyFill="1" applyBorder="1" applyAlignment="1">
      <alignment horizontal="left" vertical="top" wrapText="1"/>
    </xf>
    <xf numFmtId="0" fontId="72" fillId="2" borderId="46" xfId="0" applyFont="1" applyFill="1" applyBorder="1" applyAlignment="1">
      <alignment horizontal="left" vertical="top" wrapText="1"/>
    </xf>
    <xf numFmtId="0" fontId="16" fillId="0" borderId="46" xfId="0" applyFont="1" applyFill="1" applyBorder="1" applyAlignment="1">
      <alignment horizontal="left" vertical="top" wrapText="1"/>
    </xf>
    <xf numFmtId="0" fontId="72" fillId="0" borderId="46" xfId="0" applyFont="1" applyFill="1" applyBorder="1" applyAlignment="1">
      <alignment horizontal="left" vertical="top" wrapText="1"/>
    </xf>
    <xf numFmtId="0" fontId="72" fillId="0" borderId="46" xfId="0" applyFont="1" applyFill="1" applyBorder="1" applyAlignment="1">
      <alignment horizontal="left" vertical="center" wrapText="1"/>
    </xf>
    <xf numFmtId="43" fontId="72" fillId="0" borderId="47" xfId="7" applyNumberFormat="1" applyFont="1" applyFill="1" applyBorder="1" applyAlignment="1">
      <alignment vertical="center" wrapText="1"/>
    </xf>
    <xf numFmtId="0" fontId="72" fillId="0" borderId="48" xfId="0" applyFont="1" applyFill="1" applyBorder="1" applyAlignment="1">
      <alignment horizontal="center" vertical="top" wrapText="1"/>
    </xf>
    <xf numFmtId="0" fontId="72" fillId="0" borderId="0" xfId="0" applyFont="1" applyAlignment="1">
      <alignment horizontal="center"/>
    </xf>
    <xf numFmtId="168" fontId="16" fillId="2" borderId="3" xfId="96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/>
    </xf>
    <xf numFmtId="0" fontId="76" fillId="0" borderId="44" xfId="0" applyFont="1" applyBorder="1" applyAlignment="1">
      <alignment horizontal="left" vertical="top" wrapText="1"/>
    </xf>
    <xf numFmtId="0" fontId="72" fillId="0" borderId="31" xfId="0" applyFont="1" applyBorder="1" applyAlignment="1">
      <alignment horizontal="left" vertical="center" wrapText="1"/>
    </xf>
    <xf numFmtId="0" fontId="72" fillId="2" borderId="44" xfId="0" applyFont="1" applyFill="1" applyBorder="1" applyAlignment="1">
      <alignment horizontal="left" vertical="top" wrapText="1"/>
    </xf>
    <xf numFmtId="0" fontId="72" fillId="2" borderId="31" xfId="0" applyFont="1" applyFill="1" applyBorder="1" applyAlignment="1">
      <alignment horizontal="left" vertical="center" wrapText="1"/>
    </xf>
    <xf numFmtId="0" fontId="76" fillId="2" borderId="31" xfId="0" applyFont="1" applyFill="1" applyBorder="1" applyAlignment="1">
      <alignment horizontal="left" vertical="center" wrapText="1"/>
    </xf>
    <xf numFmtId="0" fontId="76" fillId="0" borderId="31" xfId="0" applyFont="1" applyBorder="1" applyAlignment="1">
      <alignment horizontal="left" vertical="center" wrapText="1"/>
    </xf>
    <xf numFmtId="0" fontId="16" fillId="0" borderId="0" xfId="96" applyNumberFormat="1" applyFont="1" applyFill="1" applyAlignment="1">
      <alignment horizontal="center" vertical="center" wrapText="1"/>
    </xf>
    <xf numFmtId="0" fontId="72" fillId="2" borderId="48" xfId="0" applyFont="1" applyFill="1" applyBorder="1" applyAlignment="1">
      <alignment horizontal="center" vertical="top" wrapText="1"/>
    </xf>
    <xf numFmtId="0" fontId="76" fillId="0" borderId="48" xfId="0" applyFont="1" applyBorder="1" applyAlignment="1">
      <alignment horizontal="center"/>
    </xf>
    <xf numFmtId="0" fontId="76" fillId="0" borderId="0" xfId="0" applyFont="1" applyAlignment="1">
      <alignment horizontal="right"/>
    </xf>
    <xf numFmtId="0" fontId="72" fillId="0" borderId="31" xfId="0" applyFont="1" applyFill="1" applyBorder="1" applyAlignment="1">
      <alignment wrapText="1"/>
    </xf>
    <xf numFmtId="0" fontId="72" fillId="2" borderId="31" xfId="0" applyFont="1" applyFill="1" applyBorder="1" applyAlignment="1">
      <alignment horizontal="left" vertical="center" wrapText="1"/>
    </xf>
    <xf numFmtId="0" fontId="76" fillId="2" borderId="31" xfId="0" applyFont="1" applyFill="1" applyBorder="1" applyAlignment="1">
      <alignment horizontal="left" vertical="center" wrapText="1"/>
    </xf>
    <xf numFmtId="0" fontId="72" fillId="2" borderId="44" xfId="0" applyFont="1" applyFill="1" applyBorder="1" applyAlignment="1">
      <alignment horizontal="left" vertical="top" wrapText="1"/>
    </xf>
    <xf numFmtId="0" fontId="76" fillId="0" borderId="48" xfId="0" applyFont="1" applyBorder="1" applyAlignment="1">
      <alignment horizontal="center"/>
    </xf>
    <xf numFmtId="166" fontId="90" fillId="0" borderId="48" xfId="7" applyNumberFormat="1" applyFont="1" applyBorder="1" applyAlignment="1">
      <alignment vertical="center"/>
    </xf>
    <xf numFmtId="0" fontId="72" fillId="0" borderId="48" xfId="0" applyFont="1" applyBorder="1"/>
    <xf numFmtId="0" fontId="90" fillId="2" borderId="48" xfId="0" applyFont="1" applyFill="1" applyBorder="1" applyAlignment="1">
      <alignment vertical="center" wrapText="1"/>
    </xf>
    <xf numFmtId="0" fontId="73" fillId="0" borderId="46" xfId="96" applyFont="1" applyFill="1" applyBorder="1" applyAlignment="1">
      <alignment horizontal="left" vertical="center" wrapText="1"/>
    </xf>
    <xf numFmtId="0" fontId="73" fillId="0" borderId="48" xfId="96" applyFont="1" applyFill="1" applyBorder="1" applyAlignment="1">
      <alignment horizontal="left" vertical="center" wrapText="1"/>
    </xf>
    <xf numFmtId="0" fontId="90" fillId="2" borderId="46" xfId="0" applyFont="1" applyFill="1" applyBorder="1" applyAlignment="1">
      <alignment vertical="center" wrapText="1"/>
    </xf>
    <xf numFmtId="0" fontId="73" fillId="2" borderId="46" xfId="96" applyFont="1" applyFill="1" applyBorder="1" applyAlignment="1">
      <alignment horizontal="left" vertical="center" wrapText="1"/>
    </xf>
    <xf numFmtId="0" fontId="76" fillId="0" borderId="0" xfId="0" applyFont="1" applyAlignment="1">
      <alignment horizontal="right" wrapText="1"/>
    </xf>
    <xf numFmtId="166" fontId="72" fillId="0" borderId="0" xfId="0" applyNumberFormat="1" applyFont="1"/>
    <xf numFmtId="165" fontId="73" fillId="2" borderId="1" xfId="6" applyNumberFormat="1" applyFont="1" applyFill="1" applyBorder="1" applyAlignment="1">
      <alignment horizontal="center" vertical="center"/>
    </xf>
    <xf numFmtId="0" fontId="96" fillId="0" borderId="31" xfId="0" applyFont="1" applyBorder="1" applyAlignment="1">
      <alignment horizontal="left" vertical="center" wrapText="1"/>
    </xf>
    <xf numFmtId="0" fontId="96" fillId="0" borderId="38" xfId="0" applyFont="1" applyFill="1" applyBorder="1" applyAlignment="1">
      <alignment vertical="center"/>
    </xf>
    <xf numFmtId="0" fontId="96" fillId="0" borderId="34" xfId="0" applyFont="1" applyFill="1" applyBorder="1" applyAlignment="1">
      <alignment horizontal="center" vertical="center"/>
    </xf>
    <xf numFmtId="0" fontId="96" fillId="0" borderId="0" xfId="0" applyFont="1" applyAlignment="1">
      <alignment horizontal="left" vertical="center" wrapText="1"/>
    </xf>
    <xf numFmtId="0" fontId="72" fillId="2" borderId="48" xfId="0" applyFont="1" applyFill="1" applyBorder="1" applyAlignment="1">
      <alignment horizontal="left" vertical="top" wrapText="1"/>
    </xf>
    <xf numFmtId="0" fontId="72" fillId="0" borderId="48" xfId="0" applyFont="1" applyFill="1" applyBorder="1" applyAlignment="1">
      <alignment horizontal="center" vertical="top"/>
    </xf>
    <xf numFmtId="169" fontId="72" fillId="0" borderId="48" xfId="0" applyNumberFormat="1" applyFont="1" applyFill="1" applyBorder="1" applyAlignment="1">
      <alignment horizontal="right" vertical="top" wrapText="1"/>
    </xf>
    <xf numFmtId="0" fontId="72" fillId="2" borderId="48" xfId="0" applyFont="1" applyFill="1" applyBorder="1" applyAlignment="1">
      <alignment horizontal="center" vertical="center" wrapText="1"/>
    </xf>
    <xf numFmtId="0" fontId="73" fillId="2" borderId="48" xfId="0" applyFont="1" applyFill="1" applyBorder="1" applyAlignment="1">
      <alignment horizontal="center" vertical="center" wrapText="1"/>
    </xf>
    <xf numFmtId="166" fontId="73" fillId="0" borderId="48" xfId="7" applyNumberFormat="1" applyFont="1" applyBorder="1"/>
    <xf numFmtId="166" fontId="73" fillId="0" borderId="1" xfId="7" applyNumberFormat="1" applyFont="1" applyBorder="1" applyAlignment="1">
      <alignment horizontal="center"/>
    </xf>
    <xf numFmtId="0" fontId="73" fillId="2" borderId="48" xfId="96" applyFont="1" applyFill="1" applyBorder="1" applyAlignment="1">
      <alignment horizontal="center" vertical="center" wrapText="1"/>
    </xf>
    <xf numFmtId="166" fontId="73" fillId="0" borderId="1" xfId="7" applyNumberFormat="1" applyFont="1" applyBorder="1" applyAlignment="1">
      <alignment horizontal="center" vertical="center"/>
    </xf>
    <xf numFmtId="0" fontId="16" fillId="2" borderId="48" xfId="96" applyFont="1" applyFill="1" applyBorder="1" applyAlignment="1">
      <alignment horizontal="left" vertical="center" wrapText="1"/>
    </xf>
    <xf numFmtId="43" fontId="90" fillId="0" borderId="48" xfId="7" applyFont="1" applyBorder="1" applyAlignment="1">
      <alignment vertical="center"/>
    </xf>
    <xf numFmtId="0" fontId="102" fillId="2" borderId="48" xfId="0" applyFont="1" applyFill="1" applyBorder="1" applyAlignment="1">
      <alignment horizontal="center" vertical="center" wrapText="1"/>
    </xf>
    <xf numFmtId="166" fontId="13" fillId="0" borderId="48" xfId="0" applyNumberFormat="1" applyFont="1" applyBorder="1"/>
    <xf numFmtId="0" fontId="103" fillId="2" borderId="48" xfId="0" applyFont="1" applyFill="1" applyBorder="1" applyAlignment="1">
      <alignment horizontal="center" vertical="center" wrapText="1"/>
    </xf>
    <xf numFmtId="166" fontId="98" fillId="0" borderId="31" xfId="0" applyNumberFormat="1" applyFont="1" applyBorder="1" applyAlignment="1">
      <alignment horizontal="center"/>
    </xf>
    <xf numFmtId="166" fontId="98" fillId="0" borderId="31" xfId="0" applyNumberFormat="1" applyFont="1" applyBorder="1" applyAlignment="1">
      <alignment horizontal="center" vertical="center"/>
    </xf>
    <xf numFmtId="165" fontId="16" fillId="2" borderId="48" xfId="6" applyNumberFormat="1" applyFont="1" applyFill="1" applyBorder="1" applyAlignment="1">
      <alignment horizontal="center" vertical="center"/>
    </xf>
    <xf numFmtId="0" fontId="16" fillId="0" borderId="48" xfId="96" applyFont="1" applyBorder="1" applyAlignment="1">
      <alignment vertical="center" wrapText="1"/>
    </xf>
    <xf numFmtId="0" fontId="76" fillId="0" borderId="48" xfId="0" applyFont="1" applyBorder="1"/>
    <xf numFmtId="0" fontId="76" fillId="2" borderId="48" xfId="0" applyFont="1" applyFill="1" applyBorder="1"/>
    <xf numFmtId="174" fontId="76" fillId="0" borderId="0" xfId="0" applyNumberFormat="1" applyFont="1"/>
    <xf numFmtId="166" fontId="98" fillId="0" borderId="48" xfId="300" applyNumberFormat="1" applyFont="1" applyBorder="1" applyAlignment="1">
      <alignment vertical="center"/>
    </xf>
    <xf numFmtId="0" fontId="73" fillId="2" borderId="48" xfId="96" applyFont="1" applyFill="1" applyBorder="1" applyAlignment="1">
      <alignment horizontal="left" vertical="center" wrapText="1"/>
    </xf>
    <xf numFmtId="168" fontId="72" fillId="2" borderId="48" xfId="96" applyNumberFormat="1" applyFont="1" applyFill="1" applyBorder="1" applyAlignment="1">
      <alignment vertical="center" wrapText="1"/>
    </xf>
    <xf numFmtId="168" fontId="16" fillId="2" borderId="48" xfId="96" applyNumberFormat="1" applyFont="1" applyFill="1" applyBorder="1" applyAlignment="1">
      <alignment vertical="center" wrapText="1"/>
    </xf>
    <xf numFmtId="166" fontId="13" fillId="0" borderId="31" xfId="7" applyNumberFormat="1" applyFont="1" applyBorder="1" applyAlignment="1">
      <alignment horizontal="center" vertical="center"/>
    </xf>
    <xf numFmtId="0" fontId="76" fillId="0" borderId="31" xfId="0" applyFont="1" applyFill="1" applyBorder="1" applyAlignment="1">
      <alignment horizontal="center" vertical="center" wrapText="1"/>
    </xf>
    <xf numFmtId="0" fontId="76" fillId="0" borderId="31" xfId="0" applyFont="1" applyFill="1" applyBorder="1" applyAlignment="1">
      <alignment horizontal="center" vertical="center"/>
    </xf>
    <xf numFmtId="166" fontId="72" fillId="2" borderId="48" xfId="7" applyNumberFormat="1" applyFont="1" applyFill="1" applyBorder="1" applyAlignment="1">
      <alignment vertical="center" wrapText="1"/>
    </xf>
    <xf numFmtId="0" fontId="16" fillId="2" borderId="48" xfId="96" applyFont="1" applyFill="1" applyBorder="1" applyAlignment="1">
      <alignment horizontal="center" vertical="center" wrapText="1"/>
    </xf>
    <xf numFmtId="169" fontId="16" fillId="2" borderId="48" xfId="96" applyNumberFormat="1" applyFont="1" applyFill="1" applyBorder="1" applyAlignment="1">
      <alignment horizontal="center" vertical="center" wrapText="1"/>
    </xf>
    <xf numFmtId="175" fontId="76" fillId="2" borderId="48" xfId="2021" applyNumberFormat="1" applyFont="1" applyFill="1" applyBorder="1"/>
    <xf numFmtId="166" fontId="76" fillId="2" borderId="48" xfId="0" applyNumberFormat="1" applyFont="1" applyFill="1" applyBorder="1"/>
    <xf numFmtId="166" fontId="98" fillId="0" borderId="48" xfId="300" applyNumberFormat="1" applyFont="1" applyBorder="1"/>
    <xf numFmtId="166" fontId="98" fillId="2" borderId="48" xfId="300" applyNumberFormat="1" applyFont="1" applyFill="1" applyBorder="1"/>
    <xf numFmtId="0" fontId="95" fillId="0" borderId="0" xfId="0" applyFont="1"/>
    <xf numFmtId="166" fontId="95" fillId="0" borderId="48" xfId="300" applyNumberFormat="1" applyFont="1" applyBorder="1" applyAlignment="1">
      <alignment vertical="center"/>
    </xf>
    <xf numFmtId="166" fontId="95" fillId="2" borderId="48" xfId="300" applyNumberFormat="1" applyFont="1" applyFill="1" applyBorder="1" applyAlignment="1">
      <alignment vertical="center"/>
    </xf>
    <xf numFmtId="43" fontId="76" fillId="2" borderId="48" xfId="7" applyNumberFormat="1" applyFont="1" applyFill="1" applyBorder="1" applyAlignment="1">
      <alignment horizontal="right" vertical="center" wrapText="1"/>
    </xf>
    <xf numFmtId="0" fontId="98" fillId="0" borderId="48" xfId="0" applyFont="1" applyBorder="1"/>
    <xf numFmtId="0" fontId="95" fillId="0" borderId="48" xfId="0" applyFont="1" applyBorder="1" applyAlignment="1">
      <alignment vertical="center"/>
    </xf>
    <xf numFmtId="0" fontId="95" fillId="0" borderId="0" xfId="0" applyFont="1" applyAlignment="1">
      <alignment vertical="center"/>
    </xf>
    <xf numFmtId="166" fontId="98" fillId="0" borderId="48" xfId="300" applyNumberFormat="1" applyFont="1" applyBorder="1" applyAlignment="1">
      <alignment horizontal="center" vertical="center"/>
    </xf>
    <xf numFmtId="0" fontId="73" fillId="2" borderId="48" xfId="0" applyFont="1" applyFill="1" applyBorder="1" applyAlignment="1">
      <alignment vertical="center" wrapText="1"/>
    </xf>
    <xf numFmtId="0" fontId="73" fillId="2" borderId="46" xfId="0" applyFont="1" applyFill="1" applyBorder="1" applyAlignment="1">
      <alignment vertical="center" wrapText="1"/>
    </xf>
    <xf numFmtId="166" fontId="13" fillId="2" borderId="31" xfId="0" applyNumberFormat="1" applyFont="1" applyFill="1" applyBorder="1" applyAlignment="1">
      <alignment vertical="center"/>
    </xf>
    <xf numFmtId="0" fontId="16" fillId="0" borderId="31" xfId="0" applyFont="1" applyBorder="1" applyAlignment="1">
      <alignment horizontal="left" vertical="top" wrapText="1"/>
    </xf>
    <xf numFmtId="0" fontId="16" fillId="0" borderId="32" xfId="0" applyFont="1" applyFill="1" applyBorder="1" applyAlignment="1">
      <alignment horizontal="center"/>
    </xf>
    <xf numFmtId="0" fontId="72" fillId="2" borderId="3" xfId="0" applyFont="1" applyFill="1" applyBorder="1" applyAlignment="1">
      <alignment horizontal="center" vertical="top" wrapText="1"/>
    </xf>
    <xf numFmtId="0" fontId="76" fillId="0" borderId="3" xfId="0" applyFont="1" applyBorder="1" applyAlignment="1">
      <alignment horizontal="center" vertical="top" wrapText="1"/>
    </xf>
    <xf numFmtId="0" fontId="76" fillId="2" borderId="0" xfId="0" applyFont="1" applyFill="1" applyBorder="1" applyAlignment="1">
      <alignment horizontal="center" vertical="top"/>
    </xf>
    <xf numFmtId="0" fontId="72" fillId="2" borderId="31" xfId="0" applyFont="1" applyFill="1" applyBorder="1" applyAlignment="1">
      <alignment horizontal="left" vertical="center" wrapText="1"/>
    </xf>
    <xf numFmtId="0" fontId="76" fillId="0" borderId="48" xfId="0" applyFont="1" applyBorder="1" applyAlignment="1">
      <alignment horizontal="center" vertical="center" wrapText="1"/>
    </xf>
    <xf numFmtId="166" fontId="76" fillId="0" borderId="48" xfId="7" applyNumberFormat="1" applyFont="1" applyBorder="1" applyAlignment="1">
      <alignment horizontal="center" vertical="center"/>
    </xf>
    <xf numFmtId="0" fontId="90" fillId="2" borderId="49" xfId="0" applyFont="1" applyFill="1" applyBorder="1" applyAlignment="1">
      <alignment vertical="center" wrapText="1"/>
    </xf>
    <xf numFmtId="0" fontId="72" fillId="2" borderId="31" xfId="0" applyFont="1" applyFill="1" applyBorder="1" applyAlignment="1">
      <alignment vertical="top" wrapText="1"/>
    </xf>
    <xf numFmtId="0" fontId="72" fillId="2" borderId="31" xfId="0" applyFont="1" applyFill="1" applyBorder="1" applyAlignment="1">
      <alignment horizontal="left" vertical="top" wrapText="1"/>
    </xf>
    <xf numFmtId="169" fontId="72" fillId="2" borderId="34" xfId="0" applyNumberFormat="1" applyFont="1" applyFill="1" applyBorder="1" applyAlignment="1">
      <alignment horizontal="right" vertical="top" wrapText="1"/>
    </xf>
    <xf numFmtId="0" fontId="72" fillId="2" borderId="0" xfId="0" applyFont="1" applyFill="1" applyAlignment="1">
      <alignment vertical="top"/>
    </xf>
    <xf numFmtId="0" fontId="76" fillId="2" borderId="37" xfId="0" applyFont="1" applyFill="1" applyBorder="1" applyAlignment="1">
      <alignment vertical="center"/>
    </xf>
    <xf numFmtId="0" fontId="76" fillId="2" borderId="38" xfId="0" applyFont="1" applyFill="1" applyBorder="1" applyAlignment="1">
      <alignment vertical="center"/>
    </xf>
    <xf numFmtId="0" fontId="76" fillId="2" borderId="34" xfId="0" applyFont="1" applyFill="1" applyBorder="1" applyAlignment="1">
      <alignment vertical="center"/>
    </xf>
    <xf numFmtId="169" fontId="101" fillId="2" borderId="31" xfId="0" applyNumberFormat="1" applyFont="1" applyFill="1" applyBorder="1" applyAlignment="1">
      <alignment horizontal="right" vertical="center" wrapText="1"/>
    </xf>
    <xf numFmtId="0" fontId="76" fillId="2" borderId="0" xfId="0" applyFont="1" applyFill="1" applyAlignment="1">
      <alignment vertical="center"/>
    </xf>
    <xf numFmtId="171" fontId="72" fillId="2" borderId="31" xfId="6" applyNumberFormat="1" applyFont="1" applyFill="1" applyBorder="1" applyAlignment="1">
      <alignment horizontal="center" vertical="center"/>
    </xf>
    <xf numFmtId="0" fontId="76" fillId="2" borderId="0" xfId="0" applyFont="1" applyFill="1" applyAlignment="1">
      <alignment horizontal="left" vertical="center" wrapText="1"/>
    </xf>
    <xf numFmtId="0" fontId="76" fillId="2" borderId="34" xfId="0" applyFont="1" applyFill="1" applyBorder="1" applyAlignment="1">
      <alignment horizontal="center" vertical="center"/>
    </xf>
    <xf numFmtId="171" fontId="72" fillId="2" borderId="48" xfId="6" applyNumberFormat="1" applyFont="1" applyFill="1" applyBorder="1" applyAlignment="1">
      <alignment horizontal="center" vertical="center"/>
    </xf>
    <xf numFmtId="169" fontId="72" fillId="0" borderId="34" xfId="0" applyNumberFormat="1" applyFont="1" applyFill="1" applyBorder="1" applyAlignment="1">
      <alignment horizontal="right" vertical="center" wrapText="1"/>
    </xf>
    <xf numFmtId="0" fontId="72" fillId="0" borderId="31" xfId="0" applyFont="1" applyFill="1" applyBorder="1" applyAlignment="1">
      <alignment horizontal="center" vertical="top" wrapText="1"/>
    </xf>
    <xf numFmtId="0" fontId="72" fillId="0" borderId="31" xfId="0" applyFont="1" applyFill="1" applyBorder="1" applyAlignment="1">
      <alignment horizontal="center" vertical="top"/>
    </xf>
    <xf numFmtId="169" fontId="72" fillId="0" borderId="31" xfId="0" applyNumberFormat="1" applyFont="1" applyFill="1" applyBorder="1" applyAlignment="1">
      <alignment horizontal="right" vertical="top" wrapText="1"/>
    </xf>
    <xf numFmtId="0" fontId="72" fillId="2" borderId="52" xfId="0" applyFont="1" applyFill="1" applyBorder="1" applyAlignment="1">
      <alignment horizontal="left" vertical="center" wrapText="1"/>
    </xf>
    <xf numFmtId="0" fontId="72" fillId="0" borderId="44" xfId="0" applyFont="1" applyBorder="1" applyAlignment="1">
      <alignment horizontal="left" vertical="top" wrapText="1"/>
    </xf>
    <xf numFmtId="0" fontId="90" fillId="2" borderId="52" xfId="0" applyFont="1" applyFill="1" applyBorder="1" applyAlignment="1">
      <alignment vertical="center" wrapText="1"/>
    </xf>
    <xf numFmtId="0" fontId="73" fillId="2" borderId="52" xfId="0" applyFont="1" applyFill="1" applyBorder="1" applyAlignment="1">
      <alignment vertical="center" wrapText="1"/>
    </xf>
    <xf numFmtId="0" fontId="72" fillId="0" borderId="52" xfId="0" applyFont="1" applyBorder="1"/>
    <xf numFmtId="0" fontId="76" fillId="0" borderId="52" xfId="0" applyFont="1" applyBorder="1" applyAlignment="1">
      <alignment horizontal="center"/>
    </xf>
    <xf numFmtId="166" fontId="90" fillId="0" borderId="52" xfId="7" applyNumberFormat="1" applyFont="1" applyBorder="1" applyAlignment="1">
      <alignment vertical="center"/>
    </xf>
    <xf numFmtId="43" fontId="16" fillId="2" borderId="52" xfId="7" applyFont="1" applyFill="1" applyBorder="1" applyAlignment="1">
      <alignment vertical="center" wrapText="1"/>
    </xf>
    <xf numFmtId="168" fontId="72" fillId="2" borderId="52" xfId="96" applyNumberFormat="1" applyFont="1" applyFill="1" applyBorder="1" applyAlignment="1">
      <alignment vertical="center" wrapText="1"/>
    </xf>
    <xf numFmtId="168" fontId="72" fillId="2" borderId="52" xfId="0" applyNumberFormat="1" applyFont="1" applyFill="1" applyBorder="1" applyAlignment="1">
      <alignment vertical="center"/>
    </xf>
    <xf numFmtId="43" fontId="72" fillId="2" borderId="52" xfId="7" applyFont="1" applyFill="1" applyBorder="1" applyAlignment="1">
      <alignment vertical="center"/>
    </xf>
    <xf numFmtId="43" fontId="72" fillId="2" borderId="52" xfId="7" applyFont="1" applyFill="1" applyBorder="1" applyAlignment="1">
      <alignment vertical="center" wrapText="1"/>
    </xf>
    <xf numFmtId="169" fontId="76" fillId="0" borderId="0" xfId="0" applyNumberFormat="1" applyFont="1"/>
    <xf numFmtId="43" fontId="76" fillId="0" borderId="0" xfId="7" applyFont="1" applyBorder="1" applyAlignment="1">
      <alignment horizontal="center"/>
    </xf>
    <xf numFmtId="0" fontId="16" fillId="2" borderId="52" xfId="0" applyFont="1" applyFill="1" applyBorder="1" applyAlignment="1">
      <alignment horizontal="left" vertical="center" wrapText="1"/>
    </xf>
    <xf numFmtId="166" fontId="90" fillId="2" borderId="31" xfId="7" applyNumberFormat="1" applyFont="1" applyFill="1" applyBorder="1" applyAlignment="1">
      <alignment horizontal="right" vertical="center" wrapText="1"/>
    </xf>
    <xf numFmtId="165" fontId="76" fillId="0" borderId="0" xfId="0" applyNumberFormat="1" applyFont="1"/>
    <xf numFmtId="177" fontId="76" fillId="0" borderId="0" xfId="0" applyNumberFormat="1" applyFont="1"/>
    <xf numFmtId="180" fontId="76" fillId="0" borderId="0" xfId="0" applyNumberFormat="1" applyFont="1"/>
    <xf numFmtId="181" fontId="76" fillId="0" borderId="0" xfId="0" applyNumberFormat="1" applyFont="1"/>
    <xf numFmtId="182" fontId="76" fillId="0" borderId="0" xfId="0" applyNumberFormat="1" applyFont="1"/>
    <xf numFmtId="183" fontId="76" fillId="0" borderId="0" xfId="0" applyNumberFormat="1" applyFont="1"/>
    <xf numFmtId="184" fontId="76" fillId="0" borderId="0" xfId="0" applyNumberFormat="1" applyFont="1"/>
    <xf numFmtId="185" fontId="76" fillId="0" borderId="0" xfId="0" applyNumberFormat="1" applyFont="1"/>
    <xf numFmtId="176" fontId="76" fillId="2" borderId="0" xfId="0" applyNumberFormat="1" applyFont="1" applyFill="1"/>
    <xf numFmtId="178" fontId="76" fillId="2" borderId="0" xfId="0" applyNumberFormat="1" applyFont="1" applyFill="1"/>
    <xf numFmtId="179" fontId="76" fillId="2" borderId="0" xfId="0" applyNumberFormat="1" applyFont="1" applyFill="1"/>
    <xf numFmtId="0" fontId="16" fillId="2" borderId="32" xfId="0" applyFont="1" applyFill="1" applyBorder="1" applyAlignment="1">
      <alignment vertical="top" wrapText="1"/>
    </xf>
    <xf numFmtId="0" fontId="72" fillId="0" borderId="52" xfId="0" applyFont="1" applyBorder="1" applyAlignment="1">
      <alignment horizontal="left" vertical="top" wrapText="1"/>
    </xf>
    <xf numFmtId="0" fontId="72" fillId="0" borderId="52" xfId="8" applyFont="1" applyBorder="1" applyAlignment="1">
      <alignment horizontal="left" vertical="top" wrapText="1"/>
    </xf>
    <xf numFmtId="0" fontId="16" fillId="0" borderId="52" xfId="0" applyFont="1" applyBorder="1" applyAlignment="1">
      <alignment horizontal="center" vertical="center" wrapText="1"/>
    </xf>
    <xf numFmtId="0" fontId="72" fillId="2" borderId="52" xfId="0" applyFont="1" applyFill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51" xfId="0" applyFont="1" applyBorder="1" applyAlignment="1">
      <alignment horizontal="center" vertical="top" wrapText="1"/>
    </xf>
    <xf numFmtId="0" fontId="16" fillId="0" borderId="51" xfId="0" applyFont="1" applyBorder="1" applyAlignment="1">
      <alignment vertical="top" wrapText="1"/>
    </xf>
    <xf numFmtId="169" fontId="16" fillId="2" borderId="31" xfId="7" applyNumberFormat="1" applyFont="1" applyFill="1" applyBorder="1" applyAlignment="1">
      <alignment horizontal="center" vertical="top" wrapText="1"/>
    </xf>
    <xf numFmtId="167" fontId="16" fillId="0" borderId="1" xfId="0" applyNumberFormat="1" applyFont="1" applyBorder="1" applyAlignment="1">
      <alignment horizontal="center" vertical="top" wrapText="1"/>
    </xf>
    <xf numFmtId="169" fontId="16" fillId="0" borderId="31" xfId="0" applyNumberFormat="1" applyFont="1" applyFill="1" applyBorder="1" applyAlignment="1">
      <alignment horizontal="center" vertical="top"/>
    </xf>
    <xf numFmtId="0" fontId="96" fillId="0" borderId="0" xfId="0" applyFont="1"/>
    <xf numFmtId="0" fontId="72" fillId="0" borderId="44" xfId="0" applyFont="1" applyBorder="1"/>
    <xf numFmtId="0" fontId="72" fillId="0" borderId="44" xfId="0" applyFont="1" applyBorder="1" applyAlignment="1">
      <alignment vertical="top" wrapText="1"/>
    </xf>
    <xf numFmtId="0" fontId="16" fillId="0" borderId="44" xfId="0" applyFont="1" applyBorder="1" applyAlignment="1">
      <alignment vertical="top" wrapText="1"/>
    </xf>
    <xf numFmtId="167" fontId="16" fillId="0" borderId="1" xfId="0" applyNumberFormat="1" applyFont="1" applyBorder="1"/>
    <xf numFmtId="43" fontId="76" fillId="2" borderId="0" xfId="7" applyFont="1" applyFill="1" applyAlignment="1">
      <alignment horizontal="left" vertical="center" wrapText="1"/>
    </xf>
    <xf numFmtId="0" fontId="104" fillId="0" borderId="52" xfId="0" applyFont="1" applyFill="1" applyBorder="1" applyAlignment="1" applyProtection="1">
      <alignment horizontal="center" vertical="center"/>
      <protection locked="0"/>
    </xf>
    <xf numFmtId="0" fontId="104" fillId="0" borderId="52" xfId="0" applyNumberFormat="1" applyFont="1" applyFill="1" applyBorder="1" applyAlignment="1" applyProtection="1">
      <alignment horizontal="center" vertical="top" wrapText="1"/>
      <protection locked="0"/>
    </xf>
    <xf numFmtId="49" fontId="16" fillId="0" borderId="49" xfId="96" applyNumberFormat="1" applyFont="1" applyFill="1" applyBorder="1" applyAlignment="1">
      <alignment horizontal="center" vertical="center" wrapText="1"/>
    </xf>
    <xf numFmtId="0" fontId="76" fillId="0" borderId="0" xfId="299" applyFont="1" applyAlignment="1">
      <alignment vertical="top"/>
    </xf>
    <xf numFmtId="0" fontId="76" fillId="0" borderId="0" xfId="299" applyFont="1" applyAlignment="1">
      <alignment horizontal="right" vertical="top"/>
    </xf>
    <xf numFmtId="0" fontId="16" fillId="0" borderId="32" xfId="0" applyFont="1" applyBorder="1" applyAlignment="1">
      <alignment wrapText="1"/>
    </xf>
    <xf numFmtId="169" fontId="72" fillId="2" borderId="31" xfId="0" applyNumberFormat="1" applyFont="1" applyFill="1" applyBorder="1" applyAlignment="1">
      <alignment horizontal="right" vertical="center" wrapText="1"/>
    </xf>
    <xf numFmtId="0" fontId="72" fillId="2" borderId="0" xfId="0" applyFont="1" applyFill="1" applyAlignment="1">
      <alignment horizontal="left" vertical="center" wrapText="1"/>
    </xf>
    <xf numFmtId="43" fontId="72" fillId="0" borderId="0" xfId="0" applyNumberFormat="1" applyFont="1" applyFill="1"/>
    <xf numFmtId="166" fontId="76" fillId="0" borderId="0" xfId="0" applyNumberFormat="1" applyFont="1"/>
    <xf numFmtId="0" fontId="72" fillId="0" borderId="31" xfId="0" applyFont="1" applyFill="1" applyBorder="1" applyAlignment="1">
      <alignment wrapText="1"/>
    </xf>
    <xf numFmtId="0" fontId="76" fillId="2" borderId="31" xfId="0" applyFont="1" applyFill="1" applyBorder="1" applyAlignment="1">
      <alignment horizontal="left" vertical="center" wrapText="1"/>
    </xf>
    <xf numFmtId="0" fontId="72" fillId="2" borderId="31" xfId="0" applyFont="1" applyFill="1" applyBorder="1" applyAlignment="1">
      <alignment horizontal="left" vertical="center" wrapText="1"/>
    </xf>
    <xf numFmtId="0" fontId="76" fillId="0" borderId="44" xfId="0" applyFont="1" applyBorder="1" applyAlignment="1">
      <alignment horizontal="left" vertical="top" wrapText="1"/>
    </xf>
    <xf numFmtId="0" fontId="16" fillId="0" borderId="2" xfId="96" applyFont="1" applyBorder="1" applyAlignment="1">
      <alignment horizontal="center" vertical="center" wrapText="1"/>
    </xf>
    <xf numFmtId="0" fontId="16" fillId="0" borderId="3" xfId="96" applyFont="1" applyBorder="1" applyAlignment="1">
      <alignment horizontal="center" vertical="center" wrapText="1"/>
    </xf>
    <xf numFmtId="169" fontId="72" fillId="0" borderId="0" xfId="0" applyNumberFormat="1" applyFont="1" applyAlignment="1">
      <alignment horizontal="left" vertical="center" wrapText="1"/>
    </xf>
    <xf numFmtId="0" fontId="76" fillId="2" borderId="31" xfId="0" applyFont="1" applyFill="1" applyBorder="1" applyAlignment="1">
      <alignment horizontal="center" vertical="center" wrapText="1"/>
    </xf>
    <xf numFmtId="0" fontId="76" fillId="2" borderId="31" xfId="0" applyFont="1" applyFill="1" applyBorder="1" applyAlignment="1">
      <alignment horizontal="left" vertical="center" wrapText="1"/>
    </xf>
    <xf numFmtId="0" fontId="72" fillId="2" borderId="31" xfId="0" applyFont="1" applyFill="1" applyBorder="1" applyAlignment="1">
      <alignment horizontal="left" vertical="center" wrapText="1"/>
    </xf>
    <xf numFmtId="166" fontId="73" fillId="0" borderId="48" xfId="300" applyNumberFormat="1" applyFont="1" applyBorder="1" applyAlignment="1">
      <alignment vertical="center"/>
    </xf>
    <xf numFmtId="166" fontId="90" fillId="0" borderId="48" xfId="300" applyNumberFormat="1" applyFont="1" applyBorder="1" applyAlignment="1">
      <alignment vertical="center"/>
    </xf>
    <xf numFmtId="166" fontId="72" fillId="0" borderId="31" xfId="7" applyNumberFormat="1" applyFont="1" applyBorder="1" applyAlignment="1">
      <alignment horizontal="center" vertical="center"/>
    </xf>
    <xf numFmtId="43" fontId="76" fillId="0" borderId="0" xfId="0" applyNumberFormat="1" applyFont="1"/>
    <xf numFmtId="0" fontId="16" fillId="0" borderId="52" xfId="96" applyFont="1" applyBorder="1" applyAlignment="1">
      <alignment horizontal="left" vertical="center" wrapText="1"/>
    </xf>
    <xf numFmtId="165" fontId="16" fillId="2" borderId="52" xfId="6" applyNumberFormat="1" applyFont="1" applyFill="1" applyBorder="1" applyAlignment="1">
      <alignment horizontal="center" vertical="center"/>
    </xf>
    <xf numFmtId="0" fontId="72" fillId="0" borderId="52" xfId="0" applyFont="1" applyBorder="1" applyAlignment="1">
      <alignment horizontal="center"/>
    </xf>
    <xf numFmtId="0" fontId="73" fillId="0" borderId="52" xfId="96" applyFont="1" applyFill="1" applyBorder="1" applyAlignment="1">
      <alignment horizontal="left" vertical="center" wrapText="1"/>
    </xf>
    <xf numFmtId="166" fontId="73" fillId="0" borderId="52" xfId="7" applyNumberFormat="1" applyFont="1" applyBorder="1"/>
    <xf numFmtId="0" fontId="95" fillId="2" borderId="49" xfId="0" applyFont="1" applyFill="1" applyBorder="1" applyAlignment="1">
      <alignment vertical="center" wrapText="1"/>
    </xf>
    <xf numFmtId="43" fontId="72" fillId="0" borderId="0" xfId="7" applyFont="1"/>
    <xf numFmtId="43" fontId="72" fillId="0" borderId="0" xfId="0" applyNumberFormat="1" applyFont="1"/>
    <xf numFmtId="169" fontId="76" fillId="0" borderId="0" xfId="0" applyNumberFormat="1" applyFont="1" applyAlignment="1">
      <alignment horizontal="center"/>
    </xf>
    <xf numFmtId="43" fontId="76" fillId="2" borderId="0" xfId="0" applyNumberFormat="1" applyFont="1" applyFill="1"/>
    <xf numFmtId="171" fontId="72" fillId="0" borderId="52" xfId="6" applyNumberFormat="1" applyFont="1" applyBorder="1" applyAlignment="1">
      <alignment horizontal="center" vertical="center"/>
    </xf>
    <xf numFmtId="169" fontId="72" fillId="0" borderId="52" xfId="0" applyNumberFormat="1" applyFont="1" applyFill="1" applyBorder="1" applyAlignment="1">
      <alignment horizontal="right" vertical="center" wrapText="1"/>
    </xf>
    <xf numFmtId="0" fontId="72" fillId="0" borderId="31" xfId="0" applyFont="1" applyFill="1" applyBorder="1" applyAlignment="1">
      <alignment horizontal="center" vertical="center" wrapText="1"/>
    </xf>
    <xf numFmtId="0" fontId="72" fillId="0" borderId="31" xfId="0" applyFont="1" applyFill="1" applyBorder="1" applyAlignment="1">
      <alignment horizontal="center" vertical="center"/>
    </xf>
    <xf numFmtId="0" fontId="72" fillId="0" borderId="0" xfId="0" applyFont="1" applyFill="1" applyAlignment="1">
      <alignment vertical="center"/>
    </xf>
    <xf numFmtId="166" fontId="90" fillId="2" borderId="1" xfId="7" applyNumberFormat="1" applyFont="1" applyFill="1" applyBorder="1" applyAlignment="1">
      <alignment vertical="center"/>
    </xf>
    <xf numFmtId="166" fontId="90" fillId="2" borderId="48" xfId="7" applyNumberFormat="1" applyFont="1" applyFill="1" applyBorder="1" applyAlignment="1">
      <alignment vertical="center"/>
    </xf>
    <xf numFmtId="0" fontId="72" fillId="2" borderId="48" xfId="0" applyFont="1" applyFill="1" applyBorder="1"/>
    <xf numFmtId="166" fontId="76" fillId="2" borderId="31" xfId="7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76" fillId="0" borderId="3" xfId="0" applyFont="1" applyBorder="1" applyAlignment="1">
      <alignment horizontal="center" vertical="top" wrapText="1"/>
    </xf>
    <xf numFmtId="0" fontId="72" fillId="0" borderId="31" xfId="0" applyFont="1" applyFill="1" applyBorder="1" applyAlignment="1">
      <alignment horizontal="left" vertical="top" wrapText="1"/>
    </xf>
    <xf numFmtId="0" fontId="72" fillId="2" borderId="31" xfId="0" applyFont="1" applyFill="1" applyBorder="1" applyAlignment="1">
      <alignment horizontal="left" vertical="top" wrapText="1"/>
    </xf>
    <xf numFmtId="0" fontId="76" fillId="0" borderId="0" xfId="0" applyFont="1" applyAlignment="1">
      <alignment horizontal="right"/>
    </xf>
    <xf numFmtId="0" fontId="72" fillId="2" borderId="32" xfId="0" applyFont="1" applyFill="1" applyBorder="1" applyAlignment="1">
      <alignment vertical="top" wrapText="1"/>
    </xf>
    <xf numFmtId="0" fontId="72" fillId="2" borderId="2" xfId="0" applyFont="1" applyFill="1" applyBorder="1" applyAlignment="1">
      <alignment vertical="top" wrapText="1"/>
    </xf>
    <xf numFmtId="0" fontId="72" fillId="2" borderId="3" xfId="0" applyFont="1" applyFill="1" applyBorder="1" applyAlignment="1">
      <alignment vertical="top" wrapText="1"/>
    </xf>
    <xf numFmtId="0" fontId="72" fillId="0" borderId="32" xfId="0" applyFont="1" applyFill="1" applyBorder="1" applyAlignment="1">
      <alignment horizontal="left" vertical="top" wrapText="1"/>
    </xf>
    <xf numFmtId="0" fontId="72" fillId="2" borderId="52" xfId="0" applyFont="1" applyFill="1" applyBorder="1" applyAlignment="1">
      <alignment vertical="top" wrapText="1"/>
    </xf>
    <xf numFmtId="0" fontId="16" fillId="2" borderId="52" xfId="0" applyFont="1" applyFill="1" applyBorder="1" applyAlignment="1">
      <alignment horizontal="center" vertical="top" wrapText="1"/>
    </xf>
    <xf numFmtId="0" fontId="16" fillId="2" borderId="30" xfId="0" applyFont="1" applyFill="1" applyBorder="1" applyAlignment="1">
      <alignment horizontal="left" vertical="top" wrapText="1"/>
    </xf>
    <xf numFmtId="0" fontId="72" fillId="0" borderId="52" xfId="0" applyFont="1" applyFill="1" applyBorder="1" applyAlignment="1">
      <alignment horizontal="left" vertical="top" wrapText="1"/>
    </xf>
    <xf numFmtId="0" fontId="16" fillId="0" borderId="52" xfId="0" applyFont="1" applyFill="1" applyBorder="1" applyAlignment="1">
      <alignment horizontal="left" vertical="top" wrapText="1"/>
    </xf>
    <xf numFmtId="0" fontId="90" fillId="0" borderId="52" xfId="165" applyFont="1" applyBorder="1" applyAlignment="1">
      <alignment horizontal="left" vertical="top" wrapText="1"/>
    </xf>
    <xf numFmtId="0" fontId="72" fillId="0" borderId="52" xfId="0" applyFont="1" applyBorder="1" applyAlignment="1">
      <alignment horizontal="center" vertical="top" wrapText="1"/>
    </xf>
    <xf numFmtId="0" fontId="76" fillId="56" borderId="31" xfId="0" applyFont="1" applyFill="1" applyBorder="1" applyAlignment="1">
      <alignment wrapText="1"/>
    </xf>
    <xf numFmtId="166" fontId="72" fillId="0" borderId="31" xfId="7" applyNumberFormat="1" applyFont="1" applyFill="1" applyBorder="1" applyAlignment="1">
      <alignment vertical="center"/>
    </xf>
    <xf numFmtId="165" fontId="72" fillId="0" borderId="31" xfId="6" applyNumberFormat="1" applyFont="1" applyFill="1" applyBorder="1" applyAlignment="1">
      <alignment vertical="center"/>
    </xf>
    <xf numFmtId="0" fontId="76" fillId="56" borderId="0" xfId="0" applyFont="1" applyFill="1" applyBorder="1" applyAlignment="1">
      <alignment wrapText="1"/>
    </xf>
    <xf numFmtId="165" fontId="72" fillId="0" borderId="52" xfId="6" applyNumberFormat="1" applyFont="1" applyFill="1" applyBorder="1" applyAlignment="1">
      <alignment vertical="center"/>
    </xf>
    <xf numFmtId="166" fontId="72" fillId="0" borderId="48" xfId="7" applyNumberFormat="1" applyFont="1" applyFill="1" applyBorder="1" applyAlignment="1">
      <alignment vertical="center"/>
    </xf>
    <xf numFmtId="166" fontId="76" fillId="0" borderId="31" xfId="7" applyNumberFormat="1" applyFont="1" applyFill="1" applyBorder="1" applyAlignment="1">
      <alignment vertical="center"/>
    </xf>
    <xf numFmtId="165" fontId="72" fillId="2" borderId="31" xfId="6" applyNumberFormat="1" applyFont="1" applyFill="1" applyBorder="1" applyAlignment="1">
      <alignment vertical="center"/>
    </xf>
    <xf numFmtId="165" fontId="72" fillId="0" borderId="48" xfId="6" applyNumberFormat="1" applyFont="1" applyFill="1" applyBorder="1" applyAlignment="1">
      <alignment vertical="center"/>
    </xf>
    <xf numFmtId="169" fontId="101" fillId="0" borderId="31" xfId="0" applyNumberFormat="1" applyFont="1" applyFill="1" applyBorder="1" applyAlignment="1">
      <alignment vertical="center" wrapText="1"/>
    </xf>
    <xf numFmtId="165" fontId="72" fillId="2" borderId="48" xfId="6" applyNumberFormat="1" applyFont="1" applyFill="1" applyBorder="1" applyAlignment="1">
      <alignment vertical="center"/>
    </xf>
    <xf numFmtId="2" fontId="72" fillId="2" borderId="0" xfId="0" applyNumberFormat="1" applyFont="1" applyFill="1" applyAlignment="1">
      <alignment horizontal="left" vertical="center" wrapText="1"/>
    </xf>
    <xf numFmtId="0" fontId="72" fillId="2" borderId="38" xfId="0" applyFont="1" applyFill="1" applyBorder="1" applyAlignment="1">
      <alignment vertical="center"/>
    </xf>
    <xf numFmtId="0" fontId="72" fillId="2" borderId="34" xfId="0" applyFont="1" applyFill="1" applyBorder="1" applyAlignment="1">
      <alignment horizontal="center" vertical="center"/>
    </xf>
    <xf numFmtId="166" fontId="90" fillId="2" borderId="52" xfId="7" applyNumberFormat="1" applyFont="1" applyFill="1" applyBorder="1" applyAlignment="1">
      <alignment vertical="center"/>
    </xf>
    <xf numFmtId="168" fontId="16" fillId="0" borderId="31" xfId="0" applyNumberFormat="1" applyFont="1" applyFill="1" applyBorder="1" applyAlignment="1">
      <alignment horizontal="center" vertical="top"/>
    </xf>
    <xf numFmtId="176" fontId="76" fillId="0" borderId="0" xfId="0" applyNumberFormat="1" applyFont="1"/>
    <xf numFmtId="186" fontId="76" fillId="0" borderId="0" xfId="0" applyNumberFormat="1" applyFont="1"/>
    <xf numFmtId="167" fontId="72" fillId="2" borderId="31" xfId="7" applyNumberFormat="1" applyFont="1" applyFill="1" applyBorder="1" applyAlignment="1">
      <alignment horizontal="right" vertical="center" wrapText="1"/>
    </xf>
    <xf numFmtId="165" fontId="72" fillId="2" borderId="1" xfId="96" applyNumberFormat="1" applyFont="1" applyFill="1" applyBorder="1" applyAlignment="1">
      <alignment horizontal="center" vertical="center" wrapText="1"/>
    </xf>
    <xf numFmtId="165" fontId="13" fillId="0" borderId="31" xfId="0" applyNumberFormat="1" applyFont="1" applyBorder="1"/>
    <xf numFmtId="165" fontId="76" fillId="0" borderId="31" xfId="7" applyNumberFormat="1" applyFont="1" applyBorder="1" applyAlignment="1">
      <alignment horizontal="center" vertical="center"/>
    </xf>
    <xf numFmtId="171" fontId="90" fillId="0" borderId="52" xfId="6" applyNumberFormat="1" applyFont="1" applyBorder="1" applyAlignment="1">
      <alignment horizontal="right" vertical="top"/>
    </xf>
    <xf numFmtId="0" fontId="95" fillId="0" borderId="3" xfId="0" applyFont="1" applyBorder="1" applyAlignment="1">
      <alignment horizontal="right" vertical="top" wrapText="1"/>
    </xf>
    <xf numFmtId="171" fontId="90" fillId="0" borderId="1" xfId="6" applyNumberFormat="1" applyFont="1" applyBorder="1" applyAlignment="1">
      <alignment horizontal="right" vertical="center"/>
    </xf>
    <xf numFmtId="169" fontId="16" fillId="0" borderId="31" xfId="7" applyNumberFormat="1" applyFont="1" applyFill="1" applyBorder="1" applyAlignment="1">
      <alignment horizontal="center" vertical="top" wrapText="1"/>
    </xf>
    <xf numFmtId="166" fontId="76" fillId="2" borderId="52" xfId="7" applyNumberFormat="1" applyFont="1" applyFill="1" applyBorder="1" applyAlignment="1">
      <alignment vertical="center"/>
    </xf>
    <xf numFmtId="166" fontId="72" fillId="2" borderId="52" xfId="7" applyNumberFormat="1" applyFont="1" applyFill="1" applyBorder="1" applyAlignment="1">
      <alignment vertical="center" wrapText="1"/>
    </xf>
    <xf numFmtId="166" fontId="76" fillId="2" borderId="48" xfId="7" applyNumberFormat="1" applyFont="1" applyFill="1" applyBorder="1" applyAlignment="1">
      <alignment horizontal="center" vertical="center"/>
    </xf>
    <xf numFmtId="0" fontId="72" fillId="2" borderId="31" xfId="0" applyFont="1" applyFill="1" applyBorder="1" applyAlignment="1">
      <alignment horizontal="left" vertical="center" wrapText="1"/>
    </xf>
    <xf numFmtId="0" fontId="72" fillId="2" borderId="52" xfId="0" applyFont="1" applyFill="1" applyBorder="1" applyAlignment="1">
      <alignment horizontal="left" vertical="top" wrapText="1"/>
    </xf>
    <xf numFmtId="0" fontId="72" fillId="2" borderId="31" xfId="0" applyFont="1" applyFill="1" applyBorder="1" applyAlignment="1">
      <alignment horizontal="center" vertical="center" wrapText="1"/>
    </xf>
    <xf numFmtId="169" fontId="72" fillId="0" borderId="0" xfId="0" applyNumberFormat="1" applyFont="1"/>
    <xf numFmtId="166" fontId="16" fillId="2" borderId="44" xfId="7" applyNumberFormat="1" applyFont="1" applyFill="1" applyBorder="1" applyAlignment="1">
      <alignment vertical="top" wrapText="1"/>
    </xf>
    <xf numFmtId="43" fontId="72" fillId="2" borderId="0" xfId="0" applyNumberFormat="1" applyFont="1" applyFill="1"/>
    <xf numFmtId="0" fontId="72" fillId="2" borderId="31" xfId="0" applyFont="1" applyFill="1" applyBorder="1" applyAlignment="1">
      <alignment wrapText="1"/>
    </xf>
    <xf numFmtId="169" fontId="72" fillId="2" borderId="34" xfId="0" applyNumberFormat="1" applyFont="1" applyFill="1" applyBorder="1" applyAlignment="1">
      <alignment horizontal="right" vertical="center" wrapText="1"/>
    </xf>
    <xf numFmtId="43" fontId="76" fillId="0" borderId="0" xfId="7" applyFont="1"/>
    <xf numFmtId="187" fontId="90" fillId="2" borderId="31" xfId="7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16" fillId="2" borderId="52" xfId="0" applyFont="1" applyFill="1" applyBorder="1" applyAlignment="1">
      <alignment horizontal="left" vertical="top" wrapText="1"/>
    </xf>
    <xf numFmtId="0" fontId="72" fillId="2" borderId="52" xfId="0" applyFont="1" applyFill="1" applyBorder="1" applyAlignment="1">
      <alignment horizontal="center" vertical="top" wrapText="1"/>
    </xf>
    <xf numFmtId="0" fontId="72" fillId="2" borderId="31" xfId="0" applyFont="1" applyFill="1" applyBorder="1" applyAlignment="1">
      <alignment horizontal="left" vertical="center" wrapText="1"/>
    </xf>
    <xf numFmtId="0" fontId="72" fillId="2" borderId="31" xfId="0" applyFont="1" applyFill="1" applyBorder="1" applyAlignment="1">
      <alignment horizontal="left" vertical="top" wrapText="1"/>
    </xf>
    <xf numFmtId="0" fontId="72" fillId="2" borderId="52" xfId="0" applyFont="1" applyFill="1" applyBorder="1" applyAlignment="1">
      <alignment horizontal="left" vertical="top" wrapText="1"/>
    </xf>
    <xf numFmtId="0" fontId="72" fillId="2" borderId="31" xfId="0" applyFont="1" applyFill="1" applyBorder="1" applyAlignment="1">
      <alignment horizontal="center" vertical="center" wrapText="1"/>
    </xf>
    <xf numFmtId="0" fontId="16" fillId="0" borderId="41" xfId="96" applyFont="1" applyBorder="1" applyAlignment="1">
      <alignment horizontal="center" vertical="center" wrapText="1"/>
    </xf>
    <xf numFmtId="0" fontId="16" fillId="0" borderId="2" xfId="96" applyFont="1" applyBorder="1" applyAlignment="1">
      <alignment horizontal="center" vertical="center" wrapText="1"/>
    </xf>
    <xf numFmtId="0" fontId="72" fillId="2" borderId="31" xfId="0" applyFont="1" applyFill="1" applyBorder="1" applyAlignment="1">
      <alignment horizontal="left" vertical="center" wrapText="1"/>
    </xf>
    <xf numFmtId="0" fontId="72" fillId="2" borderId="31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right" vertical="top"/>
    </xf>
    <xf numFmtId="0" fontId="72" fillId="2" borderId="0" xfId="0" applyFont="1" applyFill="1" applyAlignment="1">
      <alignment horizontal="right"/>
    </xf>
    <xf numFmtId="0" fontId="72" fillId="2" borderId="0" xfId="0" applyFont="1" applyFill="1" applyAlignment="1">
      <alignment horizontal="left" vertical="top" wrapText="1"/>
    </xf>
    <xf numFmtId="43" fontId="72" fillId="2" borderId="31" xfId="7" applyNumberFormat="1" applyFont="1" applyFill="1" applyBorder="1" applyAlignment="1">
      <alignment vertical="center" wrapText="1"/>
    </xf>
    <xf numFmtId="0" fontId="72" fillId="2" borderId="0" xfId="0" applyFont="1" applyFill="1" applyBorder="1" applyAlignment="1">
      <alignment horizontal="left" vertical="top" wrapText="1"/>
    </xf>
    <xf numFmtId="43" fontId="72" fillId="2" borderId="31" xfId="7" applyNumberFormat="1" applyFont="1" applyFill="1" applyBorder="1" applyAlignment="1">
      <alignment horizontal="center" vertical="center" wrapText="1"/>
    </xf>
    <xf numFmtId="0" fontId="72" fillId="2" borderId="32" xfId="0" applyFont="1" applyFill="1" applyBorder="1" applyAlignment="1">
      <alignment horizontal="left" vertical="top" wrapText="1"/>
    </xf>
    <xf numFmtId="169" fontId="16" fillId="2" borderId="31" xfId="7" applyNumberFormat="1" applyFont="1" applyFill="1" applyBorder="1" applyAlignment="1">
      <alignment horizontal="right" vertical="center" wrapText="1"/>
    </xf>
    <xf numFmtId="166" fontId="16" fillId="2" borderId="31" xfId="7" applyNumberFormat="1" applyFont="1" applyFill="1" applyBorder="1" applyAlignment="1">
      <alignment horizontal="right" vertical="center" wrapText="1"/>
    </xf>
    <xf numFmtId="0" fontId="90" fillId="2" borderId="52" xfId="165" applyFont="1" applyFill="1" applyBorder="1" applyAlignment="1">
      <alignment horizontal="left" vertical="top" wrapText="1"/>
    </xf>
    <xf numFmtId="0" fontId="90" fillId="2" borderId="0" xfId="0" applyFont="1" applyFill="1" applyAlignment="1">
      <alignment horizontal="left" vertical="top" wrapText="1"/>
    </xf>
    <xf numFmtId="172" fontId="72" fillId="2" borderId="0" xfId="0" applyNumberFormat="1" applyFont="1" applyFill="1" applyAlignment="1">
      <alignment horizontal="left" vertical="top" wrapText="1"/>
    </xf>
    <xf numFmtId="167" fontId="72" fillId="2" borderId="0" xfId="0" applyNumberFormat="1" applyFont="1" applyFill="1" applyAlignment="1">
      <alignment horizontal="left" vertical="top" wrapText="1"/>
    </xf>
    <xf numFmtId="0" fontId="16" fillId="2" borderId="31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 vertical="center" wrapText="1"/>
    </xf>
    <xf numFmtId="0" fontId="90" fillId="2" borderId="31" xfId="165" applyFont="1" applyFill="1" applyBorder="1" applyAlignment="1">
      <alignment horizontal="left" vertical="top" wrapText="1"/>
    </xf>
    <xf numFmtId="0" fontId="72" fillId="2" borderId="31" xfId="0" applyFont="1" applyFill="1" applyBorder="1" applyAlignment="1">
      <alignment horizontal="center" vertical="top" wrapText="1"/>
    </xf>
    <xf numFmtId="0" fontId="16" fillId="2" borderId="32" xfId="0" applyFont="1" applyFill="1" applyBorder="1" applyAlignment="1">
      <alignment horizontal="center" wrapText="1"/>
    </xf>
    <xf numFmtId="0" fontId="16" fillId="2" borderId="1" xfId="96" applyFont="1" applyFill="1" applyBorder="1" applyAlignment="1">
      <alignment horizontal="left" vertical="center" wrapText="1"/>
    </xf>
    <xf numFmtId="0" fontId="72" fillId="2" borderId="32" xfId="0" applyFont="1" applyFill="1" applyBorder="1" applyAlignment="1">
      <alignment horizontal="left" vertical="center" wrapText="1"/>
    </xf>
    <xf numFmtId="0" fontId="16" fillId="2" borderId="52" xfId="0" applyFont="1" applyFill="1" applyBorder="1" applyAlignment="1">
      <alignment horizontal="center" vertical="center" wrapText="1"/>
    </xf>
    <xf numFmtId="166" fontId="16" fillId="2" borderId="31" xfId="7" applyNumberFormat="1" applyFont="1" applyFill="1" applyBorder="1" applyAlignment="1">
      <alignment horizontal="center" vertical="center" wrapText="1"/>
    </xf>
    <xf numFmtId="0" fontId="72" fillId="2" borderId="3" xfId="0" applyFont="1" applyFill="1" applyBorder="1" applyAlignment="1">
      <alignment horizontal="left" vertical="top" wrapText="1"/>
    </xf>
    <xf numFmtId="49" fontId="72" fillId="2" borderId="31" xfId="0" applyNumberFormat="1" applyFont="1" applyFill="1" applyBorder="1" applyAlignment="1">
      <alignment horizontal="left" vertical="top" wrapText="1"/>
    </xf>
    <xf numFmtId="0" fontId="16" fillId="2" borderId="32" xfId="0" applyFont="1" applyFill="1" applyBorder="1" applyAlignment="1"/>
    <xf numFmtId="0" fontId="16" fillId="2" borderId="32" xfId="0" applyFont="1" applyFill="1" applyBorder="1" applyAlignment="1">
      <alignment horizontal="center"/>
    </xf>
    <xf numFmtId="0" fontId="16" fillId="2" borderId="32" xfId="0" applyFont="1" applyFill="1" applyBorder="1" applyAlignment="1">
      <alignment horizontal="center" vertical="center"/>
    </xf>
    <xf numFmtId="166" fontId="72" fillId="2" borderId="0" xfId="0" applyNumberFormat="1" applyFont="1" applyFill="1" applyBorder="1" applyAlignment="1">
      <alignment horizontal="left" vertical="top" wrapText="1"/>
    </xf>
    <xf numFmtId="0" fontId="16" fillId="2" borderId="42" xfId="0" applyFont="1" applyFill="1" applyBorder="1" applyAlignment="1">
      <alignment horizontal="center" wrapText="1"/>
    </xf>
    <xf numFmtId="0" fontId="16" fillId="2" borderId="31" xfId="0" applyFont="1" applyFill="1" applyBorder="1" applyAlignment="1">
      <alignment horizontal="left" vertical="center" wrapText="1"/>
    </xf>
    <xf numFmtId="0" fontId="72" fillId="2" borderId="0" xfId="0" applyFont="1" applyFill="1" applyBorder="1" applyAlignment="1">
      <alignment horizontal="left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72" fillId="2" borderId="0" xfId="0" applyFont="1" applyFill="1" applyBorder="1" applyAlignment="1">
      <alignment horizontal="center" wrapText="1"/>
    </xf>
    <xf numFmtId="49" fontId="72" fillId="2" borderId="0" xfId="0" applyNumberFormat="1" applyFont="1" applyFill="1" applyBorder="1" applyAlignment="1">
      <alignment horizontal="left" vertical="top" wrapText="1"/>
    </xf>
    <xf numFmtId="168" fontId="16" fillId="2" borderId="31" xfId="0" applyNumberFormat="1" applyFont="1" applyFill="1" applyBorder="1" applyAlignment="1">
      <alignment horizontal="center" vertical="center"/>
    </xf>
    <xf numFmtId="165" fontId="16" fillId="2" borderId="31" xfId="8" applyNumberFormat="1" applyFont="1" applyFill="1" applyBorder="1" applyAlignment="1">
      <alignment horizontal="center" vertical="center" wrapText="1"/>
    </xf>
    <xf numFmtId="168" fontId="72" fillId="2" borderId="31" xfId="0" applyNumberFormat="1" applyFont="1" applyFill="1" applyBorder="1" applyAlignment="1">
      <alignment horizontal="center" vertical="center"/>
    </xf>
    <xf numFmtId="165" fontId="72" fillId="2" borderId="31" xfId="8" applyNumberFormat="1" applyFont="1" applyFill="1" applyBorder="1" applyAlignment="1">
      <alignment horizontal="center" vertical="center" wrapText="1"/>
    </xf>
    <xf numFmtId="168" fontId="72" fillId="2" borderId="31" xfId="0" applyNumberFormat="1" applyFont="1" applyFill="1" applyBorder="1" applyAlignment="1">
      <alignment horizontal="right" vertical="center"/>
    </xf>
    <xf numFmtId="0" fontId="16" fillId="2" borderId="31" xfId="0" applyFont="1" applyFill="1" applyBorder="1" applyAlignment="1">
      <alignment wrapText="1"/>
    </xf>
    <xf numFmtId="165" fontId="72" fillId="2" borderId="31" xfId="6" applyNumberFormat="1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wrapText="1"/>
    </xf>
    <xf numFmtId="168" fontId="16" fillId="2" borderId="31" xfId="0" applyNumberFormat="1" applyFont="1" applyFill="1" applyBorder="1" applyAlignment="1">
      <alignment horizontal="right" vertical="center"/>
    </xf>
    <xf numFmtId="0" fontId="90" fillId="2" borderId="31" xfId="0" applyFont="1" applyFill="1" applyBorder="1" applyAlignment="1">
      <alignment horizontal="left" vertical="top" wrapText="1"/>
    </xf>
    <xf numFmtId="165" fontId="90" fillId="2" borderId="31" xfId="6" applyNumberFormat="1" applyFont="1" applyFill="1" applyBorder="1" applyAlignment="1">
      <alignment horizontal="right" vertical="center"/>
    </xf>
    <xf numFmtId="165" fontId="72" fillId="2" borderId="31" xfId="6" applyNumberFormat="1" applyFont="1" applyFill="1" applyBorder="1" applyAlignment="1">
      <alignment horizontal="right" vertical="center"/>
    </xf>
    <xf numFmtId="165" fontId="16" fillId="2" borderId="31" xfId="6" applyNumberFormat="1" applyFont="1" applyFill="1" applyBorder="1" applyAlignment="1">
      <alignment horizontal="right" vertical="center"/>
    </xf>
    <xf numFmtId="0" fontId="94" fillId="0" borderId="1" xfId="0" applyFont="1" applyBorder="1" applyAlignment="1">
      <alignment horizontal="center" vertical="top" wrapText="1"/>
    </xf>
    <xf numFmtId="0" fontId="94" fillId="0" borderId="52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center" vertical="center" wrapText="1"/>
    </xf>
    <xf numFmtId="0" fontId="89" fillId="0" borderId="3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center" vertical="top" wrapText="1"/>
    </xf>
    <xf numFmtId="0" fontId="89" fillId="0" borderId="3" xfId="0" applyFont="1" applyBorder="1" applyAlignment="1">
      <alignment horizontal="center" vertical="top" wrapText="1"/>
    </xf>
    <xf numFmtId="0" fontId="16" fillId="0" borderId="31" xfId="0" applyFont="1" applyBorder="1" applyAlignment="1">
      <alignment horizontal="left" vertical="top" wrapText="1"/>
    </xf>
    <xf numFmtId="0" fontId="88" fillId="0" borderId="31" xfId="0" applyFont="1" applyBorder="1" applyAlignment="1">
      <alignment wrapText="1"/>
    </xf>
    <xf numFmtId="0" fontId="94" fillId="0" borderId="32" xfId="0" applyFont="1" applyBorder="1" applyAlignment="1">
      <alignment horizontal="center" vertical="top" wrapText="1"/>
    </xf>
    <xf numFmtId="0" fontId="94" fillId="0" borderId="2" xfId="0" applyFont="1" applyBorder="1" applyAlignment="1">
      <alignment horizontal="center" vertical="top" wrapText="1"/>
    </xf>
    <xf numFmtId="0" fontId="94" fillId="0" borderId="3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52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72" fillId="0" borderId="3" xfId="0" applyFont="1" applyBorder="1" applyAlignment="1">
      <alignment horizontal="center" vertical="top" wrapText="1"/>
    </xf>
    <xf numFmtId="0" fontId="72" fillId="0" borderId="1" xfId="0" applyFont="1" applyBorder="1" applyAlignment="1">
      <alignment horizontal="center" vertical="top" wrapText="1"/>
    </xf>
    <xf numFmtId="0" fontId="72" fillId="0" borderId="8" xfId="0" applyFont="1" applyBorder="1" applyAlignment="1">
      <alignment horizontal="center" vertical="top" wrapText="1"/>
    </xf>
    <xf numFmtId="0" fontId="16" fillId="0" borderId="3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72" fillId="0" borderId="32" xfId="0" applyFont="1" applyFill="1" applyBorder="1" applyAlignment="1">
      <alignment horizontal="center" vertical="top" wrapText="1"/>
    </xf>
    <xf numFmtId="0" fontId="72" fillId="0" borderId="2" xfId="0" applyFont="1" applyFill="1" applyBorder="1" applyAlignment="1">
      <alignment horizontal="center" vertical="top" wrapText="1"/>
    </xf>
    <xf numFmtId="0" fontId="72" fillId="0" borderId="3" xfId="0" applyFont="1" applyFill="1" applyBorder="1" applyAlignment="1">
      <alignment horizontal="center" vertical="top" wrapText="1"/>
    </xf>
    <xf numFmtId="0" fontId="72" fillId="0" borderId="0" xfId="0" applyFont="1" applyAlignment="1">
      <alignment horizontal="right" vertical="top"/>
    </xf>
    <xf numFmtId="0" fontId="89" fillId="0" borderId="1" xfId="0" applyFont="1" applyBorder="1" applyAlignment="1">
      <alignment horizontal="center" vertical="top" wrapText="1"/>
    </xf>
    <xf numFmtId="0" fontId="72" fillId="0" borderId="0" xfId="0" applyFont="1" applyAlignment="1">
      <alignment horizontal="right"/>
    </xf>
    <xf numFmtId="0" fontId="16" fillId="0" borderId="0" xfId="0" applyFont="1" applyAlignment="1">
      <alignment horizont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center" vertical="center" wrapText="1"/>
    </xf>
    <xf numFmtId="0" fontId="72" fillId="0" borderId="50" xfId="0" applyFont="1" applyBorder="1" applyAlignment="1">
      <alignment horizontal="center" vertical="center" wrapText="1"/>
    </xf>
    <xf numFmtId="0" fontId="72" fillId="0" borderId="51" xfId="0" applyFont="1" applyBorder="1" applyAlignment="1">
      <alignment horizontal="center" vertical="center" wrapText="1"/>
    </xf>
    <xf numFmtId="0" fontId="72" fillId="0" borderId="49" xfId="0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3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49" fontId="16" fillId="2" borderId="32" xfId="0" applyNumberFormat="1" applyFont="1" applyFill="1" applyBorder="1" applyAlignment="1">
      <alignment horizontal="center" vertical="top" wrapText="1"/>
    </xf>
    <xf numFmtId="49" fontId="16" fillId="2" borderId="2" xfId="0" applyNumberFormat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49" fontId="16" fillId="2" borderId="31" xfId="0" applyNumberFormat="1" applyFont="1" applyFill="1" applyBorder="1" applyAlignment="1">
      <alignment horizontal="left" vertical="top" wrapText="1"/>
    </xf>
    <xf numFmtId="0" fontId="72" fillId="2" borderId="31" xfId="0" applyFont="1" applyFill="1" applyBorder="1" applyAlignment="1">
      <alignment wrapText="1"/>
    </xf>
    <xf numFmtId="0" fontId="72" fillId="2" borderId="31" xfId="0" applyNumberFormat="1" applyFont="1" applyFill="1" applyBorder="1" applyAlignment="1">
      <alignment horizontal="center" vertical="top" wrapText="1"/>
    </xf>
    <xf numFmtId="0" fontId="72" fillId="2" borderId="43" xfId="0" applyNumberFormat="1" applyFont="1" applyFill="1" applyBorder="1" applyAlignment="1">
      <alignment horizontal="center" vertical="top" wrapText="1"/>
    </xf>
    <xf numFmtId="0" fontId="105" fillId="2" borderId="32" xfId="0" applyFont="1" applyFill="1" applyBorder="1" applyAlignment="1">
      <alignment horizontal="center" wrapText="1"/>
    </xf>
    <xf numFmtId="0" fontId="105" fillId="2" borderId="2" xfId="0" applyFont="1" applyFill="1" applyBorder="1" applyAlignment="1">
      <alignment horizontal="center" wrapText="1"/>
    </xf>
    <xf numFmtId="0" fontId="105" fillId="2" borderId="3" xfId="0" applyFont="1" applyFill="1" applyBorder="1" applyAlignment="1">
      <alignment horizontal="center" wrapText="1"/>
    </xf>
    <xf numFmtId="0" fontId="16" fillId="2" borderId="31" xfId="0" applyFont="1" applyFill="1" applyBorder="1" applyAlignment="1">
      <alignment horizontal="center" wrapText="1"/>
    </xf>
    <xf numFmtId="0" fontId="72" fillId="2" borderId="31" xfId="0" applyFont="1" applyFill="1" applyBorder="1" applyAlignment="1">
      <alignment horizontal="center" wrapText="1"/>
    </xf>
    <xf numFmtId="0" fontId="72" fillId="2" borderId="52" xfId="0" applyFont="1" applyFill="1" applyBorder="1" applyAlignment="1">
      <alignment horizontal="center" wrapText="1"/>
    </xf>
    <xf numFmtId="0" fontId="16" fillId="2" borderId="31" xfId="8" applyFont="1" applyFill="1" applyBorder="1" applyAlignment="1">
      <alignment horizontal="center" vertical="top" wrapText="1"/>
    </xf>
    <xf numFmtId="0" fontId="16" fillId="2" borderId="31" xfId="0" applyFont="1" applyFill="1" applyBorder="1" applyAlignment="1">
      <alignment horizontal="left" wrapText="1"/>
    </xf>
    <xf numFmtId="0" fontId="72" fillId="2" borderId="31" xfId="8" applyFont="1" applyFill="1" applyBorder="1" applyAlignment="1">
      <alignment horizontal="center" vertical="top" wrapTex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top" wrapText="1"/>
    </xf>
    <xf numFmtId="0" fontId="72" fillId="2" borderId="0" xfId="0" applyFont="1" applyFill="1" applyAlignment="1">
      <alignment horizontal="right" vertical="top"/>
    </xf>
    <xf numFmtId="0" fontId="72" fillId="2" borderId="3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72" fillId="2" borderId="0" xfId="0" applyFont="1" applyFill="1" applyAlignment="1">
      <alignment horizontal="right"/>
    </xf>
    <xf numFmtId="0" fontId="72" fillId="2" borderId="50" xfId="0" applyFont="1" applyFill="1" applyBorder="1" applyAlignment="1">
      <alignment horizontal="center" vertical="center" wrapText="1"/>
    </xf>
    <xf numFmtId="0" fontId="72" fillId="2" borderId="51" xfId="0" applyFont="1" applyFill="1" applyBorder="1" applyAlignment="1">
      <alignment horizontal="center" vertical="center" wrapText="1"/>
    </xf>
    <xf numFmtId="0" fontId="72" fillId="2" borderId="49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left" vertical="top" wrapText="1"/>
    </xf>
    <xf numFmtId="0" fontId="72" fillId="2" borderId="52" xfId="0" applyFont="1" applyFill="1" applyBorder="1" applyAlignment="1">
      <alignment horizontal="center" vertical="top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wrapText="1"/>
    </xf>
    <xf numFmtId="0" fontId="72" fillId="2" borderId="32" xfId="0" applyFont="1" applyFill="1" applyBorder="1" applyAlignment="1">
      <alignment horizontal="center" vertical="top" wrapText="1"/>
    </xf>
    <xf numFmtId="0" fontId="72" fillId="2" borderId="2" xfId="0" applyFont="1" applyFill="1" applyBorder="1" applyAlignment="1">
      <alignment horizontal="center" vertical="top" wrapText="1"/>
    </xf>
    <xf numFmtId="0" fontId="72" fillId="2" borderId="3" xfId="0" applyFont="1" applyFill="1" applyBorder="1" applyAlignment="1">
      <alignment horizontal="center" vertical="top" wrapText="1"/>
    </xf>
    <xf numFmtId="0" fontId="72" fillId="2" borderId="32" xfId="0" applyFont="1" applyFill="1" applyBorder="1" applyAlignment="1">
      <alignment horizontal="center" wrapText="1"/>
    </xf>
    <xf numFmtId="0" fontId="72" fillId="2" borderId="2" xfId="0" applyFont="1" applyFill="1" applyBorder="1" applyAlignment="1">
      <alignment horizontal="center" wrapText="1"/>
    </xf>
    <xf numFmtId="0" fontId="72" fillId="2" borderId="3" xfId="0" applyFont="1" applyFill="1" applyBorder="1" applyAlignment="1">
      <alignment horizontal="center" wrapText="1"/>
    </xf>
    <xf numFmtId="0" fontId="16" fillId="2" borderId="52" xfId="0" applyFont="1" applyFill="1" applyBorder="1" applyAlignment="1">
      <alignment horizontal="center" wrapText="1"/>
    </xf>
    <xf numFmtId="0" fontId="16" fillId="2" borderId="31" xfId="0" applyFont="1" applyFill="1" applyBorder="1" applyAlignment="1">
      <alignment horizontal="center" vertical="top" wrapText="1"/>
    </xf>
    <xf numFmtId="0" fontId="16" fillId="2" borderId="50" xfId="0" applyFont="1" applyFill="1" applyBorder="1" applyAlignment="1">
      <alignment horizontal="left" vertical="top" wrapText="1"/>
    </xf>
    <xf numFmtId="0" fontId="16" fillId="2" borderId="49" xfId="0" applyFont="1" applyFill="1" applyBorder="1" applyAlignment="1">
      <alignment horizontal="left" vertical="top" wrapText="1"/>
    </xf>
    <xf numFmtId="49" fontId="16" fillId="2" borderId="52" xfId="0" applyNumberFormat="1" applyFont="1" applyFill="1" applyBorder="1" applyAlignment="1">
      <alignment horizontal="center" vertical="top" wrapText="1"/>
    </xf>
    <xf numFmtId="0" fontId="72" fillId="0" borderId="52" xfId="0" applyFont="1" applyBorder="1" applyAlignment="1">
      <alignment horizontal="center"/>
    </xf>
    <xf numFmtId="0" fontId="72" fillId="0" borderId="41" xfId="0" applyFont="1" applyBorder="1" applyAlignment="1">
      <alignment horizontal="center"/>
    </xf>
    <xf numFmtId="0" fontId="72" fillId="0" borderId="2" xfId="0" applyFont="1" applyBorder="1" applyAlignment="1">
      <alignment horizontal="center"/>
    </xf>
    <xf numFmtId="0" fontId="72" fillId="0" borderId="3" xfId="0" applyFont="1" applyBorder="1" applyAlignment="1">
      <alignment horizontal="center"/>
    </xf>
    <xf numFmtId="0" fontId="72" fillId="0" borderId="32" xfId="0" applyFont="1" applyBorder="1" applyAlignment="1">
      <alignment horizontal="center"/>
    </xf>
    <xf numFmtId="0" fontId="72" fillId="0" borderId="48" xfId="0" applyFont="1" applyBorder="1" applyAlignment="1">
      <alignment horizontal="center"/>
    </xf>
    <xf numFmtId="169" fontId="72" fillId="0" borderId="0" xfId="96" applyNumberFormat="1" applyFont="1" applyFill="1" applyAlignment="1">
      <alignment horizontal="right" vertical="top" wrapText="1"/>
    </xf>
    <xf numFmtId="169" fontId="72" fillId="0" borderId="0" xfId="96" applyNumberFormat="1" applyFont="1" applyFill="1" applyAlignment="1">
      <alignment horizontal="right" vertical="center" wrapText="1"/>
    </xf>
    <xf numFmtId="49" fontId="16" fillId="0" borderId="0" xfId="96" applyNumberFormat="1" applyFont="1" applyFill="1" applyBorder="1" applyAlignment="1">
      <alignment horizontal="center" vertical="center" wrapText="1"/>
    </xf>
    <xf numFmtId="0" fontId="72" fillId="0" borderId="0" xfId="0" applyFont="1" applyBorder="1" applyAlignment="1">
      <alignment vertical="center" wrapText="1"/>
    </xf>
    <xf numFmtId="49" fontId="16" fillId="0" borderId="4" xfId="96" applyNumberFormat="1" applyFont="1" applyFill="1" applyBorder="1" applyAlignment="1">
      <alignment horizontal="center" vertical="center" wrapText="1"/>
    </xf>
    <xf numFmtId="49" fontId="16" fillId="0" borderId="5" xfId="96" applyNumberFormat="1" applyFont="1" applyFill="1" applyBorder="1" applyAlignment="1">
      <alignment horizontal="center" vertical="center" wrapText="1"/>
    </xf>
    <xf numFmtId="0" fontId="16" fillId="0" borderId="8" xfId="96" applyNumberFormat="1" applyFont="1" applyFill="1" applyBorder="1" applyAlignment="1">
      <alignment horizontal="center" vertical="center" wrapText="1"/>
    </xf>
    <xf numFmtId="0" fontId="16" fillId="0" borderId="3" xfId="96" applyNumberFormat="1" applyFont="1" applyFill="1" applyBorder="1" applyAlignment="1">
      <alignment horizontal="center" vertical="center" wrapText="1"/>
    </xf>
    <xf numFmtId="168" fontId="16" fillId="2" borderId="8" xfId="96" applyNumberFormat="1" applyFont="1" applyFill="1" applyBorder="1" applyAlignment="1">
      <alignment horizontal="center" vertical="center" wrapText="1"/>
    </xf>
    <xf numFmtId="168" fontId="16" fillId="2" borderId="3" xfId="96" applyNumberFormat="1" applyFont="1" applyFill="1" applyBorder="1" applyAlignment="1">
      <alignment horizontal="center" vertical="center" wrapText="1"/>
    </xf>
    <xf numFmtId="168" fontId="72" fillId="0" borderId="47" xfId="96" applyNumberFormat="1" applyFont="1" applyFill="1" applyBorder="1" applyAlignment="1">
      <alignment horizontal="center" vertical="center" wrapText="1"/>
    </xf>
    <xf numFmtId="168" fontId="72" fillId="0" borderId="45" xfId="96" applyNumberFormat="1" applyFont="1" applyFill="1" applyBorder="1" applyAlignment="1">
      <alignment horizontal="center" vertical="center" wrapText="1"/>
    </xf>
    <xf numFmtId="168" fontId="72" fillId="0" borderId="46" xfId="96" applyNumberFormat="1" applyFont="1" applyFill="1" applyBorder="1" applyAlignment="1">
      <alignment horizontal="center" vertical="center" wrapText="1"/>
    </xf>
    <xf numFmtId="0" fontId="16" fillId="0" borderId="48" xfId="96" applyFont="1" applyBorder="1" applyAlignment="1">
      <alignment horizontal="center" vertical="center" wrapText="1"/>
    </xf>
    <xf numFmtId="0" fontId="16" fillId="0" borderId="52" xfId="96" applyFont="1" applyBorder="1" applyAlignment="1">
      <alignment horizontal="center" vertical="center" wrapText="1"/>
    </xf>
    <xf numFmtId="0" fontId="16" fillId="0" borderId="41" xfId="96" applyFont="1" applyBorder="1" applyAlignment="1">
      <alignment horizontal="center" vertical="center" wrapText="1"/>
    </xf>
    <xf numFmtId="0" fontId="16" fillId="0" borderId="2" xfId="96" applyFont="1" applyBorder="1" applyAlignment="1">
      <alignment horizontal="center" vertical="center" wrapText="1"/>
    </xf>
    <xf numFmtId="0" fontId="16" fillId="0" borderId="3" xfId="96" applyFont="1" applyBorder="1" applyAlignment="1">
      <alignment horizontal="center" vertical="center" wrapText="1"/>
    </xf>
    <xf numFmtId="0" fontId="16" fillId="0" borderId="32" xfId="96" applyFont="1" applyBorder="1" applyAlignment="1">
      <alignment horizontal="center" vertical="center" wrapText="1"/>
    </xf>
    <xf numFmtId="0" fontId="16" fillId="2" borderId="32" xfId="96" applyFont="1" applyFill="1" applyBorder="1" applyAlignment="1">
      <alignment horizontal="center" vertical="center" wrapText="1"/>
    </xf>
    <xf numFmtId="0" fontId="16" fillId="2" borderId="3" xfId="96" applyFont="1" applyFill="1" applyBorder="1" applyAlignment="1">
      <alignment horizontal="center" vertical="center" wrapText="1"/>
    </xf>
    <xf numFmtId="0" fontId="16" fillId="2" borderId="2" xfId="96" applyFont="1" applyFill="1" applyBorder="1" applyAlignment="1">
      <alignment horizontal="center" vertical="center" wrapText="1"/>
    </xf>
    <xf numFmtId="0" fontId="76" fillId="0" borderId="0" xfId="0" applyFont="1" applyAlignment="1">
      <alignment horizontal="right" vertical="top" wrapText="1"/>
    </xf>
    <xf numFmtId="0" fontId="76" fillId="0" borderId="0" xfId="0" applyFont="1" applyAlignment="1">
      <alignment horizontal="right" wrapText="1"/>
    </xf>
    <xf numFmtId="0" fontId="16" fillId="0" borderId="0" xfId="0" applyFont="1" applyAlignment="1">
      <alignment horizontal="center" vertical="center" wrapText="1"/>
    </xf>
    <xf numFmtId="0" fontId="16" fillId="0" borderId="2" xfId="96" applyNumberFormat="1" applyFont="1" applyFill="1" applyBorder="1" applyAlignment="1">
      <alignment horizontal="center" vertical="center" wrapText="1"/>
    </xf>
    <xf numFmtId="49" fontId="16" fillId="0" borderId="48" xfId="96" applyNumberFormat="1" applyFont="1" applyFill="1" applyBorder="1" applyAlignment="1">
      <alignment horizontal="center" vertical="center" textRotation="90" wrapText="1"/>
    </xf>
    <xf numFmtId="49" fontId="16" fillId="0" borderId="33" xfId="96" applyNumberFormat="1" applyFont="1" applyFill="1" applyBorder="1" applyAlignment="1">
      <alignment horizontal="center" vertical="center" textRotation="90" wrapText="1"/>
    </xf>
    <xf numFmtId="49" fontId="16" fillId="0" borderId="10" xfId="96" applyNumberFormat="1" applyFont="1" applyFill="1" applyBorder="1" applyAlignment="1">
      <alignment horizontal="center" vertical="center" textRotation="90" wrapText="1"/>
    </xf>
    <xf numFmtId="168" fontId="74" fillId="2" borderId="32" xfId="96" applyNumberFormat="1" applyFont="1" applyFill="1" applyBorder="1" applyAlignment="1">
      <alignment horizontal="center" vertical="center" wrapText="1"/>
    </xf>
    <xf numFmtId="168" fontId="74" fillId="2" borderId="3" xfId="96" applyNumberFormat="1" applyFont="1" applyFill="1" applyBorder="1" applyAlignment="1">
      <alignment horizontal="center" vertical="center" wrapText="1"/>
    </xf>
    <xf numFmtId="168" fontId="97" fillId="2" borderId="47" xfId="96" applyNumberFormat="1" applyFont="1" applyFill="1" applyBorder="1" applyAlignment="1">
      <alignment horizontal="center" vertical="center" wrapText="1"/>
    </xf>
    <xf numFmtId="168" fontId="97" fillId="2" borderId="45" xfId="96" applyNumberFormat="1" applyFont="1" applyFill="1" applyBorder="1" applyAlignment="1">
      <alignment horizontal="center" vertical="center" wrapText="1"/>
    </xf>
    <xf numFmtId="168" fontId="97" fillId="2" borderId="46" xfId="96" applyNumberFormat="1" applyFont="1" applyFill="1" applyBorder="1" applyAlignment="1">
      <alignment horizontal="center" vertical="center" wrapText="1"/>
    </xf>
    <xf numFmtId="0" fontId="76" fillId="0" borderId="32" xfId="0" applyFont="1" applyBorder="1" applyAlignment="1">
      <alignment horizontal="center" vertical="top" wrapText="1"/>
    </xf>
    <xf numFmtId="0" fontId="76" fillId="0" borderId="2" xfId="0" applyFont="1" applyBorder="1" applyAlignment="1">
      <alignment horizontal="center" vertical="top" wrapText="1"/>
    </xf>
    <xf numFmtId="0" fontId="76" fillId="0" borderId="3" xfId="0" applyFont="1" applyBorder="1" applyAlignment="1">
      <alignment horizontal="center" vertical="top" wrapText="1"/>
    </xf>
    <xf numFmtId="0" fontId="76" fillId="0" borderId="1" xfId="0" applyFont="1" applyBorder="1" applyAlignment="1">
      <alignment horizontal="center" vertical="top" wrapText="1"/>
    </xf>
    <xf numFmtId="49" fontId="13" fillId="0" borderId="3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0" fontId="90" fillId="2" borderId="37" xfId="0" applyFont="1" applyFill="1" applyBorder="1" applyAlignment="1">
      <alignment horizontal="left" vertical="top" wrapText="1"/>
    </xf>
    <xf numFmtId="0" fontId="90" fillId="2" borderId="34" xfId="0" applyFont="1" applyFill="1" applyBorder="1" applyAlignment="1">
      <alignment horizontal="left" vertical="top" wrapText="1"/>
    </xf>
    <xf numFmtId="0" fontId="76" fillId="2" borderId="37" xfId="0" applyFont="1" applyFill="1" applyBorder="1" applyAlignment="1">
      <alignment horizontal="left" vertical="top" wrapText="1"/>
    </xf>
    <xf numFmtId="0" fontId="76" fillId="2" borderId="34" xfId="0" applyFont="1" applyFill="1" applyBorder="1" applyAlignment="1">
      <alignment horizontal="left" vertical="top" wrapText="1"/>
    </xf>
    <xf numFmtId="0" fontId="72" fillId="0" borderId="31" xfId="0" applyFont="1" applyFill="1" applyBorder="1" applyAlignment="1">
      <alignment horizontal="left" vertical="center"/>
    </xf>
    <xf numFmtId="0" fontId="100" fillId="0" borderId="0" xfId="0" applyFont="1" applyBorder="1" applyAlignment="1">
      <alignment horizontal="right" vertical="top" wrapText="1"/>
    </xf>
    <xf numFmtId="0" fontId="90" fillId="0" borderId="4" xfId="0" applyFont="1" applyBorder="1" applyAlignment="1">
      <alignment horizontal="left" vertical="top" wrapText="1"/>
    </xf>
    <xf numFmtId="0" fontId="91" fillId="0" borderId="7" xfId="0" applyFont="1" applyBorder="1" applyAlignment="1">
      <alignment vertical="top" wrapText="1"/>
    </xf>
    <xf numFmtId="0" fontId="91" fillId="0" borderId="51" xfId="0" applyFont="1" applyBorder="1" applyAlignment="1">
      <alignment vertical="top" wrapText="1"/>
    </xf>
    <xf numFmtId="0" fontId="91" fillId="0" borderId="5" xfId="0" applyFont="1" applyBorder="1" applyAlignment="1">
      <alignment vertical="top" wrapText="1"/>
    </xf>
    <xf numFmtId="0" fontId="72" fillId="2" borderId="37" xfId="0" applyFont="1" applyFill="1" applyBorder="1" applyAlignment="1">
      <alignment horizontal="center" vertical="top" wrapText="1"/>
    </xf>
    <xf numFmtId="0" fontId="72" fillId="2" borderId="34" xfId="0" applyFont="1" applyFill="1" applyBorder="1" applyAlignment="1">
      <alignment horizontal="center" vertical="top" wrapText="1"/>
    </xf>
    <xf numFmtId="0" fontId="90" fillId="0" borderId="50" xfId="0" applyFont="1" applyBorder="1" applyAlignment="1">
      <alignment horizontal="left" vertical="top" wrapText="1"/>
    </xf>
    <xf numFmtId="0" fontId="91" fillId="0" borderId="49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99" fillId="0" borderId="1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center" wrapText="1"/>
    </xf>
    <xf numFmtId="0" fontId="89" fillId="0" borderId="5" xfId="0" applyFont="1" applyBorder="1" applyAlignment="1">
      <alignment vertical="center" wrapText="1"/>
    </xf>
    <xf numFmtId="0" fontId="76" fillId="2" borderId="32" xfId="0" applyFont="1" applyFill="1" applyBorder="1" applyAlignment="1">
      <alignment horizontal="center" vertical="top" wrapText="1"/>
    </xf>
    <xf numFmtId="0" fontId="76" fillId="2" borderId="2" xfId="0" applyFont="1" applyFill="1" applyBorder="1" applyAlignment="1">
      <alignment horizontal="center" vertical="top" wrapText="1"/>
    </xf>
    <xf numFmtId="0" fontId="76" fillId="2" borderId="3" xfId="0" applyFont="1" applyFill="1" applyBorder="1" applyAlignment="1">
      <alignment horizontal="center" vertical="top" wrapText="1"/>
    </xf>
    <xf numFmtId="0" fontId="76" fillId="0" borderId="0" xfId="0" applyFont="1" applyAlignment="1">
      <alignment horizontal="right" vertical="top"/>
    </xf>
    <xf numFmtId="0" fontId="98" fillId="0" borderId="0" xfId="0" applyFont="1" applyBorder="1" applyAlignment="1">
      <alignment horizontal="right" vertical="top" wrapText="1"/>
    </xf>
    <xf numFmtId="0" fontId="13" fillId="0" borderId="0" xfId="0" applyFont="1" applyAlignment="1">
      <alignment horizontal="center" wrapText="1"/>
    </xf>
    <xf numFmtId="0" fontId="90" fillId="0" borderId="47" xfId="0" applyFont="1" applyBorder="1" applyAlignment="1">
      <alignment horizontal="left" vertical="top" wrapText="1"/>
    </xf>
    <xf numFmtId="0" fontId="91" fillId="0" borderId="46" xfId="0" applyFont="1" applyBorder="1" applyAlignment="1">
      <alignment horizontal="left" vertical="top" wrapText="1"/>
    </xf>
    <xf numFmtId="0" fontId="99" fillId="0" borderId="5" xfId="0" applyFont="1" applyBorder="1" applyAlignment="1">
      <alignment vertical="center" wrapText="1"/>
    </xf>
    <xf numFmtId="0" fontId="13" fillId="0" borderId="4" xfId="0" applyFont="1" applyBorder="1" applyAlignment="1">
      <alignment horizontal="left" vertical="top" wrapText="1"/>
    </xf>
    <xf numFmtId="0" fontId="13" fillId="0" borderId="51" xfId="0" applyFont="1" applyBorder="1" applyAlignment="1">
      <alignment horizontal="left" vertical="top" wrapText="1"/>
    </xf>
    <xf numFmtId="0" fontId="99" fillId="0" borderId="7" xfId="0" applyFont="1" applyBorder="1" applyAlignment="1">
      <alignment wrapText="1"/>
    </xf>
    <xf numFmtId="0" fontId="99" fillId="0" borderId="5" xfId="0" applyFont="1" applyBorder="1" applyAlignment="1">
      <alignment wrapText="1"/>
    </xf>
    <xf numFmtId="0" fontId="76" fillId="0" borderId="32" xfId="0" applyFont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76" fillId="0" borderId="3" xfId="0" applyFont="1" applyBorder="1" applyAlignment="1">
      <alignment horizontal="center"/>
    </xf>
    <xf numFmtId="0" fontId="76" fillId="2" borderId="37" xfId="0" applyFont="1" applyFill="1" applyBorder="1" applyAlignment="1">
      <alignment horizontal="center" vertical="top" wrapText="1"/>
    </xf>
    <xf numFmtId="0" fontId="76" fillId="2" borderId="34" xfId="0" applyFont="1" applyFill="1" applyBorder="1" applyAlignment="1">
      <alignment horizontal="center" vertical="top" wrapText="1"/>
    </xf>
    <xf numFmtId="0" fontId="16" fillId="2" borderId="47" xfId="0" applyFont="1" applyFill="1" applyBorder="1" applyAlignment="1">
      <alignment horizontal="left"/>
    </xf>
    <xf numFmtId="0" fontId="16" fillId="2" borderId="45" xfId="0" applyFont="1" applyFill="1" applyBorder="1" applyAlignment="1">
      <alignment horizontal="left"/>
    </xf>
    <xf numFmtId="0" fontId="16" fillId="2" borderId="51" xfId="0" applyFont="1" applyFill="1" applyBorder="1" applyAlignment="1">
      <alignment horizontal="left"/>
    </xf>
    <xf numFmtId="0" fontId="16" fillId="2" borderId="46" xfId="0" applyFont="1" applyFill="1" applyBorder="1" applyAlignment="1">
      <alignment horizontal="left"/>
    </xf>
    <xf numFmtId="0" fontId="88" fillId="0" borderId="4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1" xfId="0" applyFont="1" applyBorder="1" applyAlignment="1">
      <alignment horizontal="left" vertical="top" wrapText="1"/>
    </xf>
    <xf numFmtId="0" fontId="89" fillId="0" borderId="7" xfId="0" applyFont="1" applyBorder="1" applyAlignment="1">
      <alignment wrapText="1"/>
    </xf>
    <xf numFmtId="0" fontId="89" fillId="0" borderId="5" xfId="0" applyFont="1" applyBorder="1" applyAlignment="1">
      <alignment wrapText="1"/>
    </xf>
    <xf numFmtId="0" fontId="76" fillId="2" borderId="0" xfId="0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 wrapText="1"/>
    </xf>
    <xf numFmtId="0" fontId="89" fillId="0" borderId="1" xfId="0" applyFont="1" applyBorder="1" applyAlignment="1">
      <alignment horizontal="left" vertical="top" wrapText="1"/>
    </xf>
    <xf numFmtId="0" fontId="72" fillId="0" borderId="32" xfId="0" applyFont="1" applyBorder="1" applyAlignment="1">
      <alignment horizontal="center" vertical="top" wrapText="1"/>
    </xf>
    <xf numFmtId="0" fontId="72" fillId="0" borderId="2" xfId="0" applyFont="1" applyBorder="1" applyAlignment="1">
      <alignment horizontal="center" vertical="top" wrapText="1"/>
    </xf>
    <xf numFmtId="49" fontId="16" fillId="0" borderId="32" xfId="0" applyNumberFormat="1" applyFont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0" fontId="72" fillId="2" borderId="37" xfId="0" applyFont="1" applyFill="1" applyBorder="1" applyAlignment="1">
      <alignment horizontal="left" vertical="top" wrapText="1"/>
    </xf>
    <xf numFmtId="0" fontId="72" fillId="2" borderId="34" xfId="0" applyFont="1" applyFill="1" applyBorder="1" applyAlignment="1">
      <alignment horizontal="left" vertical="top" wrapText="1"/>
    </xf>
    <xf numFmtId="0" fontId="72" fillId="2" borderId="31" xfId="0" applyFont="1" applyFill="1" applyBorder="1" applyAlignment="1">
      <alignment horizontal="left" vertical="center" wrapText="1"/>
    </xf>
    <xf numFmtId="0" fontId="76" fillId="2" borderId="31" xfId="0" applyFont="1" applyFill="1" applyBorder="1" applyAlignment="1">
      <alignment horizontal="left" vertical="center" wrapText="1"/>
    </xf>
    <xf numFmtId="0" fontId="76" fillId="0" borderId="44" xfId="0" applyFont="1" applyBorder="1" applyAlignment="1">
      <alignment horizontal="left" vertical="top" wrapText="1"/>
    </xf>
    <xf numFmtId="0" fontId="72" fillId="0" borderId="37" xfId="0" applyFont="1" applyFill="1" applyBorder="1" applyAlignment="1">
      <alignment horizontal="left" vertical="center" wrapText="1"/>
    </xf>
    <xf numFmtId="0" fontId="72" fillId="0" borderId="38" xfId="0" applyFont="1" applyFill="1" applyBorder="1" applyAlignment="1">
      <alignment horizontal="left" vertical="center" wrapText="1"/>
    </xf>
    <xf numFmtId="0" fontId="72" fillId="0" borderId="34" xfId="0" applyFont="1" applyFill="1" applyBorder="1" applyAlignment="1">
      <alignment horizontal="left" vertical="center" wrapText="1"/>
    </xf>
    <xf numFmtId="0" fontId="72" fillId="0" borderId="31" xfId="0" applyFont="1" applyFill="1" applyBorder="1" applyAlignment="1">
      <alignment horizontal="left" vertical="top" wrapText="1"/>
    </xf>
    <xf numFmtId="0" fontId="72" fillId="0" borderId="31" xfId="0" applyFont="1" applyBorder="1" applyAlignment="1">
      <alignment horizontal="center" vertical="center" wrapText="1"/>
    </xf>
    <xf numFmtId="0" fontId="72" fillId="0" borderId="47" xfId="0" applyFont="1" applyBorder="1" applyAlignment="1">
      <alignment horizontal="center" vertical="center" wrapText="1"/>
    </xf>
    <xf numFmtId="0" fontId="72" fillId="0" borderId="45" xfId="0" applyFont="1" applyBorder="1" applyAlignment="1">
      <alignment horizontal="center" vertical="center" wrapText="1"/>
    </xf>
    <xf numFmtId="0" fontId="72" fillId="0" borderId="46" xfId="0" applyFont="1" applyBorder="1" applyAlignment="1">
      <alignment horizontal="center" vertical="center" wrapText="1"/>
    </xf>
    <xf numFmtId="0" fontId="72" fillId="2" borderId="48" xfId="0" applyFont="1" applyFill="1" applyBorder="1" applyAlignment="1">
      <alignment horizontal="left" vertical="top" wrapText="1"/>
    </xf>
    <xf numFmtId="0" fontId="76" fillId="0" borderId="47" xfId="0" applyFont="1" applyBorder="1" applyAlignment="1">
      <alignment horizontal="center" vertical="center" wrapText="1"/>
    </xf>
    <xf numFmtId="0" fontId="76" fillId="0" borderId="45" xfId="0" applyFont="1" applyBorder="1" applyAlignment="1">
      <alignment horizontal="center" vertical="center" wrapText="1"/>
    </xf>
    <xf numFmtId="0" fontId="76" fillId="0" borderId="46" xfId="0" applyFont="1" applyBorder="1" applyAlignment="1">
      <alignment horizontal="center" vertical="center" wrapText="1"/>
    </xf>
    <xf numFmtId="0" fontId="72" fillId="2" borderId="31" xfId="0" applyFont="1" applyFill="1" applyBorder="1" applyAlignment="1">
      <alignment horizontal="left" vertical="top" wrapText="1"/>
    </xf>
    <xf numFmtId="0" fontId="76" fillId="2" borderId="47" xfId="0" applyFont="1" applyFill="1" applyBorder="1" applyAlignment="1">
      <alignment horizontal="center" vertical="center" wrapText="1"/>
    </xf>
    <xf numFmtId="0" fontId="76" fillId="2" borderId="45" xfId="0" applyFont="1" applyFill="1" applyBorder="1" applyAlignment="1">
      <alignment horizontal="center" vertical="center" wrapText="1"/>
    </xf>
    <xf numFmtId="0" fontId="76" fillId="2" borderId="46" xfId="0" applyFont="1" applyFill="1" applyBorder="1" applyAlignment="1">
      <alignment horizontal="center" vertical="center" wrapText="1"/>
    </xf>
    <xf numFmtId="0" fontId="76" fillId="0" borderId="31" xfId="0" applyFont="1" applyBorder="1" applyAlignment="1">
      <alignment horizontal="center" vertical="center" wrapText="1"/>
    </xf>
    <xf numFmtId="0" fontId="72" fillId="2" borderId="37" xfId="0" applyFont="1" applyFill="1" applyBorder="1" applyAlignment="1">
      <alignment horizontal="left" vertical="center" wrapText="1"/>
    </xf>
    <xf numFmtId="0" fontId="72" fillId="2" borderId="38" xfId="0" applyFont="1" applyFill="1" applyBorder="1" applyAlignment="1">
      <alignment horizontal="left" vertical="center" wrapText="1"/>
    </xf>
    <xf numFmtId="0" fontId="72" fillId="2" borderId="34" xfId="0" applyFont="1" applyFill="1" applyBorder="1" applyAlignment="1">
      <alignment horizontal="left" vertical="center" wrapText="1"/>
    </xf>
    <xf numFmtId="0" fontId="72" fillId="2" borderId="44" xfId="0" applyFont="1" applyFill="1" applyBorder="1" applyAlignment="1">
      <alignment horizontal="left" vertical="top" wrapText="1"/>
    </xf>
    <xf numFmtId="0" fontId="72" fillId="0" borderId="44" xfId="0" applyFont="1" applyBorder="1" applyAlignment="1">
      <alignment horizontal="left" vertical="top" wrapText="1"/>
    </xf>
    <xf numFmtId="0" fontId="72" fillId="2" borderId="47" xfId="0" applyFont="1" applyFill="1" applyBorder="1" applyAlignment="1">
      <alignment horizontal="center" vertical="center" wrapText="1"/>
    </xf>
    <xf numFmtId="0" fontId="72" fillId="2" borderId="45" xfId="0" applyFont="1" applyFill="1" applyBorder="1" applyAlignment="1">
      <alignment horizontal="center" vertical="center" wrapText="1"/>
    </xf>
    <xf numFmtId="0" fontId="72" fillId="2" borderId="46" xfId="0" applyFont="1" applyFill="1" applyBorder="1" applyAlignment="1">
      <alignment horizontal="center" vertical="center" wrapText="1"/>
    </xf>
    <xf numFmtId="0" fontId="76" fillId="56" borderId="33" xfId="0" applyFont="1" applyFill="1" applyBorder="1" applyAlignment="1">
      <alignment horizontal="center" vertical="center" wrapText="1"/>
    </xf>
    <xf numFmtId="0" fontId="76" fillId="56" borderId="36" xfId="0" applyFont="1" applyFill="1" applyBorder="1" applyAlignment="1">
      <alignment horizontal="center" vertical="center" wrapText="1"/>
    </xf>
    <xf numFmtId="0" fontId="76" fillId="56" borderId="35" xfId="0" applyFont="1" applyFill="1" applyBorder="1" applyAlignment="1">
      <alignment horizontal="center" vertical="center" wrapText="1"/>
    </xf>
    <xf numFmtId="0" fontId="76" fillId="56" borderId="10" xfId="0" applyFont="1" applyFill="1" applyBorder="1" applyAlignment="1">
      <alignment horizontal="center" vertical="center" wrapText="1"/>
    </xf>
    <xf numFmtId="0" fontId="76" fillId="56" borderId="9" xfId="0" applyFont="1" applyFill="1" applyBorder="1" applyAlignment="1">
      <alignment horizontal="center" vertical="center" wrapText="1"/>
    </xf>
    <xf numFmtId="0" fontId="76" fillId="56" borderId="30" xfId="0" applyFont="1" applyFill="1" applyBorder="1" applyAlignment="1">
      <alignment horizontal="center" vertical="center" wrapText="1"/>
    </xf>
    <xf numFmtId="0" fontId="76" fillId="0" borderId="37" xfId="0" applyFont="1" applyFill="1" applyBorder="1" applyAlignment="1">
      <alignment horizontal="left" vertical="center" wrapText="1"/>
    </xf>
    <xf numFmtId="0" fontId="76" fillId="0" borderId="38" xfId="0" applyFont="1" applyFill="1" applyBorder="1" applyAlignment="1">
      <alignment horizontal="left" vertical="center" wrapText="1"/>
    </xf>
    <xf numFmtId="0" fontId="76" fillId="0" borderId="34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vertical="top" wrapText="1"/>
    </xf>
    <xf numFmtId="0" fontId="76" fillId="56" borderId="37" xfId="0" applyFont="1" applyFill="1" applyBorder="1" applyAlignment="1">
      <alignment horizontal="center" wrapText="1"/>
    </xf>
    <xf numFmtId="0" fontId="76" fillId="56" borderId="38" xfId="0" applyFont="1" applyFill="1" applyBorder="1" applyAlignment="1">
      <alignment horizontal="center" wrapText="1"/>
    </xf>
    <xf numFmtId="0" fontId="76" fillId="56" borderId="34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76" fillId="56" borderId="31" xfId="0" applyFont="1" applyFill="1" applyBorder="1" applyAlignment="1">
      <alignment horizontal="center" vertical="center" wrapText="1"/>
    </xf>
    <xf numFmtId="0" fontId="76" fillId="56" borderId="31" xfId="0" applyFont="1" applyFill="1" applyBorder="1" applyAlignment="1">
      <alignment vertical="center" wrapText="1"/>
    </xf>
    <xf numFmtId="0" fontId="72" fillId="2" borderId="47" xfId="8" applyFont="1" applyFill="1" applyBorder="1" applyAlignment="1">
      <alignment horizontal="center" vertical="center" wrapText="1"/>
    </xf>
    <xf numFmtId="0" fontId="72" fillId="2" borderId="46" xfId="8" applyFont="1" applyFill="1" applyBorder="1" applyAlignment="1">
      <alignment horizontal="center" vertical="center" wrapText="1"/>
    </xf>
    <xf numFmtId="0" fontId="76" fillId="0" borderId="0" xfId="0" applyFont="1" applyAlignment="1">
      <alignment horizontal="right"/>
    </xf>
    <xf numFmtId="0" fontId="16" fillId="2" borderId="44" xfId="0" applyFont="1" applyFill="1" applyBorder="1" applyAlignment="1">
      <alignment vertical="top" wrapText="1"/>
    </xf>
    <xf numFmtId="0" fontId="72" fillId="2" borderId="52" xfId="0" applyFont="1" applyFill="1" applyBorder="1" applyAlignment="1">
      <alignment horizontal="left" vertical="top" wrapText="1"/>
    </xf>
    <xf numFmtId="0" fontId="16" fillId="0" borderId="32" xfId="96" applyNumberFormat="1" applyFont="1" applyFill="1" applyBorder="1" applyAlignment="1">
      <alignment horizontal="center" vertical="center" wrapText="1"/>
    </xf>
    <xf numFmtId="169" fontId="16" fillId="0" borderId="0" xfId="96" applyNumberFormat="1" applyFont="1" applyFill="1" applyAlignment="1">
      <alignment horizontal="right" vertical="center" wrapText="1"/>
    </xf>
    <xf numFmtId="168" fontId="72" fillId="0" borderId="9" xfId="96" applyNumberFormat="1" applyFont="1" applyFill="1" applyBorder="1" applyAlignment="1">
      <alignment horizontal="right" vertical="center" wrapText="1"/>
    </xf>
    <xf numFmtId="0" fontId="16" fillId="0" borderId="0" xfId="96" applyNumberFormat="1" applyFont="1" applyFill="1" applyAlignment="1">
      <alignment horizontal="center" vertical="center" wrapText="1"/>
    </xf>
    <xf numFmtId="49" fontId="16" fillId="0" borderId="32" xfId="0" applyNumberFormat="1" applyFont="1" applyBorder="1" applyAlignment="1">
      <alignment horizontal="center" vertical="top" wrapText="1"/>
    </xf>
    <xf numFmtId="49" fontId="16" fillId="0" borderId="2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0" fontId="76" fillId="0" borderId="50" xfId="0" applyFont="1" applyBorder="1" applyAlignment="1">
      <alignment horizontal="center" vertical="center" wrapText="1"/>
    </xf>
    <xf numFmtId="0" fontId="76" fillId="0" borderId="51" xfId="0" applyFont="1" applyBorder="1" applyAlignment="1">
      <alignment horizontal="center" vertical="center" wrapText="1"/>
    </xf>
    <xf numFmtId="0" fontId="76" fillId="0" borderId="49" xfId="0" applyFont="1" applyBorder="1" applyAlignment="1">
      <alignment horizontal="center" vertical="center" wrapText="1"/>
    </xf>
    <xf numFmtId="0" fontId="16" fillId="0" borderId="48" xfId="8" applyFont="1" applyFill="1" applyBorder="1" applyAlignment="1">
      <alignment horizontal="center" vertical="top" wrapText="1"/>
    </xf>
    <xf numFmtId="0" fontId="76" fillId="0" borderId="48" xfId="0" applyFont="1" applyBorder="1" applyAlignment="1">
      <alignment horizontal="center" vertical="center" wrapText="1"/>
    </xf>
    <xf numFmtId="0" fontId="76" fillId="0" borderId="9" xfId="0" applyFont="1" applyBorder="1" applyAlignment="1">
      <alignment horizontal="right"/>
    </xf>
    <xf numFmtId="0" fontId="16" fillId="0" borderId="42" xfId="0" applyFont="1" applyBorder="1" applyAlignment="1">
      <alignment horizontal="center" vertical="top" wrapText="1"/>
    </xf>
    <xf numFmtId="0" fontId="16" fillId="0" borderId="42" xfId="0" applyFont="1" applyBorder="1" applyAlignment="1">
      <alignment horizontal="center" wrapText="1"/>
    </xf>
    <xf numFmtId="49" fontId="16" fillId="0" borderId="31" xfId="0" applyNumberFormat="1" applyFont="1" applyFill="1" applyBorder="1" applyAlignment="1">
      <alignment horizontal="left" vertical="top" wrapText="1"/>
    </xf>
    <xf numFmtId="0" fontId="72" fillId="0" borderId="31" xfId="0" applyFont="1" applyFill="1" applyBorder="1" applyAlignment="1">
      <alignment wrapText="1"/>
    </xf>
    <xf numFmtId="0" fontId="13" fillId="0" borderId="48" xfId="0" applyFont="1" applyBorder="1" applyAlignment="1">
      <alignment horizontal="left" vertical="center" wrapText="1"/>
    </xf>
    <xf numFmtId="0" fontId="72" fillId="0" borderId="48" xfId="8" applyFont="1" applyFill="1" applyBorder="1" applyAlignment="1">
      <alignment horizontal="center" vertical="top" wrapText="1"/>
    </xf>
    <xf numFmtId="0" fontId="72" fillId="2" borderId="48" xfId="0" applyFont="1" applyFill="1" applyBorder="1" applyAlignment="1">
      <alignment horizontal="center" vertical="top" wrapText="1"/>
    </xf>
    <xf numFmtId="0" fontId="76" fillId="0" borderId="48" xfId="0" applyFont="1" applyBorder="1" applyAlignment="1">
      <alignment horizontal="center"/>
    </xf>
    <xf numFmtId="0" fontId="16" fillId="0" borderId="3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13" fillId="0" borderId="48" xfId="0" applyNumberFormat="1" applyFont="1" applyBorder="1" applyAlignment="1">
      <alignment horizontal="center" vertical="top"/>
    </xf>
    <xf numFmtId="0" fontId="72" fillId="2" borderId="46" xfId="0" applyNumberFormat="1" applyFont="1" applyFill="1" applyBorder="1" applyAlignment="1">
      <alignment horizontal="center" vertical="top" wrapText="1"/>
    </xf>
    <xf numFmtId="49" fontId="13" fillId="0" borderId="46" xfId="0" applyNumberFormat="1" applyFont="1" applyBorder="1" applyAlignment="1">
      <alignment horizontal="center" vertical="top"/>
    </xf>
    <xf numFmtId="0" fontId="16" fillId="2" borderId="31" xfId="0" applyNumberFormat="1" applyFont="1" applyFill="1" applyBorder="1" applyAlignment="1">
      <alignment horizontal="center" vertical="top" wrapText="1"/>
    </xf>
  </cellXfs>
  <cellStyles count="2022">
    <cellStyle name="20% - Accent1" xfId="29" builtinId="30" customBuiltin="1"/>
    <cellStyle name="20% - Accent1 2" xfId="69"/>
    <cellStyle name="20% - Accent1 2 2" xfId="108"/>
    <cellStyle name="20% - Accent1 3" xfId="167"/>
    <cellStyle name="20% - Accent1 4" xfId="191"/>
    <cellStyle name="20% - Accent2" xfId="33" builtinId="34" customBuiltin="1"/>
    <cellStyle name="20% - Accent2 2" xfId="72"/>
    <cellStyle name="20% - Accent2 2 2" xfId="109"/>
    <cellStyle name="20% - Accent2 3" xfId="169"/>
    <cellStyle name="20% - Accent2 4" xfId="193"/>
    <cellStyle name="20% - Accent3" xfId="37" builtinId="38" customBuiltin="1"/>
    <cellStyle name="20% - Accent3 2" xfId="71"/>
    <cellStyle name="20% - Accent3 2 2" xfId="110"/>
    <cellStyle name="20% - Accent3 3" xfId="171"/>
    <cellStyle name="20% - Accent3 4" xfId="195"/>
    <cellStyle name="20% - Accent4" xfId="41" builtinId="42" customBuiltin="1"/>
    <cellStyle name="20% - Accent4 2" xfId="88"/>
    <cellStyle name="20% - Accent4 2 2" xfId="111"/>
    <cellStyle name="20% - Accent4 3" xfId="173"/>
    <cellStyle name="20% - Accent4 4" xfId="197"/>
    <cellStyle name="20% - Accent5" xfId="45" builtinId="46" customBuiltin="1"/>
    <cellStyle name="20% - Accent5 2" xfId="91"/>
    <cellStyle name="20% - Accent5 2 2" xfId="112"/>
    <cellStyle name="20% - Accent5 3" xfId="175"/>
    <cellStyle name="20% - Accent5 4" xfId="199"/>
    <cellStyle name="20% - Accent6" xfId="49" builtinId="50" customBuiltin="1"/>
    <cellStyle name="20% - Accent6 2" xfId="59"/>
    <cellStyle name="20% - Accent6 2 2" xfId="113"/>
    <cellStyle name="20% - Accent6 3" xfId="177"/>
    <cellStyle name="20% - Accent6 4" xfId="201"/>
    <cellStyle name="20% - Акцент1 10" xfId="301"/>
    <cellStyle name="20% - Акцент1 11" xfId="302"/>
    <cellStyle name="20% - Акцент1 12" xfId="303"/>
    <cellStyle name="20% - Акцент1 13" xfId="304"/>
    <cellStyle name="20% - Акцент1 14" xfId="305"/>
    <cellStyle name="20% - Акцент1 15" xfId="306"/>
    <cellStyle name="20% - Акцент1 16" xfId="307"/>
    <cellStyle name="20% - Акцент1 17" xfId="308"/>
    <cellStyle name="20% - Акцент1 18" xfId="309"/>
    <cellStyle name="20% - Акцент1 19" xfId="310"/>
    <cellStyle name="20% - Акцент1 2" xfId="311"/>
    <cellStyle name="20% - Акцент1 20" xfId="312"/>
    <cellStyle name="20% - Акцент1 21" xfId="313"/>
    <cellStyle name="20% - Акцент1 22" xfId="314"/>
    <cellStyle name="20% - Акцент1 23" xfId="315"/>
    <cellStyle name="20% - Акцент1 24" xfId="316"/>
    <cellStyle name="20% - Акцент1 25" xfId="317"/>
    <cellStyle name="20% - Акцент1 26" xfId="318"/>
    <cellStyle name="20% - Акцент1 27" xfId="319"/>
    <cellStyle name="20% - Акцент1 28" xfId="320"/>
    <cellStyle name="20% - Акцент1 29" xfId="321"/>
    <cellStyle name="20% - Акцент1 3" xfId="322"/>
    <cellStyle name="20% - Акцент1 30" xfId="323"/>
    <cellStyle name="20% - Акцент1 31" xfId="324"/>
    <cellStyle name="20% - Акцент1 32" xfId="325"/>
    <cellStyle name="20% - Акцент1 33" xfId="326"/>
    <cellStyle name="20% - Акцент1 34" xfId="327"/>
    <cellStyle name="20% - Акцент1 35" xfId="328"/>
    <cellStyle name="20% - Акцент1 36" xfId="329"/>
    <cellStyle name="20% - Акцент1 4" xfId="330"/>
    <cellStyle name="20% - Акцент1 5" xfId="331"/>
    <cellStyle name="20% - Акцент1 6" xfId="332"/>
    <cellStyle name="20% - Акцент1 7" xfId="333"/>
    <cellStyle name="20% - Акцент1 8" xfId="334"/>
    <cellStyle name="20% - Акцент1 9" xfId="335"/>
    <cellStyle name="20% - Акцент2 10" xfId="336"/>
    <cellStyle name="20% - Акцент2 11" xfId="337"/>
    <cellStyle name="20% - Акцент2 12" xfId="338"/>
    <cellStyle name="20% - Акцент2 13" xfId="339"/>
    <cellStyle name="20% - Акцент2 14" xfId="340"/>
    <cellStyle name="20% - Акцент2 15" xfId="341"/>
    <cellStyle name="20% - Акцент2 16" xfId="342"/>
    <cellStyle name="20% - Акцент2 17" xfId="343"/>
    <cellStyle name="20% - Акцент2 18" xfId="344"/>
    <cellStyle name="20% - Акцент2 19" xfId="345"/>
    <cellStyle name="20% - Акцент2 2" xfId="346"/>
    <cellStyle name="20% - Акцент2 20" xfId="347"/>
    <cellStyle name="20% - Акцент2 21" xfId="348"/>
    <cellStyle name="20% - Акцент2 22" xfId="349"/>
    <cellStyle name="20% - Акцент2 23" xfId="350"/>
    <cellStyle name="20% - Акцент2 24" xfId="351"/>
    <cellStyle name="20% - Акцент2 25" xfId="352"/>
    <cellStyle name="20% - Акцент2 26" xfId="353"/>
    <cellStyle name="20% - Акцент2 27" xfId="354"/>
    <cellStyle name="20% - Акцент2 28" xfId="355"/>
    <cellStyle name="20% - Акцент2 29" xfId="356"/>
    <cellStyle name="20% - Акцент2 3" xfId="357"/>
    <cellStyle name="20% - Акцент2 30" xfId="358"/>
    <cellStyle name="20% - Акцент2 31" xfId="359"/>
    <cellStyle name="20% - Акцент2 32" xfId="360"/>
    <cellStyle name="20% - Акцент2 33" xfId="361"/>
    <cellStyle name="20% - Акцент2 34" xfId="362"/>
    <cellStyle name="20% - Акцент2 35" xfId="363"/>
    <cellStyle name="20% - Акцент2 36" xfId="364"/>
    <cellStyle name="20% - Акцент2 4" xfId="365"/>
    <cellStyle name="20% - Акцент2 5" xfId="366"/>
    <cellStyle name="20% - Акцент2 6" xfId="367"/>
    <cellStyle name="20% - Акцент2 7" xfId="368"/>
    <cellStyle name="20% - Акцент2 8" xfId="369"/>
    <cellStyle name="20% - Акцент2 9" xfId="370"/>
    <cellStyle name="20% - Акцент3 10" xfId="371"/>
    <cellStyle name="20% - Акцент3 11" xfId="372"/>
    <cellStyle name="20% - Акцент3 12" xfId="373"/>
    <cellStyle name="20% - Акцент3 13" xfId="374"/>
    <cellStyle name="20% - Акцент3 14" xfId="375"/>
    <cellStyle name="20% - Акцент3 15" xfId="376"/>
    <cellStyle name="20% - Акцент3 16" xfId="377"/>
    <cellStyle name="20% - Акцент3 17" xfId="378"/>
    <cellStyle name="20% - Акцент3 18" xfId="379"/>
    <cellStyle name="20% - Акцент3 19" xfId="380"/>
    <cellStyle name="20% - Акцент3 2" xfId="381"/>
    <cellStyle name="20% - Акцент3 20" xfId="382"/>
    <cellStyle name="20% - Акцент3 21" xfId="383"/>
    <cellStyle name="20% - Акцент3 22" xfId="384"/>
    <cellStyle name="20% - Акцент3 23" xfId="385"/>
    <cellStyle name="20% - Акцент3 24" xfId="386"/>
    <cellStyle name="20% - Акцент3 25" xfId="387"/>
    <cellStyle name="20% - Акцент3 26" xfId="388"/>
    <cellStyle name="20% - Акцент3 27" xfId="389"/>
    <cellStyle name="20% - Акцент3 28" xfId="390"/>
    <cellStyle name="20% - Акцент3 29" xfId="391"/>
    <cellStyle name="20% - Акцент3 3" xfId="392"/>
    <cellStyle name="20% - Акцент3 30" xfId="393"/>
    <cellStyle name="20% - Акцент3 31" xfId="394"/>
    <cellStyle name="20% - Акцент3 32" xfId="395"/>
    <cellStyle name="20% - Акцент3 33" xfId="396"/>
    <cellStyle name="20% - Акцент3 34" xfId="397"/>
    <cellStyle name="20% - Акцент3 35" xfId="398"/>
    <cellStyle name="20% - Акцент3 36" xfId="399"/>
    <cellStyle name="20% - Акцент3 4" xfId="400"/>
    <cellStyle name="20% - Акцент3 5" xfId="401"/>
    <cellStyle name="20% - Акцент3 6" xfId="402"/>
    <cellStyle name="20% - Акцент3 7" xfId="403"/>
    <cellStyle name="20% - Акцент3 8" xfId="404"/>
    <cellStyle name="20% - Акцент3 9" xfId="405"/>
    <cellStyle name="20% - Акцент4 10" xfId="406"/>
    <cellStyle name="20% - Акцент4 11" xfId="407"/>
    <cellStyle name="20% - Акцент4 12" xfId="408"/>
    <cellStyle name="20% - Акцент4 13" xfId="409"/>
    <cellStyle name="20% - Акцент4 14" xfId="410"/>
    <cellStyle name="20% - Акцент4 15" xfId="411"/>
    <cellStyle name="20% - Акцент4 16" xfId="412"/>
    <cellStyle name="20% - Акцент4 17" xfId="413"/>
    <cellStyle name="20% - Акцент4 18" xfId="414"/>
    <cellStyle name="20% - Акцент4 19" xfId="415"/>
    <cellStyle name="20% - Акцент4 2" xfId="416"/>
    <cellStyle name="20% - Акцент4 20" xfId="417"/>
    <cellStyle name="20% - Акцент4 21" xfId="418"/>
    <cellStyle name="20% - Акцент4 22" xfId="419"/>
    <cellStyle name="20% - Акцент4 23" xfId="420"/>
    <cellStyle name="20% - Акцент4 24" xfId="421"/>
    <cellStyle name="20% - Акцент4 25" xfId="422"/>
    <cellStyle name="20% - Акцент4 26" xfId="423"/>
    <cellStyle name="20% - Акцент4 27" xfId="424"/>
    <cellStyle name="20% - Акцент4 28" xfId="425"/>
    <cellStyle name="20% - Акцент4 29" xfId="426"/>
    <cellStyle name="20% - Акцент4 3" xfId="427"/>
    <cellStyle name="20% - Акцент4 30" xfId="428"/>
    <cellStyle name="20% - Акцент4 31" xfId="429"/>
    <cellStyle name="20% - Акцент4 32" xfId="430"/>
    <cellStyle name="20% - Акцент4 33" xfId="431"/>
    <cellStyle name="20% - Акцент4 34" xfId="432"/>
    <cellStyle name="20% - Акцент4 35" xfId="433"/>
    <cellStyle name="20% - Акцент4 36" xfId="434"/>
    <cellStyle name="20% - Акцент4 4" xfId="435"/>
    <cellStyle name="20% - Акцент4 5" xfId="436"/>
    <cellStyle name="20% - Акцент4 6" xfId="437"/>
    <cellStyle name="20% - Акцент4 7" xfId="438"/>
    <cellStyle name="20% - Акцент4 8" xfId="439"/>
    <cellStyle name="20% - Акцент4 9" xfId="440"/>
    <cellStyle name="20% - Акцент5 10" xfId="441"/>
    <cellStyle name="20% - Акцент5 11" xfId="442"/>
    <cellStyle name="20% - Акцент5 12" xfId="443"/>
    <cellStyle name="20% - Акцент5 13" xfId="444"/>
    <cellStyle name="20% - Акцент5 14" xfId="445"/>
    <cellStyle name="20% - Акцент5 15" xfId="446"/>
    <cellStyle name="20% - Акцент5 16" xfId="447"/>
    <cellStyle name="20% - Акцент5 17" xfId="448"/>
    <cellStyle name="20% - Акцент5 18" xfId="449"/>
    <cellStyle name="20% - Акцент5 19" xfId="450"/>
    <cellStyle name="20% - Акцент5 2" xfId="451"/>
    <cellStyle name="20% - Акцент5 20" xfId="452"/>
    <cellStyle name="20% - Акцент5 21" xfId="453"/>
    <cellStyle name="20% - Акцент5 22" xfId="454"/>
    <cellStyle name="20% - Акцент5 23" xfId="455"/>
    <cellStyle name="20% - Акцент5 24" xfId="456"/>
    <cellStyle name="20% - Акцент5 25" xfId="457"/>
    <cellStyle name="20% - Акцент5 26" xfId="458"/>
    <cellStyle name="20% - Акцент5 27" xfId="459"/>
    <cellStyle name="20% - Акцент5 28" xfId="460"/>
    <cellStyle name="20% - Акцент5 29" xfId="461"/>
    <cellStyle name="20% - Акцент5 3" xfId="462"/>
    <cellStyle name="20% - Акцент5 30" xfId="463"/>
    <cellStyle name="20% - Акцент5 31" xfId="464"/>
    <cellStyle name="20% - Акцент5 32" xfId="465"/>
    <cellStyle name="20% - Акцент5 33" xfId="466"/>
    <cellStyle name="20% - Акцент5 34" xfId="467"/>
    <cellStyle name="20% - Акцент5 35" xfId="468"/>
    <cellStyle name="20% - Акцент5 36" xfId="469"/>
    <cellStyle name="20% - Акцент5 4" xfId="470"/>
    <cellStyle name="20% - Акцент5 5" xfId="471"/>
    <cellStyle name="20% - Акцент5 6" xfId="472"/>
    <cellStyle name="20% - Акцент5 7" xfId="473"/>
    <cellStyle name="20% - Акцент5 8" xfId="474"/>
    <cellStyle name="20% - Акцент5 9" xfId="475"/>
    <cellStyle name="20% - Акцент6 10" xfId="476"/>
    <cellStyle name="20% - Акцент6 11" xfId="477"/>
    <cellStyle name="20% - Акцент6 12" xfId="478"/>
    <cellStyle name="20% - Акцент6 13" xfId="479"/>
    <cellStyle name="20% - Акцент6 14" xfId="480"/>
    <cellStyle name="20% - Акцент6 15" xfId="481"/>
    <cellStyle name="20% - Акцент6 16" xfId="482"/>
    <cellStyle name="20% - Акцент6 17" xfId="483"/>
    <cellStyle name="20% - Акцент6 18" xfId="484"/>
    <cellStyle name="20% - Акцент6 19" xfId="485"/>
    <cellStyle name="20% - Акцент6 2" xfId="486"/>
    <cellStyle name="20% - Акцент6 20" xfId="487"/>
    <cellStyle name="20% - Акцент6 21" xfId="488"/>
    <cellStyle name="20% - Акцент6 22" xfId="489"/>
    <cellStyle name="20% - Акцент6 23" xfId="490"/>
    <cellStyle name="20% - Акцент6 24" xfId="491"/>
    <cellStyle name="20% - Акцент6 25" xfId="492"/>
    <cellStyle name="20% - Акцент6 26" xfId="493"/>
    <cellStyle name="20% - Акцент6 27" xfId="494"/>
    <cellStyle name="20% - Акцент6 28" xfId="495"/>
    <cellStyle name="20% - Акцент6 29" xfId="496"/>
    <cellStyle name="20% - Акцент6 3" xfId="497"/>
    <cellStyle name="20% - Акцент6 30" xfId="498"/>
    <cellStyle name="20% - Акцент6 31" xfId="499"/>
    <cellStyle name="20% - Акцент6 32" xfId="500"/>
    <cellStyle name="20% - Акцент6 33" xfId="501"/>
    <cellStyle name="20% - Акцент6 34" xfId="502"/>
    <cellStyle name="20% - Акцент6 35" xfId="503"/>
    <cellStyle name="20% - Акцент6 36" xfId="504"/>
    <cellStyle name="20% - Акцент6 4" xfId="505"/>
    <cellStyle name="20% - Акцент6 5" xfId="506"/>
    <cellStyle name="20% - Акцент6 6" xfId="507"/>
    <cellStyle name="20% - Акцент6 7" xfId="508"/>
    <cellStyle name="20% - Акцент6 8" xfId="509"/>
    <cellStyle name="20% - Акцент6 9" xfId="510"/>
    <cellStyle name="40% - Accent1" xfId="30" builtinId="31" customBuiltin="1"/>
    <cellStyle name="40% - Accent1 2" xfId="93"/>
    <cellStyle name="40% - Accent1 2 2" xfId="114"/>
    <cellStyle name="40% - Accent1 3" xfId="168"/>
    <cellStyle name="40% - Accent1 4" xfId="192"/>
    <cellStyle name="40% - Accent2" xfId="34" builtinId="35" customBuiltin="1"/>
    <cellStyle name="40% - Accent2 2" xfId="61"/>
    <cellStyle name="40% - Accent2 2 2" xfId="115"/>
    <cellStyle name="40% - Accent2 3" xfId="170"/>
    <cellStyle name="40% - Accent2 4" xfId="194"/>
    <cellStyle name="40% - Accent3" xfId="38" builtinId="39" customBuiltin="1"/>
    <cellStyle name="40% - Accent3 2" xfId="87"/>
    <cellStyle name="40% - Accent3 2 2" xfId="116"/>
    <cellStyle name="40% - Accent3 3" xfId="172"/>
    <cellStyle name="40% - Accent3 4" xfId="196"/>
    <cellStyle name="40% - Accent4" xfId="42" builtinId="43" customBuiltin="1"/>
    <cellStyle name="40% - Accent4 2" xfId="78"/>
    <cellStyle name="40% - Accent4 2 2" xfId="117"/>
    <cellStyle name="40% - Accent4 3" xfId="174"/>
    <cellStyle name="40% - Accent4 4" xfId="198"/>
    <cellStyle name="40% - Accent5" xfId="46" builtinId="47" customBuiltin="1"/>
    <cellStyle name="40% - Accent5 2" xfId="77"/>
    <cellStyle name="40% - Accent5 2 2" xfId="118"/>
    <cellStyle name="40% - Accent5 3" xfId="176"/>
    <cellStyle name="40% - Accent5 4" xfId="200"/>
    <cellStyle name="40% - Accent6" xfId="50" builtinId="51" customBuiltin="1"/>
    <cellStyle name="40% - Accent6 2" xfId="60"/>
    <cellStyle name="40% - Accent6 2 2" xfId="119"/>
    <cellStyle name="40% - Accent6 3" xfId="178"/>
    <cellStyle name="40% - Accent6 4" xfId="202"/>
    <cellStyle name="40% - Акцент1 10" xfId="511"/>
    <cellStyle name="40% - Акцент1 11" xfId="512"/>
    <cellStyle name="40% - Акцент1 12" xfId="513"/>
    <cellStyle name="40% - Акцент1 13" xfId="514"/>
    <cellStyle name="40% - Акцент1 14" xfId="515"/>
    <cellStyle name="40% - Акцент1 15" xfId="516"/>
    <cellStyle name="40% - Акцент1 16" xfId="517"/>
    <cellStyle name="40% - Акцент1 17" xfId="518"/>
    <cellStyle name="40% - Акцент1 18" xfId="519"/>
    <cellStyle name="40% - Акцент1 19" xfId="520"/>
    <cellStyle name="40% - Акцент1 2" xfId="521"/>
    <cellStyle name="40% - Акцент1 20" xfId="522"/>
    <cellStyle name="40% - Акцент1 21" xfId="523"/>
    <cellStyle name="40% - Акцент1 22" xfId="524"/>
    <cellStyle name="40% - Акцент1 23" xfId="525"/>
    <cellStyle name="40% - Акцент1 24" xfId="526"/>
    <cellStyle name="40% - Акцент1 25" xfId="527"/>
    <cellStyle name="40% - Акцент1 26" xfId="528"/>
    <cellStyle name="40% - Акцент1 27" xfId="529"/>
    <cellStyle name="40% - Акцент1 28" xfId="530"/>
    <cellStyle name="40% - Акцент1 29" xfId="531"/>
    <cellStyle name="40% - Акцент1 3" xfId="532"/>
    <cellStyle name="40% - Акцент1 30" xfId="533"/>
    <cellStyle name="40% - Акцент1 31" xfId="534"/>
    <cellStyle name="40% - Акцент1 32" xfId="535"/>
    <cellStyle name="40% - Акцент1 33" xfId="536"/>
    <cellStyle name="40% - Акцент1 34" xfId="537"/>
    <cellStyle name="40% - Акцент1 35" xfId="538"/>
    <cellStyle name="40% - Акцент1 36" xfId="539"/>
    <cellStyle name="40% - Акцент1 4" xfId="540"/>
    <cellStyle name="40% - Акцент1 5" xfId="541"/>
    <cellStyle name="40% - Акцент1 6" xfId="542"/>
    <cellStyle name="40% - Акцент1 7" xfId="543"/>
    <cellStyle name="40% - Акцент1 8" xfId="544"/>
    <cellStyle name="40% - Акцент1 9" xfId="545"/>
    <cellStyle name="40% - Акцент2 10" xfId="546"/>
    <cellStyle name="40% - Акцент2 11" xfId="547"/>
    <cellStyle name="40% - Акцент2 12" xfId="548"/>
    <cellStyle name="40% - Акцент2 13" xfId="549"/>
    <cellStyle name="40% - Акцент2 14" xfId="550"/>
    <cellStyle name="40% - Акцент2 15" xfId="551"/>
    <cellStyle name="40% - Акцент2 16" xfId="552"/>
    <cellStyle name="40% - Акцент2 17" xfId="553"/>
    <cellStyle name="40% - Акцент2 18" xfId="554"/>
    <cellStyle name="40% - Акцент2 19" xfId="555"/>
    <cellStyle name="40% - Акцент2 2" xfId="556"/>
    <cellStyle name="40% - Акцент2 20" xfId="557"/>
    <cellStyle name="40% - Акцент2 21" xfId="558"/>
    <cellStyle name="40% - Акцент2 22" xfId="559"/>
    <cellStyle name="40% - Акцент2 23" xfId="560"/>
    <cellStyle name="40% - Акцент2 24" xfId="561"/>
    <cellStyle name="40% - Акцент2 25" xfId="562"/>
    <cellStyle name="40% - Акцент2 26" xfId="563"/>
    <cellStyle name="40% - Акцент2 27" xfId="564"/>
    <cellStyle name="40% - Акцент2 28" xfId="565"/>
    <cellStyle name="40% - Акцент2 29" xfId="566"/>
    <cellStyle name="40% - Акцент2 3" xfId="567"/>
    <cellStyle name="40% - Акцент2 30" xfId="568"/>
    <cellStyle name="40% - Акцент2 31" xfId="569"/>
    <cellStyle name="40% - Акцент2 32" xfId="570"/>
    <cellStyle name="40% - Акцент2 33" xfId="571"/>
    <cellStyle name="40% - Акцент2 34" xfId="572"/>
    <cellStyle name="40% - Акцент2 35" xfId="573"/>
    <cellStyle name="40% - Акцент2 36" xfId="574"/>
    <cellStyle name="40% - Акцент2 4" xfId="575"/>
    <cellStyle name="40% - Акцент2 5" xfId="576"/>
    <cellStyle name="40% - Акцент2 6" xfId="577"/>
    <cellStyle name="40% - Акцент2 7" xfId="578"/>
    <cellStyle name="40% - Акцент2 8" xfId="579"/>
    <cellStyle name="40% - Акцент2 9" xfId="580"/>
    <cellStyle name="40% - Акцент3 10" xfId="581"/>
    <cellStyle name="40% - Акцент3 11" xfId="582"/>
    <cellStyle name="40% - Акцент3 12" xfId="583"/>
    <cellStyle name="40% - Акцент3 13" xfId="584"/>
    <cellStyle name="40% - Акцент3 14" xfId="585"/>
    <cellStyle name="40% - Акцент3 15" xfId="586"/>
    <cellStyle name="40% - Акцент3 16" xfId="587"/>
    <cellStyle name="40% - Акцент3 17" xfId="588"/>
    <cellStyle name="40% - Акцент3 18" xfId="589"/>
    <cellStyle name="40% - Акцент3 19" xfId="590"/>
    <cellStyle name="40% - Акцент3 2" xfId="591"/>
    <cellStyle name="40% - Акцент3 20" xfId="592"/>
    <cellStyle name="40% - Акцент3 21" xfId="593"/>
    <cellStyle name="40% - Акцент3 22" xfId="594"/>
    <cellStyle name="40% - Акцент3 23" xfId="595"/>
    <cellStyle name="40% - Акцент3 24" xfId="596"/>
    <cellStyle name="40% - Акцент3 25" xfId="597"/>
    <cellStyle name="40% - Акцент3 26" xfId="598"/>
    <cellStyle name="40% - Акцент3 27" xfId="599"/>
    <cellStyle name="40% - Акцент3 28" xfId="600"/>
    <cellStyle name="40% - Акцент3 29" xfId="601"/>
    <cellStyle name="40% - Акцент3 3" xfId="602"/>
    <cellStyle name="40% - Акцент3 30" xfId="603"/>
    <cellStyle name="40% - Акцент3 31" xfId="604"/>
    <cellStyle name="40% - Акцент3 32" xfId="605"/>
    <cellStyle name="40% - Акцент3 33" xfId="606"/>
    <cellStyle name="40% - Акцент3 34" xfId="607"/>
    <cellStyle name="40% - Акцент3 35" xfId="608"/>
    <cellStyle name="40% - Акцент3 36" xfId="609"/>
    <cellStyle name="40% - Акцент3 4" xfId="610"/>
    <cellStyle name="40% - Акцент3 5" xfId="611"/>
    <cellStyle name="40% - Акцент3 6" xfId="612"/>
    <cellStyle name="40% - Акцент3 7" xfId="613"/>
    <cellStyle name="40% - Акцент3 8" xfId="614"/>
    <cellStyle name="40% - Акцент3 9" xfId="615"/>
    <cellStyle name="40% - Акцент4 10" xfId="616"/>
    <cellStyle name="40% - Акцент4 11" xfId="617"/>
    <cellStyle name="40% - Акцент4 12" xfId="618"/>
    <cellStyle name="40% - Акцент4 13" xfId="619"/>
    <cellStyle name="40% - Акцент4 14" xfId="620"/>
    <cellStyle name="40% - Акцент4 15" xfId="621"/>
    <cellStyle name="40% - Акцент4 16" xfId="622"/>
    <cellStyle name="40% - Акцент4 17" xfId="623"/>
    <cellStyle name="40% - Акцент4 18" xfId="624"/>
    <cellStyle name="40% - Акцент4 19" xfId="625"/>
    <cellStyle name="40% - Акцент4 2" xfId="626"/>
    <cellStyle name="40% - Акцент4 20" xfId="627"/>
    <cellStyle name="40% - Акцент4 21" xfId="628"/>
    <cellStyle name="40% - Акцент4 22" xfId="629"/>
    <cellStyle name="40% - Акцент4 23" xfId="630"/>
    <cellStyle name="40% - Акцент4 24" xfId="631"/>
    <cellStyle name="40% - Акцент4 25" xfId="632"/>
    <cellStyle name="40% - Акцент4 26" xfId="633"/>
    <cellStyle name="40% - Акцент4 27" xfId="634"/>
    <cellStyle name="40% - Акцент4 28" xfId="635"/>
    <cellStyle name="40% - Акцент4 29" xfId="636"/>
    <cellStyle name="40% - Акцент4 3" xfId="637"/>
    <cellStyle name="40% - Акцент4 30" xfId="638"/>
    <cellStyle name="40% - Акцент4 31" xfId="639"/>
    <cellStyle name="40% - Акцент4 32" xfId="640"/>
    <cellStyle name="40% - Акцент4 33" xfId="641"/>
    <cellStyle name="40% - Акцент4 34" xfId="642"/>
    <cellStyle name="40% - Акцент4 35" xfId="643"/>
    <cellStyle name="40% - Акцент4 36" xfId="644"/>
    <cellStyle name="40% - Акцент4 4" xfId="645"/>
    <cellStyle name="40% - Акцент4 5" xfId="646"/>
    <cellStyle name="40% - Акцент4 6" xfId="647"/>
    <cellStyle name="40% - Акцент4 7" xfId="648"/>
    <cellStyle name="40% - Акцент4 8" xfId="649"/>
    <cellStyle name="40% - Акцент4 9" xfId="650"/>
    <cellStyle name="40% - Акцент5 10" xfId="651"/>
    <cellStyle name="40% - Акцент5 11" xfId="652"/>
    <cellStyle name="40% - Акцент5 12" xfId="653"/>
    <cellStyle name="40% - Акцент5 13" xfId="654"/>
    <cellStyle name="40% - Акцент5 14" xfId="655"/>
    <cellStyle name="40% - Акцент5 15" xfId="656"/>
    <cellStyle name="40% - Акцент5 16" xfId="657"/>
    <cellStyle name="40% - Акцент5 17" xfId="658"/>
    <cellStyle name="40% - Акцент5 18" xfId="659"/>
    <cellStyle name="40% - Акцент5 19" xfId="660"/>
    <cellStyle name="40% - Акцент5 2" xfId="661"/>
    <cellStyle name="40% - Акцент5 20" xfId="662"/>
    <cellStyle name="40% - Акцент5 21" xfId="663"/>
    <cellStyle name="40% - Акцент5 22" xfId="664"/>
    <cellStyle name="40% - Акцент5 23" xfId="665"/>
    <cellStyle name="40% - Акцент5 24" xfId="666"/>
    <cellStyle name="40% - Акцент5 25" xfId="667"/>
    <cellStyle name="40% - Акцент5 26" xfId="668"/>
    <cellStyle name="40% - Акцент5 27" xfId="669"/>
    <cellStyle name="40% - Акцент5 28" xfId="670"/>
    <cellStyle name="40% - Акцент5 29" xfId="671"/>
    <cellStyle name="40% - Акцент5 3" xfId="672"/>
    <cellStyle name="40% - Акцент5 30" xfId="673"/>
    <cellStyle name="40% - Акцент5 31" xfId="674"/>
    <cellStyle name="40% - Акцент5 32" xfId="675"/>
    <cellStyle name="40% - Акцент5 33" xfId="676"/>
    <cellStyle name="40% - Акцент5 34" xfId="677"/>
    <cellStyle name="40% - Акцент5 35" xfId="678"/>
    <cellStyle name="40% - Акцент5 36" xfId="679"/>
    <cellStyle name="40% - Акцент5 4" xfId="680"/>
    <cellStyle name="40% - Акцент5 5" xfId="681"/>
    <cellStyle name="40% - Акцент5 6" xfId="682"/>
    <cellStyle name="40% - Акцент5 7" xfId="683"/>
    <cellStyle name="40% - Акцент5 8" xfId="684"/>
    <cellStyle name="40% - Акцент5 9" xfId="685"/>
    <cellStyle name="40% - Акцент6 10" xfId="686"/>
    <cellStyle name="40% - Акцент6 11" xfId="687"/>
    <cellStyle name="40% - Акцент6 12" xfId="688"/>
    <cellStyle name="40% - Акцент6 13" xfId="689"/>
    <cellStyle name="40% - Акцент6 14" xfId="690"/>
    <cellStyle name="40% - Акцент6 15" xfId="691"/>
    <cellStyle name="40% - Акцент6 16" xfId="692"/>
    <cellStyle name="40% - Акцент6 17" xfId="693"/>
    <cellStyle name="40% - Акцент6 18" xfId="694"/>
    <cellStyle name="40% - Акцент6 19" xfId="695"/>
    <cellStyle name="40% - Акцент6 2" xfId="696"/>
    <cellStyle name="40% - Акцент6 20" xfId="697"/>
    <cellStyle name="40% - Акцент6 21" xfId="698"/>
    <cellStyle name="40% - Акцент6 22" xfId="699"/>
    <cellStyle name="40% - Акцент6 23" xfId="700"/>
    <cellStyle name="40% - Акцент6 24" xfId="701"/>
    <cellStyle name="40% - Акцент6 25" xfId="702"/>
    <cellStyle name="40% - Акцент6 26" xfId="703"/>
    <cellStyle name="40% - Акцент6 27" xfId="704"/>
    <cellStyle name="40% - Акцент6 28" xfId="705"/>
    <cellStyle name="40% - Акцент6 29" xfId="706"/>
    <cellStyle name="40% - Акцент6 3" xfId="707"/>
    <cellStyle name="40% - Акцент6 30" xfId="708"/>
    <cellStyle name="40% - Акцент6 31" xfId="709"/>
    <cellStyle name="40% - Акцент6 32" xfId="710"/>
    <cellStyle name="40% - Акцент6 33" xfId="711"/>
    <cellStyle name="40% - Акцент6 34" xfId="712"/>
    <cellStyle name="40% - Акцент6 35" xfId="713"/>
    <cellStyle name="40% - Акцент6 36" xfId="714"/>
    <cellStyle name="40% - Акцент6 4" xfId="715"/>
    <cellStyle name="40% - Акцент6 5" xfId="716"/>
    <cellStyle name="40% - Акцент6 6" xfId="717"/>
    <cellStyle name="40% - Акцент6 7" xfId="718"/>
    <cellStyle name="40% - Акцент6 8" xfId="719"/>
    <cellStyle name="40% - Акцент6 9" xfId="720"/>
    <cellStyle name="60% - Accent1" xfId="31" builtinId="32" customBuiltin="1"/>
    <cellStyle name="60% - Accent1 2" xfId="64"/>
    <cellStyle name="60% - Accent1 2 2" xfId="120"/>
    <cellStyle name="60% - Accent2" xfId="35" builtinId="36" customBuiltin="1"/>
    <cellStyle name="60% - Accent2 2" xfId="62"/>
    <cellStyle name="60% - Accent2 2 2" xfId="121"/>
    <cellStyle name="60% - Accent3" xfId="39" builtinId="40" customBuiltin="1"/>
    <cellStyle name="60% - Accent3 2" xfId="56"/>
    <cellStyle name="60% - Accent3 2 2" xfId="122"/>
    <cellStyle name="60% - Accent4" xfId="43" builtinId="44" customBuiltin="1"/>
    <cellStyle name="60% - Accent4 2" xfId="66"/>
    <cellStyle name="60% - Accent4 2 2" xfId="123"/>
    <cellStyle name="60% - Accent5" xfId="47" builtinId="48" customBuiltin="1"/>
    <cellStyle name="60% - Accent5 2" xfId="73"/>
    <cellStyle name="60% - Accent5 2 2" xfId="124"/>
    <cellStyle name="60% - Accent6" xfId="51" builtinId="52" customBuiltin="1"/>
    <cellStyle name="60% - Accent6 2" xfId="55"/>
    <cellStyle name="60% - Accent6 2 2" xfId="125"/>
    <cellStyle name="60% - Акцент1 10" xfId="721"/>
    <cellStyle name="60% - Акцент1 11" xfId="722"/>
    <cellStyle name="60% - Акцент1 12" xfId="723"/>
    <cellStyle name="60% - Акцент1 13" xfId="724"/>
    <cellStyle name="60% - Акцент1 14" xfId="725"/>
    <cellStyle name="60% - Акцент1 15" xfId="726"/>
    <cellStyle name="60% - Акцент1 16" xfId="727"/>
    <cellStyle name="60% - Акцент1 17" xfId="728"/>
    <cellStyle name="60% - Акцент1 18" xfId="729"/>
    <cellStyle name="60% - Акцент1 19" xfId="730"/>
    <cellStyle name="60% - Акцент1 2" xfId="731"/>
    <cellStyle name="60% - Акцент1 20" xfId="732"/>
    <cellStyle name="60% - Акцент1 21" xfId="733"/>
    <cellStyle name="60% - Акцент1 22" xfId="734"/>
    <cellStyle name="60% - Акцент1 23" xfId="735"/>
    <cellStyle name="60% - Акцент1 24" xfId="736"/>
    <cellStyle name="60% - Акцент1 25" xfId="737"/>
    <cellStyle name="60% - Акцент1 26" xfId="738"/>
    <cellStyle name="60% - Акцент1 27" xfId="739"/>
    <cellStyle name="60% - Акцент1 28" xfId="740"/>
    <cellStyle name="60% - Акцент1 29" xfId="741"/>
    <cellStyle name="60% - Акцент1 3" xfId="742"/>
    <cellStyle name="60% - Акцент1 30" xfId="743"/>
    <cellStyle name="60% - Акцент1 31" xfId="744"/>
    <cellStyle name="60% - Акцент1 32" xfId="745"/>
    <cellStyle name="60% - Акцент1 33" xfId="746"/>
    <cellStyle name="60% - Акцент1 34" xfId="747"/>
    <cellStyle name="60% - Акцент1 35" xfId="748"/>
    <cellStyle name="60% - Акцент1 36" xfId="749"/>
    <cellStyle name="60% - Акцент1 4" xfId="750"/>
    <cellStyle name="60% - Акцент1 5" xfId="751"/>
    <cellStyle name="60% - Акцент1 6" xfId="752"/>
    <cellStyle name="60% - Акцент1 7" xfId="753"/>
    <cellStyle name="60% - Акцент1 8" xfId="754"/>
    <cellStyle name="60% - Акцент1 9" xfId="755"/>
    <cellStyle name="60% - Акцент2 10" xfId="756"/>
    <cellStyle name="60% - Акцент2 11" xfId="757"/>
    <cellStyle name="60% - Акцент2 12" xfId="758"/>
    <cellStyle name="60% - Акцент2 13" xfId="759"/>
    <cellStyle name="60% - Акцент2 14" xfId="760"/>
    <cellStyle name="60% - Акцент2 15" xfId="761"/>
    <cellStyle name="60% - Акцент2 16" xfId="762"/>
    <cellStyle name="60% - Акцент2 17" xfId="763"/>
    <cellStyle name="60% - Акцент2 18" xfId="764"/>
    <cellStyle name="60% - Акцент2 19" xfId="765"/>
    <cellStyle name="60% - Акцент2 2" xfId="766"/>
    <cellStyle name="60% - Акцент2 20" xfId="767"/>
    <cellStyle name="60% - Акцент2 21" xfId="768"/>
    <cellStyle name="60% - Акцент2 22" xfId="769"/>
    <cellStyle name="60% - Акцент2 23" xfId="770"/>
    <cellStyle name="60% - Акцент2 24" xfId="771"/>
    <cellStyle name="60% - Акцент2 25" xfId="772"/>
    <cellStyle name="60% - Акцент2 26" xfId="773"/>
    <cellStyle name="60% - Акцент2 27" xfId="774"/>
    <cellStyle name="60% - Акцент2 28" xfId="775"/>
    <cellStyle name="60% - Акцент2 29" xfId="776"/>
    <cellStyle name="60% - Акцент2 3" xfId="777"/>
    <cellStyle name="60% - Акцент2 30" xfId="778"/>
    <cellStyle name="60% - Акцент2 31" xfId="779"/>
    <cellStyle name="60% - Акцент2 32" xfId="780"/>
    <cellStyle name="60% - Акцент2 33" xfId="781"/>
    <cellStyle name="60% - Акцент2 34" xfId="782"/>
    <cellStyle name="60% - Акцент2 35" xfId="783"/>
    <cellStyle name="60% - Акцент2 36" xfId="784"/>
    <cellStyle name="60% - Акцент2 4" xfId="785"/>
    <cellStyle name="60% - Акцент2 5" xfId="786"/>
    <cellStyle name="60% - Акцент2 6" xfId="787"/>
    <cellStyle name="60% - Акцент2 7" xfId="788"/>
    <cellStyle name="60% - Акцент2 8" xfId="789"/>
    <cellStyle name="60% - Акцент2 9" xfId="790"/>
    <cellStyle name="60% - Акцент3 10" xfId="791"/>
    <cellStyle name="60% - Акцент3 11" xfId="792"/>
    <cellStyle name="60% - Акцент3 12" xfId="793"/>
    <cellStyle name="60% - Акцент3 13" xfId="794"/>
    <cellStyle name="60% - Акцент3 14" xfId="795"/>
    <cellStyle name="60% - Акцент3 15" xfId="796"/>
    <cellStyle name="60% - Акцент3 16" xfId="797"/>
    <cellStyle name="60% - Акцент3 17" xfId="798"/>
    <cellStyle name="60% - Акцент3 18" xfId="799"/>
    <cellStyle name="60% - Акцент3 19" xfId="800"/>
    <cellStyle name="60% - Акцент3 2" xfId="801"/>
    <cellStyle name="60% - Акцент3 20" xfId="802"/>
    <cellStyle name="60% - Акцент3 21" xfId="803"/>
    <cellStyle name="60% - Акцент3 22" xfId="804"/>
    <cellStyle name="60% - Акцент3 23" xfId="805"/>
    <cellStyle name="60% - Акцент3 24" xfId="806"/>
    <cellStyle name="60% - Акцент3 25" xfId="807"/>
    <cellStyle name="60% - Акцент3 26" xfId="808"/>
    <cellStyle name="60% - Акцент3 27" xfId="809"/>
    <cellStyle name="60% - Акцент3 28" xfId="810"/>
    <cellStyle name="60% - Акцент3 29" xfId="811"/>
    <cellStyle name="60% - Акцент3 3" xfId="812"/>
    <cellStyle name="60% - Акцент3 30" xfId="813"/>
    <cellStyle name="60% - Акцент3 31" xfId="814"/>
    <cellStyle name="60% - Акцент3 32" xfId="815"/>
    <cellStyle name="60% - Акцент3 33" xfId="816"/>
    <cellStyle name="60% - Акцент3 34" xfId="817"/>
    <cellStyle name="60% - Акцент3 35" xfId="818"/>
    <cellStyle name="60% - Акцент3 36" xfId="819"/>
    <cellStyle name="60% - Акцент3 4" xfId="820"/>
    <cellStyle name="60% - Акцент3 5" xfId="821"/>
    <cellStyle name="60% - Акцент3 6" xfId="822"/>
    <cellStyle name="60% - Акцент3 7" xfId="823"/>
    <cellStyle name="60% - Акцент3 8" xfId="824"/>
    <cellStyle name="60% - Акцент3 9" xfId="825"/>
    <cellStyle name="60% - Акцент4 10" xfId="826"/>
    <cellStyle name="60% - Акцент4 11" xfId="827"/>
    <cellStyle name="60% - Акцент4 12" xfId="828"/>
    <cellStyle name="60% - Акцент4 13" xfId="829"/>
    <cellStyle name="60% - Акцент4 14" xfId="830"/>
    <cellStyle name="60% - Акцент4 15" xfId="831"/>
    <cellStyle name="60% - Акцент4 16" xfId="832"/>
    <cellStyle name="60% - Акцент4 17" xfId="833"/>
    <cellStyle name="60% - Акцент4 18" xfId="834"/>
    <cellStyle name="60% - Акцент4 19" xfId="835"/>
    <cellStyle name="60% - Акцент4 2" xfId="836"/>
    <cellStyle name="60% - Акцент4 20" xfId="837"/>
    <cellStyle name="60% - Акцент4 21" xfId="838"/>
    <cellStyle name="60% - Акцент4 22" xfId="839"/>
    <cellStyle name="60% - Акцент4 23" xfId="840"/>
    <cellStyle name="60% - Акцент4 24" xfId="841"/>
    <cellStyle name="60% - Акцент4 25" xfId="842"/>
    <cellStyle name="60% - Акцент4 26" xfId="843"/>
    <cellStyle name="60% - Акцент4 27" xfId="844"/>
    <cellStyle name="60% - Акцент4 28" xfId="845"/>
    <cellStyle name="60% - Акцент4 29" xfId="846"/>
    <cellStyle name="60% - Акцент4 3" xfId="847"/>
    <cellStyle name="60% - Акцент4 30" xfId="848"/>
    <cellStyle name="60% - Акцент4 31" xfId="849"/>
    <cellStyle name="60% - Акцент4 32" xfId="850"/>
    <cellStyle name="60% - Акцент4 33" xfId="851"/>
    <cellStyle name="60% - Акцент4 34" xfId="852"/>
    <cellStyle name="60% - Акцент4 35" xfId="853"/>
    <cellStyle name="60% - Акцент4 36" xfId="854"/>
    <cellStyle name="60% - Акцент4 4" xfId="855"/>
    <cellStyle name="60% - Акцент4 5" xfId="856"/>
    <cellStyle name="60% - Акцент4 6" xfId="857"/>
    <cellStyle name="60% - Акцент4 7" xfId="858"/>
    <cellStyle name="60% - Акцент4 8" xfId="859"/>
    <cellStyle name="60% - Акцент4 9" xfId="860"/>
    <cellStyle name="60% - Акцент5 10" xfId="861"/>
    <cellStyle name="60% - Акцент5 11" xfId="862"/>
    <cellStyle name="60% - Акцент5 12" xfId="863"/>
    <cellStyle name="60% - Акцент5 13" xfId="864"/>
    <cellStyle name="60% - Акцент5 14" xfId="865"/>
    <cellStyle name="60% - Акцент5 15" xfId="866"/>
    <cellStyle name="60% - Акцент5 16" xfId="867"/>
    <cellStyle name="60% - Акцент5 17" xfId="868"/>
    <cellStyle name="60% - Акцент5 18" xfId="869"/>
    <cellStyle name="60% - Акцент5 19" xfId="870"/>
    <cellStyle name="60% - Акцент5 2" xfId="871"/>
    <cellStyle name="60% - Акцент5 20" xfId="872"/>
    <cellStyle name="60% - Акцент5 21" xfId="873"/>
    <cellStyle name="60% - Акцент5 22" xfId="874"/>
    <cellStyle name="60% - Акцент5 23" xfId="875"/>
    <cellStyle name="60% - Акцент5 24" xfId="876"/>
    <cellStyle name="60% - Акцент5 25" xfId="877"/>
    <cellStyle name="60% - Акцент5 26" xfId="878"/>
    <cellStyle name="60% - Акцент5 27" xfId="879"/>
    <cellStyle name="60% - Акцент5 28" xfId="880"/>
    <cellStyle name="60% - Акцент5 29" xfId="881"/>
    <cellStyle name="60% - Акцент5 3" xfId="882"/>
    <cellStyle name="60% - Акцент5 30" xfId="883"/>
    <cellStyle name="60% - Акцент5 31" xfId="884"/>
    <cellStyle name="60% - Акцент5 32" xfId="885"/>
    <cellStyle name="60% - Акцент5 33" xfId="886"/>
    <cellStyle name="60% - Акцент5 34" xfId="887"/>
    <cellStyle name="60% - Акцент5 35" xfId="888"/>
    <cellStyle name="60% - Акцент5 36" xfId="889"/>
    <cellStyle name="60% - Акцент5 4" xfId="890"/>
    <cellStyle name="60% - Акцент5 5" xfId="891"/>
    <cellStyle name="60% - Акцент5 6" xfId="892"/>
    <cellStyle name="60% - Акцент5 7" xfId="893"/>
    <cellStyle name="60% - Акцент5 8" xfId="894"/>
    <cellStyle name="60% - Акцент5 9" xfId="895"/>
    <cellStyle name="60% - Акцент6 10" xfId="896"/>
    <cellStyle name="60% - Акцент6 11" xfId="897"/>
    <cellStyle name="60% - Акцент6 12" xfId="898"/>
    <cellStyle name="60% - Акцент6 13" xfId="899"/>
    <cellStyle name="60% - Акцент6 14" xfId="900"/>
    <cellStyle name="60% - Акцент6 15" xfId="901"/>
    <cellStyle name="60% - Акцент6 16" xfId="902"/>
    <cellStyle name="60% - Акцент6 17" xfId="903"/>
    <cellStyle name="60% - Акцент6 18" xfId="904"/>
    <cellStyle name="60% - Акцент6 19" xfId="905"/>
    <cellStyle name="60% - Акцент6 2" xfId="906"/>
    <cellStyle name="60% - Акцент6 20" xfId="907"/>
    <cellStyle name="60% - Акцент6 21" xfId="908"/>
    <cellStyle name="60% - Акцент6 22" xfId="909"/>
    <cellStyle name="60% - Акцент6 23" xfId="910"/>
    <cellStyle name="60% - Акцент6 24" xfId="911"/>
    <cellStyle name="60% - Акцент6 25" xfId="912"/>
    <cellStyle name="60% - Акцент6 26" xfId="913"/>
    <cellStyle name="60% - Акцент6 27" xfId="914"/>
    <cellStyle name="60% - Акцент6 28" xfId="915"/>
    <cellStyle name="60% - Акцент6 29" xfId="916"/>
    <cellStyle name="60% - Акцент6 3" xfId="917"/>
    <cellStyle name="60% - Акцент6 30" xfId="918"/>
    <cellStyle name="60% - Акцент6 31" xfId="919"/>
    <cellStyle name="60% - Акцент6 32" xfId="920"/>
    <cellStyle name="60% - Акцент6 33" xfId="921"/>
    <cellStyle name="60% - Акцент6 34" xfId="922"/>
    <cellStyle name="60% - Акцент6 35" xfId="923"/>
    <cellStyle name="60% - Акцент6 36" xfId="924"/>
    <cellStyle name="60% - Акцент6 4" xfId="925"/>
    <cellStyle name="60% - Акцент6 5" xfId="926"/>
    <cellStyle name="60% - Акцент6 6" xfId="927"/>
    <cellStyle name="60% - Акцент6 7" xfId="928"/>
    <cellStyle name="60% - Акцент6 8" xfId="929"/>
    <cellStyle name="60% - Акцент6 9" xfId="930"/>
    <cellStyle name="Accent1" xfId="28" builtinId="29" customBuiltin="1"/>
    <cellStyle name="Accent1 2" xfId="57"/>
    <cellStyle name="Accent1 2 2" xfId="126"/>
    <cellStyle name="Accent2" xfId="32" builtinId="33" customBuiltin="1"/>
    <cellStyle name="Accent2 2" xfId="53"/>
    <cellStyle name="Accent2 2 2" xfId="127"/>
    <cellStyle name="Accent3" xfId="36" builtinId="37" customBuiltin="1"/>
    <cellStyle name="Accent3 2" xfId="90"/>
    <cellStyle name="Accent3 2 2" xfId="128"/>
    <cellStyle name="Accent4" xfId="40" builtinId="41" customBuiltin="1"/>
    <cellStyle name="Accent4 2" xfId="75"/>
    <cellStyle name="Accent4 2 2" xfId="129"/>
    <cellStyle name="Accent5" xfId="44" builtinId="45" customBuiltin="1"/>
    <cellStyle name="Accent5 2" xfId="85"/>
    <cellStyle name="Accent5 2 2" xfId="130"/>
    <cellStyle name="Accent6" xfId="48" builtinId="49" customBuiltin="1"/>
    <cellStyle name="Accent6 2" xfId="58"/>
    <cellStyle name="Accent6 2 2" xfId="131"/>
    <cellStyle name="Bad" xfId="17" builtinId="27" customBuiltin="1"/>
    <cellStyle name="Bad 2" xfId="92"/>
    <cellStyle name="Bad 2 2" xfId="132"/>
    <cellStyle name="Calculation" xfId="21" builtinId="22" customBuiltin="1"/>
    <cellStyle name="Calculation 2" xfId="79"/>
    <cellStyle name="Calculation 2 2" xfId="133"/>
    <cellStyle name="Calculation 2 2 10" xfId="931"/>
    <cellStyle name="Calculation 2 2 11" xfId="932"/>
    <cellStyle name="Calculation 2 2 12" xfId="933"/>
    <cellStyle name="Calculation 2 2 13" xfId="934"/>
    <cellStyle name="Calculation 2 2 14" xfId="935"/>
    <cellStyle name="Calculation 2 2 15" xfId="936"/>
    <cellStyle name="Calculation 2 2 16" xfId="937"/>
    <cellStyle name="Calculation 2 2 17" xfId="938"/>
    <cellStyle name="Calculation 2 2 18" xfId="939"/>
    <cellStyle name="Calculation 2 2 19" xfId="940"/>
    <cellStyle name="Calculation 2 2 2" xfId="941"/>
    <cellStyle name="Calculation 2 2 20" xfId="942"/>
    <cellStyle name="Calculation 2 2 21" xfId="943"/>
    <cellStyle name="Calculation 2 2 22" xfId="944"/>
    <cellStyle name="Calculation 2 2 23" xfId="945"/>
    <cellStyle name="Calculation 2 2 24" xfId="946"/>
    <cellStyle name="Calculation 2 2 25" xfId="947"/>
    <cellStyle name="Calculation 2 2 26" xfId="948"/>
    <cellStyle name="Calculation 2 2 27" xfId="949"/>
    <cellStyle name="Calculation 2 2 28" xfId="950"/>
    <cellStyle name="Calculation 2 2 29" xfId="951"/>
    <cellStyle name="Calculation 2 2 3" xfId="952"/>
    <cellStyle name="Calculation 2 2 30" xfId="953"/>
    <cellStyle name="Calculation 2 2 31" xfId="954"/>
    <cellStyle name="Calculation 2 2 32" xfId="955"/>
    <cellStyle name="Calculation 2 2 33" xfId="956"/>
    <cellStyle name="Calculation 2 2 4" xfId="957"/>
    <cellStyle name="Calculation 2 2 5" xfId="958"/>
    <cellStyle name="Calculation 2 2 6" xfId="959"/>
    <cellStyle name="Calculation 2 2 7" xfId="960"/>
    <cellStyle name="Calculation 2 2 8" xfId="961"/>
    <cellStyle name="Calculation 2 2 9" xfId="962"/>
    <cellStyle name="Check Cell" xfId="23" builtinId="23" customBuiltin="1"/>
    <cellStyle name="Check Cell 2" xfId="86"/>
    <cellStyle name="Check Cell 2 2" xfId="134"/>
    <cellStyle name="Comma" xfId="7" builtinId="3"/>
    <cellStyle name="Comma 10" xfId="217"/>
    <cellStyle name="Comma 2" xfId="10"/>
    <cellStyle name="Comma 2 2" xfId="100"/>
    <cellStyle name="Comma 2 2 2" xfId="135"/>
    <cellStyle name="Comma 2 2 2 2" xfId="218"/>
    <cellStyle name="Comma 2 2 3" xfId="219"/>
    <cellStyle name="Comma 2 3" xfId="103"/>
    <cellStyle name="Comma 2 3 2" xfId="220"/>
    <cellStyle name="Comma 2 3 3" xfId="221"/>
    <cellStyle name="Comma 2 4" xfId="222"/>
    <cellStyle name="Comma 2 5" xfId="223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224"/>
    <cellStyle name="Comma 4" xfId="102"/>
    <cellStyle name="Comma 4 2" xfId="225"/>
    <cellStyle name="Comma 4 3" xfId="226"/>
    <cellStyle name="Comma 5" xfId="95"/>
    <cellStyle name="Comma 5 2" xfId="180"/>
    <cellStyle name="Comma 5 3" xfId="204"/>
    <cellStyle name="Comma 6" xfId="187"/>
    <cellStyle name="Comma 6 2" xfId="210"/>
    <cellStyle name="Comma 6 3" xfId="227"/>
    <cellStyle name="Comma 7" xfId="228"/>
    <cellStyle name="Comma 7 2" xfId="229"/>
    <cellStyle name="Comma 7 2 2" xfId="230"/>
    <cellStyle name="Comma 7 3" xfId="231"/>
    <cellStyle name="Comma 8" xfId="232"/>
    <cellStyle name="Comma 9" xfId="233"/>
    <cellStyle name="Explanatory Text" xfId="26" builtinId="53" customBuiltin="1"/>
    <cellStyle name="Explanatory Text 2" xfId="74"/>
    <cellStyle name="Explanatory Text 2 2" xfId="137"/>
    <cellStyle name="Good" xfId="16" builtinId="26" customBuiltin="1"/>
    <cellStyle name="Good 2" xfId="80"/>
    <cellStyle name="Good 2 2" xfId="138"/>
    <cellStyle name="Heading 1" xfId="12" builtinId="16" customBuiltin="1"/>
    <cellStyle name="Heading 1 2" xfId="65"/>
    <cellStyle name="Heading 1 2 2" xfId="139"/>
    <cellStyle name="Heading 2" xfId="13" builtinId="17" customBuiltin="1"/>
    <cellStyle name="Heading 2 2" xfId="83"/>
    <cellStyle name="Heading 2 2 2" xfId="140"/>
    <cellStyle name="Heading 3" xfId="14" builtinId="18" customBuiltin="1"/>
    <cellStyle name="Heading 3 2" xfId="67"/>
    <cellStyle name="Heading 3 2 2" xfId="141"/>
    <cellStyle name="Heading 4" xfId="15" builtinId="19" customBuiltin="1"/>
    <cellStyle name="Heading 4 2" xfId="63"/>
    <cellStyle name="Heading 4 2 2" xfId="142"/>
    <cellStyle name="Input" xfId="19" builtinId="20" customBuiltin="1"/>
    <cellStyle name="Input 2" xfId="82"/>
    <cellStyle name="Input 2 2" xfId="143"/>
    <cellStyle name="Input 2 2 10" xfId="963"/>
    <cellStyle name="Input 2 2 11" xfId="964"/>
    <cellStyle name="Input 2 2 12" xfId="965"/>
    <cellStyle name="Input 2 2 13" xfId="966"/>
    <cellStyle name="Input 2 2 14" xfId="967"/>
    <cellStyle name="Input 2 2 15" xfId="968"/>
    <cellStyle name="Input 2 2 16" xfId="969"/>
    <cellStyle name="Input 2 2 17" xfId="970"/>
    <cellStyle name="Input 2 2 18" xfId="971"/>
    <cellStyle name="Input 2 2 19" xfId="972"/>
    <cellStyle name="Input 2 2 2" xfId="973"/>
    <cellStyle name="Input 2 2 20" xfId="974"/>
    <cellStyle name="Input 2 2 21" xfId="975"/>
    <cellStyle name="Input 2 2 22" xfId="976"/>
    <cellStyle name="Input 2 2 23" xfId="977"/>
    <cellStyle name="Input 2 2 24" xfId="978"/>
    <cellStyle name="Input 2 2 25" xfId="979"/>
    <cellStyle name="Input 2 2 26" xfId="980"/>
    <cellStyle name="Input 2 2 27" xfId="981"/>
    <cellStyle name="Input 2 2 28" xfId="982"/>
    <cellStyle name="Input 2 2 29" xfId="983"/>
    <cellStyle name="Input 2 2 3" xfId="984"/>
    <cellStyle name="Input 2 2 30" xfId="985"/>
    <cellStyle name="Input 2 2 31" xfId="986"/>
    <cellStyle name="Input 2 2 32" xfId="987"/>
    <cellStyle name="Input 2 2 33" xfId="988"/>
    <cellStyle name="Input 2 2 4" xfId="989"/>
    <cellStyle name="Input 2 2 5" xfId="990"/>
    <cellStyle name="Input 2 2 6" xfId="991"/>
    <cellStyle name="Input 2 2 7" xfId="992"/>
    <cellStyle name="Input 2 2 8" xfId="993"/>
    <cellStyle name="Input 2 2 9" xfId="994"/>
    <cellStyle name="KPMG Heading 1" xfId="234"/>
    <cellStyle name="KPMG Heading 2" xfId="235"/>
    <cellStyle name="KPMG Heading 3" xfId="236"/>
    <cellStyle name="KPMG Heading 4" xfId="237"/>
    <cellStyle name="KPMG Normal" xfId="238"/>
    <cellStyle name="KPMG Normal Text" xfId="239"/>
    <cellStyle name="KPMG Normal_123" xfId="240"/>
    <cellStyle name="Linked Cell" xfId="22" builtinId="24" customBuiltin="1"/>
    <cellStyle name="Linked Cell 2" xfId="70"/>
    <cellStyle name="Linked Cell 2 2" xfId="144"/>
    <cellStyle name="Neutral" xfId="18" builtinId="28" customBuiltin="1"/>
    <cellStyle name="Neutral 2" xfId="76"/>
    <cellStyle name="Neutral 2 2" xfId="105"/>
    <cellStyle name="Neutral 3" xfId="145"/>
    <cellStyle name="Normal" xfId="0" builtinId="0"/>
    <cellStyle name="Normal 10" xfId="4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241"/>
    <cellStyle name="Normal 13" xfId="242"/>
    <cellStyle name="Normal 14" xfId="243"/>
    <cellStyle name="Normal 14 2" xfId="244"/>
    <cellStyle name="Normal 15" xfId="245"/>
    <cellStyle name="Normal 16" xfId="246"/>
    <cellStyle name="Normal 17" xfId="247"/>
    <cellStyle name="Normal 18" xfId="299"/>
    <cellStyle name="Normal 2" xfId="1"/>
    <cellStyle name="Normal 2 2" xfId="146"/>
    <cellStyle name="Normal 2 2 2" xfId="163"/>
    <cellStyle name="Normal 2 2 3" xfId="248"/>
    <cellStyle name="Normal 2 3" xfId="147"/>
    <cellStyle name="Normal 2 3 2" xfId="249"/>
    <cellStyle name="Normal 2 3 3" xfId="250"/>
    <cellStyle name="Normal 2 4" xfId="96"/>
    <cellStyle name="Normal 2 4 2" xfId="251"/>
    <cellStyle name="Normal 2 5" xfId="252"/>
    <cellStyle name="Normal 2 6" xfId="253"/>
    <cellStyle name="Normal 3" xfId="3"/>
    <cellStyle name="Normal 3 2" xfId="104"/>
    <cellStyle name="Normal 3 2 2" xfId="148"/>
    <cellStyle name="Normal 3 2 3" xfId="254"/>
    <cellStyle name="Normal 3 3" xfId="98"/>
    <cellStyle name="Normal 3 4" xfId="255"/>
    <cellStyle name="Normal 3 5" xfId="256"/>
    <cellStyle name="Normal 3_HavelvacN2axjusakN3" xfId="106"/>
    <cellStyle name="Normal 4" xfId="5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257"/>
    <cellStyle name="Normal 6" xfId="150"/>
    <cellStyle name="Normal 6 2" xfId="213"/>
    <cellStyle name="Normal 6 3" xfId="258"/>
    <cellStyle name="Normal 7" xfId="151"/>
    <cellStyle name="Normal 7 2" xfId="259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" xfId="25" builtinId="10" customBuiltin="1"/>
    <cellStyle name="Note 2" xfId="54"/>
    <cellStyle name="Note 2 2" xfId="152"/>
    <cellStyle name="Note 2 2 10" xfId="995"/>
    <cellStyle name="Note 2 2 11" xfId="996"/>
    <cellStyle name="Note 2 2 12" xfId="997"/>
    <cellStyle name="Note 2 2 13" xfId="998"/>
    <cellStyle name="Note 2 2 14" xfId="999"/>
    <cellStyle name="Note 2 2 15" xfId="1000"/>
    <cellStyle name="Note 2 2 16" xfId="1001"/>
    <cellStyle name="Note 2 2 17" xfId="1002"/>
    <cellStyle name="Note 2 2 18" xfId="1003"/>
    <cellStyle name="Note 2 2 19" xfId="1004"/>
    <cellStyle name="Note 2 2 2" xfId="1005"/>
    <cellStyle name="Note 2 2 20" xfId="1006"/>
    <cellStyle name="Note 2 2 21" xfId="1007"/>
    <cellStyle name="Note 2 2 22" xfId="1008"/>
    <cellStyle name="Note 2 2 23" xfId="1009"/>
    <cellStyle name="Note 2 2 24" xfId="1010"/>
    <cellStyle name="Note 2 2 25" xfId="1011"/>
    <cellStyle name="Note 2 2 26" xfId="1012"/>
    <cellStyle name="Note 2 2 27" xfId="1013"/>
    <cellStyle name="Note 2 2 28" xfId="1014"/>
    <cellStyle name="Note 2 2 29" xfId="1015"/>
    <cellStyle name="Note 2 2 3" xfId="1016"/>
    <cellStyle name="Note 2 2 30" xfId="1017"/>
    <cellStyle name="Note 2 2 31" xfId="1018"/>
    <cellStyle name="Note 2 2 32" xfId="1019"/>
    <cellStyle name="Note 2 2 33" xfId="1020"/>
    <cellStyle name="Note 2 2 34" xfId="1021"/>
    <cellStyle name="Note 2 2 4" xfId="1022"/>
    <cellStyle name="Note 2 2 5" xfId="1023"/>
    <cellStyle name="Note 2 2 6" xfId="1024"/>
    <cellStyle name="Note 2 2 7" xfId="1025"/>
    <cellStyle name="Note 2 2 8" xfId="1026"/>
    <cellStyle name="Note 2 2 9" xfId="1027"/>
    <cellStyle name="Note 2 3" xfId="260"/>
    <cellStyle name="Note 3" xfId="166"/>
    <cellStyle name="Note 4" xfId="190"/>
    <cellStyle name="Output" xfId="20" builtinId="21" customBuiltin="1"/>
    <cellStyle name="Output 2" xfId="81"/>
    <cellStyle name="Output 2 2" xfId="153"/>
    <cellStyle name="Output 2 2 10" xfId="1028"/>
    <cellStyle name="Output 2 2 11" xfId="1029"/>
    <cellStyle name="Output 2 2 12" xfId="1030"/>
    <cellStyle name="Output 2 2 13" xfId="1031"/>
    <cellStyle name="Output 2 2 14" xfId="1032"/>
    <cellStyle name="Output 2 2 15" xfId="1033"/>
    <cellStyle name="Output 2 2 16" xfId="1034"/>
    <cellStyle name="Output 2 2 17" xfId="1035"/>
    <cellStyle name="Output 2 2 18" xfId="1036"/>
    <cellStyle name="Output 2 2 19" xfId="1037"/>
    <cellStyle name="Output 2 2 2" xfId="1038"/>
    <cellStyle name="Output 2 2 20" xfId="1039"/>
    <cellStyle name="Output 2 2 21" xfId="1040"/>
    <cellStyle name="Output 2 2 22" xfId="1041"/>
    <cellStyle name="Output 2 2 23" xfId="1042"/>
    <cellStyle name="Output 2 2 24" xfId="1043"/>
    <cellStyle name="Output 2 2 25" xfId="1044"/>
    <cellStyle name="Output 2 2 26" xfId="1045"/>
    <cellStyle name="Output 2 2 27" xfId="1046"/>
    <cellStyle name="Output 2 2 28" xfId="1047"/>
    <cellStyle name="Output 2 2 29" xfId="1048"/>
    <cellStyle name="Output 2 2 3" xfId="1049"/>
    <cellStyle name="Output 2 2 30" xfId="1050"/>
    <cellStyle name="Output 2 2 31" xfId="1051"/>
    <cellStyle name="Output 2 2 32" xfId="1052"/>
    <cellStyle name="Output 2 2 33" xfId="1053"/>
    <cellStyle name="Output 2 2 34" xfId="1054"/>
    <cellStyle name="Output 2 2 4" xfId="1055"/>
    <cellStyle name="Output 2 2 5" xfId="1056"/>
    <cellStyle name="Output 2 2 6" xfId="1057"/>
    <cellStyle name="Output 2 2 7" xfId="1058"/>
    <cellStyle name="Output 2 2 8" xfId="1059"/>
    <cellStyle name="Output 2 2 9" xfId="1060"/>
    <cellStyle name="Percent" xfId="2021" builtinId="5"/>
    <cellStyle name="Percent 2" xfId="2"/>
    <cellStyle name="Percent 2 2" xfId="97"/>
    <cellStyle name="Percent 2 2 2" xfId="261"/>
    <cellStyle name="Percent 2 3" xfId="262"/>
    <cellStyle name="Percent 2 4" xfId="263"/>
    <cellStyle name="Percent 3" xfId="264"/>
    <cellStyle name="Percent 3 2" xfId="265"/>
    <cellStyle name="Percent 4" xfId="266"/>
    <cellStyle name="Percent 4 2" xfId="267"/>
    <cellStyle name="Percent 5" xfId="268"/>
    <cellStyle name="Percent 5 2" xfId="269"/>
    <cellStyle name="Percent 5 2 2" xfId="270"/>
    <cellStyle name="Percent 5 3" xfId="271"/>
    <cellStyle name="SN_241" xfId="6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" xfId="27" builtinId="25" customBuiltin="1"/>
    <cellStyle name="Total 2" xfId="89"/>
    <cellStyle name="Total 2 2" xfId="158"/>
    <cellStyle name="Total 2 2 10" xfId="1061"/>
    <cellStyle name="Total 2 2 11" xfId="1062"/>
    <cellStyle name="Total 2 2 12" xfId="1063"/>
    <cellStyle name="Total 2 2 13" xfId="1064"/>
    <cellStyle name="Total 2 2 14" xfId="1065"/>
    <cellStyle name="Total 2 2 15" xfId="1066"/>
    <cellStyle name="Total 2 2 16" xfId="1067"/>
    <cellStyle name="Total 2 2 17" xfId="1068"/>
    <cellStyle name="Total 2 2 18" xfId="1069"/>
    <cellStyle name="Total 2 2 19" xfId="1070"/>
    <cellStyle name="Total 2 2 2" xfId="1071"/>
    <cellStyle name="Total 2 2 20" xfId="1072"/>
    <cellStyle name="Total 2 2 21" xfId="1073"/>
    <cellStyle name="Total 2 2 22" xfId="1074"/>
    <cellStyle name="Total 2 2 23" xfId="1075"/>
    <cellStyle name="Total 2 2 24" xfId="1076"/>
    <cellStyle name="Total 2 2 25" xfId="1077"/>
    <cellStyle name="Total 2 2 26" xfId="1078"/>
    <cellStyle name="Total 2 2 27" xfId="1079"/>
    <cellStyle name="Total 2 2 28" xfId="1080"/>
    <cellStyle name="Total 2 2 29" xfId="1081"/>
    <cellStyle name="Total 2 2 3" xfId="1082"/>
    <cellStyle name="Total 2 2 30" xfId="1083"/>
    <cellStyle name="Total 2 2 31" xfId="1084"/>
    <cellStyle name="Total 2 2 32" xfId="1085"/>
    <cellStyle name="Total 2 2 33" xfId="1086"/>
    <cellStyle name="Total 2 2 34" xfId="1087"/>
    <cellStyle name="Total 2 2 4" xfId="1088"/>
    <cellStyle name="Total 2 2 5" xfId="1089"/>
    <cellStyle name="Total 2 2 6" xfId="1090"/>
    <cellStyle name="Total 2 2 7" xfId="1091"/>
    <cellStyle name="Total 2 2 8" xfId="1092"/>
    <cellStyle name="Total 2 2 9" xfId="1093"/>
    <cellStyle name="Warning Text" xfId="24" builtinId="11" customBuiltin="1"/>
    <cellStyle name="Warning Text 2" xfId="68"/>
    <cellStyle name="Warning Text 2 2" xfId="159"/>
    <cellStyle name="Акцент1 10" xfId="1094"/>
    <cellStyle name="Акцент1 11" xfId="1095"/>
    <cellStyle name="Акцент1 12" xfId="1096"/>
    <cellStyle name="Акцент1 13" xfId="1097"/>
    <cellStyle name="Акцент1 14" xfId="1098"/>
    <cellStyle name="Акцент1 15" xfId="1099"/>
    <cellStyle name="Акцент1 16" xfId="1100"/>
    <cellStyle name="Акцент1 17" xfId="1101"/>
    <cellStyle name="Акцент1 18" xfId="1102"/>
    <cellStyle name="Акцент1 19" xfId="1103"/>
    <cellStyle name="Акцент1 2" xfId="1104"/>
    <cellStyle name="Акцент1 20" xfId="1105"/>
    <cellStyle name="Акцент1 21" xfId="1106"/>
    <cellStyle name="Акцент1 22" xfId="1107"/>
    <cellStyle name="Акцент1 23" xfId="1108"/>
    <cellStyle name="Акцент1 24" xfId="1109"/>
    <cellStyle name="Акцент1 25" xfId="1110"/>
    <cellStyle name="Акцент1 26" xfId="1111"/>
    <cellStyle name="Акцент1 27" xfId="1112"/>
    <cellStyle name="Акцент1 28" xfId="1113"/>
    <cellStyle name="Акцент1 29" xfId="1114"/>
    <cellStyle name="Акцент1 3" xfId="1115"/>
    <cellStyle name="Акцент1 30" xfId="1116"/>
    <cellStyle name="Акцент1 31" xfId="1117"/>
    <cellStyle name="Акцент1 32" xfId="1118"/>
    <cellStyle name="Акцент1 33" xfId="1119"/>
    <cellStyle name="Акцент1 34" xfId="1120"/>
    <cellStyle name="Акцент1 35" xfId="1121"/>
    <cellStyle name="Акцент1 36" xfId="1122"/>
    <cellStyle name="Акцент1 4" xfId="1123"/>
    <cellStyle name="Акцент1 5" xfId="1124"/>
    <cellStyle name="Акцент1 6" xfId="1125"/>
    <cellStyle name="Акцент1 7" xfId="1126"/>
    <cellStyle name="Акцент1 8" xfId="1127"/>
    <cellStyle name="Акцент1 9" xfId="1128"/>
    <cellStyle name="Акцент2 10" xfId="1129"/>
    <cellStyle name="Акцент2 11" xfId="1130"/>
    <cellStyle name="Акцент2 12" xfId="1131"/>
    <cellStyle name="Акцент2 13" xfId="1132"/>
    <cellStyle name="Акцент2 14" xfId="1133"/>
    <cellStyle name="Акцент2 15" xfId="1134"/>
    <cellStyle name="Акцент2 16" xfId="1135"/>
    <cellStyle name="Акцент2 17" xfId="1136"/>
    <cellStyle name="Акцент2 18" xfId="1137"/>
    <cellStyle name="Акцент2 19" xfId="1138"/>
    <cellStyle name="Акцент2 2" xfId="1139"/>
    <cellStyle name="Акцент2 20" xfId="1140"/>
    <cellStyle name="Акцент2 21" xfId="1141"/>
    <cellStyle name="Акцент2 22" xfId="1142"/>
    <cellStyle name="Акцент2 23" xfId="1143"/>
    <cellStyle name="Акцент2 24" xfId="1144"/>
    <cellStyle name="Акцент2 25" xfId="1145"/>
    <cellStyle name="Акцент2 26" xfId="1146"/>
    <cellStyle name="Акцент2 27" xfId="1147"/>
    <cellStyle name="Акцент2 28" xfId="1148"/>
    <cellStyle name="Акцент2 29" xfId="1149"/>
    <cellStyle name="Акцент2 3" xfId="1150"/>
    <cellStyle name="Акцент2 30" xfId="1151"/>
    <cellStyle name="Акцент2 31" xfId="1152"/>
    <cellStyle name="Акцент2 32" xfId="1153"/>
    <cellStyle name="Акцент2 33" xfId="1154"/>
    <cellStyle name="Акцент2 34" xfId="1155"/>
    <cellStyle name="Акцент2 35" xfId="1156"/>
    <cellStyle name="Акцент2 36" xfId="1157"/>
    <cellStyle name="Акцент2 4" xfId="1158"/>
    <cellStyle name="Акцент2 5" xfId="1159"/>
    <cellStyle name="Акцент2 6" xfId="1160"/>
    <cellStyle name="Акцент2 7" xfId="1161"/>
    <cellStyle name="Акцент2 8" xfId="1162"/>
    <cellStyle name="Акцент2 9" xfId="1163"/>
    <cellStyle name="Акцент3 10" xfId="1164"/>
    <cellStyle name="Акцент3 11" xfId="1165"/>
    <cellStyle name="Акцент3 12" xfId="1166"/>
    <cellStyle name="Акцент3 13" xfId="1167"/>
    <cellStyle name="Акцент3 14" xfId="1168"/>
    <cellStyle name="Акцент3 15" xfId="1169"/>
    <cellStyle name="Акцент3 16" xfId="1170"/>
    <cellStyle name="Акцент3 17" xfId="1171"/>
    <cellStyle name="Акцент3 18" xfId="1172"/>
    <cellStyle name="Акцент3 19" xfId="1173"/>
    <cellStyle name="Акцент3 2" xfId="1174"/>
    <cellStyle name="Акцент3 20" xfId="1175"/>
    <cellStyle name="Акцент3 21" xfId="1176"/>
    <cellStyle name="Акцент3 22" xfId="1177"/>
    <cellStyle name="Акцент3 23" xfId="1178"/>
    <cellStyle name="Акцент3 24" xfId="1179"/>
    <cellStyle name="Акцент3 25" xfId="1180"/>
    <cellStyle name="Акцент3 26" xfId="1181"/>
    <cellStyle name="Акцент3 27" xfId="1182"/>
    <cellStyle name="Акцент3 28" xfId="1183"/>
    <cellStyle name="Акцент3 29" xfId="1184"/>
    <cellStyle name="Акцент3 3" xfId="1185"/>
    <cellStyle name="Акцент3 30" xfId="1186"/>
    <cellStyle name="Акцент3 31" xfId="1187"/>
    <cellStyle name="Акцент3 32" xfId="1188"/>
    <cellStyle name="Акцент3 33" xfId="1189"/>
    <cellStyle name="Акцент3 34" xfId="1190"/>
    <cellStyle name="Акцент3 35" xfId="1191"/>
    <cellStyle name="Акцент3 36" xfId="1192"/>
    <cellStyle name="Акцент3 4" xfId="1193"/>
    <cellStyle name="Акцент3 5" xfId="1194"/>
    <cellStyle name="Акцент3 6" xfId="1195"/>
    <cellStyle name="Акцент3 7" xfId="1196"/>
    <cellStyle name="Акцент3 8" xfId="1197"/>
    <cellStyle name="Акцент3 9" xfId="1198"/>
    <cellStyle name="Акцент4 10" xfId="1199"/>
    <cellStyle name="Акцент4 11" xfId="1200"/>
    <cellStyle name="Акцент4 12" xfId="1201"/>
    <cellStyle name="Акцент4 13" xfId="1202"/>
    <cellStyle name="Акцент4 14" xfId="1203"/>
    <cellStyle name="Акцент4 15" xfId="1204"/>
    <cellStyle name="Акцент4 16" xfId="1205"/>
    <cellStyle name="Акцент4 17" xfId="1206"/>
    <cellStyle name="Акцент4 18" xfId="1207"/>
    <cellStyle name="Акцент4 19" xfId="1208"/>
    <cellStyle name="Акцент4 2" xfId="1209"/>
    <cellStyle name="Акцент4 20" xfId="1210"/>
    <cellStyle name="Акцент4 21" xfId="1211"/>
    <cellStyle name="Акцент4 22" xfId="1212"/>
    <cellStyle name="Акцент4 23" xfId="1213"/>
    <cellStyle name="Акцент4 24" xfId="1214"/>
    <cellStyle name="Акцент4 25" xfId="1215"/>
    <cellStyle name="Акцент4 26" xfId="1216"/>
    <cellStyle name="Акцент4 27" xfId="1217"/>
    <cellStyle name="Акцент4 28" xfId="1218"/>
    <cellStyle name="Акцент4 29" xfId="1219"/>
    <cellStyle name="Акцент4 3" xfId="1220"/>
    <cellStyle name="Акцент4 30" xfId="1221"/>
    <cellStyle name="Акцент4 31" xfId="1222"/>
    <cellStyle name="Акцент4 32" xfId="1223"/>
    <cellStyle name="Акцент4 33" xfId="1224"/>
    <cellStyle name="Акцент4 34" xfId="1225"/>
    <cellStyle name="Акцент4 35" xfId="1226"/>
    <cellStyle name="Акцент4 36" xfId="1227"/>
    <cellStyle name="Акцент4 4" xfId="1228"/>
    <cellStyle name="Акцент4 5" xfId="1229"/>
    <cellStyle name="Акцент4 6" xfId="1230"/>
    <cellStyle name="Акцент4 7" xfId="1231"/>
    <cellStyle name="Акцент4 8" xfId="1232"/>
    <cellStyle name="Акцент4 9" xfId="1233"/>
    <cellStyle name="Акцент5 10" xfId="1234"/>
    <cellStyle name="Акцент5 11" xfId="1235"/>
    <cellStyle name="Акцент5 12" xfId="1236"/>
    <cellStyle name="Акцент5 13" xfId="1237"/>
    <cellStyle name="Акцент5 14" xfId="1238"/>
    <cellStyle name="Акцент5 15" xfId="1239"/>
    <cellStyle name="Акцент5 16" xfId="1240"/>
    <cellStyle name="Акцент5 17" xfId="1241"/>
    <cellStyle name="Акцент5 18" xfId="1242"/>
    <cellStyle name="Акцент5 19" xfId="1243"/>
    <cellStyle name="Акцент5 2" xfId="1244"/>
    <cellStyle name="Акцент5 20" xfId="1245"/>
    <cellStyle name="Акцент5 21" xfId="1246"/>
    <cellStyle name="Акцент5 22" xfId="1247"/>
    <cellStyle name="Акцент5 23" xfId="1248"/>
    <cellStyle name="Акцент5 24" xfId="1249"/>
    <cellStyle name="Акцент5 25" xfId="1250"/>
    <cellStyle name="Акцент5 26" xfId="1251"/>
    <cellStyle name="Акцент5 27" xfId="1252"/>
    <cellStyle name="Акцент5 28" xfId="1253"/>
    <cellStyle name="Акцент5 29" xfId="1254"/>
    <cellStyle name="Акцент5 3" xfId="1255"/>
    <cellStyle name="Акцент5 30" xfId="1256"/>
    <cellStyle name="Акцент5 31" xfId="1257"/>
    <cellStyle name="Акцент5 32" xfId="1258"/>
    <cellStyle name="Акцент5 33" xfId="1259"/>
    <cellStyle name="Акцент5 34" xfId="1260"/>
    <cellStyle name="Акцент5 35" xfId="1261"/>
    <cellStyle name="Акцент5 36" xfId="1262"/>
    <cellStyle name="Акцент5 4" xfId="1263"/>
    <cellStyle name="Акцент5 5" xfId="1264"/>
    <cellStyle name="Акцент5 6" xfId="1265"/>
    <cellStyle name="Акцент5 7" xfId="1266"/>
    <cellStyle name="Акцент5 8" xfId="1267"/>
    <cellStyle name="Акцент5 9" xfId="1268"/>
    <cellStyle name="Акцент6 10" xfId="1269"/>
    <cellStyle name="Акцент6 11" xfId="1270"/>
    <cellStyle name="Акцент6 12" xfId="1271"/>
    <cellStyle name="Акцент6 13" xfId="1272"/>
    <cellStyle name="Акцент6 14" xfId="1273"/>
    <cellStyle name="Акцент6 15" xfId="1274"/>
    <cellStyle name="Акцент6 16" xfId="1275"/>
    <cellStyle name="Акцент6 17" xfId="1276"/>
    <cellStyle name="Акцент6 18" xfId="1277"/>
    <cellStyle name="Акцент6 19" xfId="1278"/>
    <cellStyle name="Акцент6 2" xfId="1279"/>
    <cellStyle name="Акцент6 20" xfId="1280"/>
    <cellStyle name="Акцент6 21" xfId="1281"/>
    <cellStyle name="Акцент6 22" xfId="1282"/>
    <cellStyle name="Акцент6 23" xfId="1283"/>
    <cellStyle name="Акцент6 24" xfId="1284"/>
    <cellStyle name="Акцент6 25" xfId="1285"/>
    <cellStyle name="Акцент6 26" xfId="1286"/>
    <cellStyle name="Акцент6 27" xfId="1287"/>
    <cellStyle name="Акцент6 28" xfId="1288"/>
    <cellStyle name="Акцент6 29" xfId="1289"/>
    <cellStyle name="Акцент6 3" xfId="1290"/>
    <cellStyle name="Акцент6 30" xfId="1291"/>
    <cellStyle name="Акцент6 31" xfId="1292"/>
    <cellStyle name="Акцент6 32" xfId="1293"/>
    <cellStyle name="Акцент6 33" xfId="1294"/>
    <cellStyle name="Акцент6 34" xfId="1295"/>
    <cellStyle name="Акцент6 35" xfId="1296"/>
    <cellStyle name="Акцент6 36" xfId="1297"/>
    <cellStyle name="Акцент6 4" xfId="1298"/>
    <cellStyle name="Акцент6 5" xfId="1299"/>
    <cellStyle name="Акцент6 6" xfId="1300"/>
    <cellStyle name="Акцент6 7" xfId="1301"/>
    <cellStyle name="Акцент6 8" xfId="1302"/>
    <cellStyle name="Акцент6 9" xfId="1303"/>
    <cellStyle name="Беззащитный" xfId="272"/>
    <cellStyle name="Ввод  10" xfId="1304"/>
    <cellStyle name="Ввод  11" xfId="1305"/>
    <cellStyle name="Ввод  12" xfId="1306"/>
    <cellStyle name="Ввод  13" xfId="1307"/>
    <cellStyle name="Ввод  14" xfId="1308"/>
    <cellStyle name="Ввод  15" xfId="1309"/>
    <cellStyle name="Ввод  16" xfId="1310"/>
    <cellStyle name="Ввод  17" xfId="1311"/>
    <cellStyle name="Ввод  18" xfId="1312"/>
    <cellStyle name="Ввод  19" xfId="1313"/>
    <cellStyle name="Ввод  2" xfId="1314"/>
    <cellStyle name="Ввод  20" xfId="1315"/>
    <cellStyle name="Ввод  21" xfId="1316"/>
    <cellStyle name="Ввод  22" xfId="1317"/>
    <cellStyle name="Ввод  23" xfId="1318"/>
    <cellStyle name="Ввод  24" xfId="1319"/>
    <cellStyle name="Ввод  25" xfId="1320"/>
    <cellStyle name="Ввод  26" xfId="1321"/>
    <cellStyle name="Ввод  27" xfId="1322"/>
    <cellStyle name="Ввод  28" xfId="1323"/>
    <cellStyle name="Ввод  29" xfId="1324"/>
    <cellStyle name="Ввод  3" xfId="1325"/>
    <cellStyle name="Ввод  30" xfId="1326"/>
    <cellStyle name="Ввод  31" xfId="1327"/>
    <cellStyle name="Ввод  32" xfId="1328"/>
    <cellStyle name="Ввод  33" xfId="1329"/>
    <cellStyle name="Ввод  34" xfId="1330"/>
    <cellStyle name="Ввод  35" xfId="1331"/>
    <cellStyle name="Ввод  36" xfId="1332"/>
    <cellStyle name="Ввод  4" xfId="1333"/>
    <cellStyle name="Ввод  5" xfId="1334"/>
    <cellStyle name="Ввод  6" xfId="1335"/>
    <cellStyle name="Ввод  7" xfId="1336"/>
    <cellStyle name="Ввод  8" xfId="1337"/>
    <cellStyle name="Ввод  9" xfId="1338"/>
    <cellStyle name="Вывод 10" xfId="1339"/>
    <cellStyle name="Вывод 11" xfId="1340"/>
    <cellStyle name="Вывод 12" xfId="1341"/>
    <cellStyle name="Вывод 13" xfId="1342"/>
    <cellStyle name="Вывод 14" xfId="1343"/>
    <cellStyle name="Вывод 15" xfId="1344"/>
    <cellStyle name="Вывод 16" xfId="1345"/>
    <cellStyle name="Вывод 17" xfId="1346"/>
    <cellStyle name="Вывод 18" xfId="1347"/>
    <cellStyle name="Вывод 19" xfId="1348"/>
    <cellStyle name="Вывод 2" xfId="1349"/>
    <cellStyle name="Вывод 20" xfId="1350"/>
    <cellStyle name="Вывод 21" xfId="1351"/>
    <cellStyle name="Вывод 22" xfId="1352"/>
    <cellStyle name="Вывод 23" xfId="1353"/>
    <cellStyle name="Вывод 24" xfId="1354"/>
    <cellStyle name="Вывод 25" xfId="1355"/>
    <cellStyle name="Вывод 26" xfId="1356"/>
    <cellStyle name="Вывод 27" xfId="1357"/>
    <cellStyle name="Вывод 28" xfId="1358"/>
    <cellStyle name="Вывод 29" xfId="1359"/>
    <cellStyle name="Вывод 3" xfId="1360"/>
    <cellStyle name="Вывод 30" xfId="1361"/>
    <cellStyle name="Вывод 31" xfId="1362"/>
    <cellStyle name="Вывод 32" xfId="1363"/>
    <cellStyle name="Вывод 33" xfId="1364"/>
    <cellStyle name="Вывод 34" xfId="1365"/>
    <cellStyle name="Вывод 35" xfId="1366"/>
    <cellStyle name="Вывод 36" xfId="1367"/>
    <cellStyle name="Вывод 4" xfId="1368"/>
    <cellStyle name="Вывод 5" xfId="1369"/>
    <cellStyle name="Вывод 6" xfId="1370"/>
    <cellStyle name="Вывод 7" xfId="1371"/>
    <cellStyle name="Вывод 8" xfId="1372"/>
    <cellStyle name="Вывод 9" xfId="1373"/>
    <cellStyle name="Вычисление 10" xfId="1374"/>
    <cellStyle name="Вычисление 11" xfId="1375"/>
    <cellStyle name="Вычисление 12" xfId="1376"/>
    <cellStyle name="Вычисление 13" xfId="1377"/>
    <cellStyle name="Вычисление 14" xfId="1378"/>
    <cellStyle name="Вычисление 15" xfId="1379"/>
    <cellStyle name="Вычисление 16" xfId="1380"/>
    <cellStyle name="Вычисление 17" xfId="1381"/>
    <cellStyle name="Вычисление 18" xfId="1382"/>
    <cellStyle name="Вычисление 19" xfId="1383"/>
    <cellStyle name="Вычисление 2" xfId="1384"/>
    <cellStyle name="Вычисление 20" xfId="1385"/>
    <cellStyle name="Вычисление 21" xfId="1386"/>
    <cellStyle name="Вычисление 22" xfId="1387"/>
    <cellStyle name="Вычисление 23" xfId="1388"/>
    <cellStyle name="Вычисление 24" xfId="1389"/>
    <cellStyle name="Вычисление 25" xfId="1390"/>
    <cellStyle name="Вычисление 26" xfId="1391"/>
    <cellStyle name="Вычисление 27" xfId="1392"/>
    <cellStyle name="Вычисление 28" xfId="1393"/>
    <cellStyle name="Вычисление 29" xfId="1394"/>
    <cellStyle name="Вычисление 3" xfId="1395"/>
    <cellStyle name="Вычисление 30" xfId="1396"/>
    <cellStyle name="Вычисление 31" xfId="1397"/>
    <cellStyle name="Вычисление 32" xfId="1398"/>
    <cellStyle name="Вычисление 33" xfId="1399"/>
    <cellStyle name="Вычисление 34" xfId="1400"/>
    <cellStyle name="Вычисление 35" xfId="1401"/>
    <cellStyle name="Вычисление 36" xfId="1402"/>
    <cellStyle name="Вычисление 4" xfId="1403"/>
    <cellStyle name="Вычисление 5" xfId="1404"/>
    <cellStyle name="Вычисление 6" xfId="1405"/>
    <cellStyle name="Вычисление 7" xfId="1406"/>
    <cellStyle name="Вычисление 8" xfId="1407"/>
    <cellStyle name="Вычисление 9" xfId="1408"/>
    <cellStyle name="Заголовок 1 10" xfId="1409"/>
    <cellStyle name="Заголовок 1 11" xfId="1410"/>
    <cellStyle name="Заголовок 1 12" xfId="1411"/>
    <cellStyle name="Заголовок 1 13" xfId="1412"/>
    <cellStyle name="Заголовок 1 14" xfId="1413"/>
    <cellStyle name="Заголовок 1 15" xfId="1414"/>
    <cellStyle name="Заголовок 1 16" xfId="1415"/>
    <cellStyle name="Заголовок 1 17" xfId="1416"/>
    <cellStyle name="Заголовок 1 18" xfId="1417"/>
    <cellStyle name="Заголовок 1 19" xfId="1418"/>
    <cellStyle name="Заголовок 1 2" xfId="1419"/>
    <cellStyle name="Заголовок 1 20" xfId="1420"/>
    <cellStyle name="Заголовок 1 21" xfId="1421"/>
    <cellStyle name="Заголовок 1 22" xfId="1422"/>
    <cellStyle name="Заголовок 1 23" xfId="1423"/>
    <cellStyle name="Заголовок 1 24" xfId="1424"/>
    <cellStyle name="Заголовок 1 25" xfId="1425"/>
    <cellStyle name="Заголовок 1 26" xfId="1426"/>
    <cellStyle name="Заголовок 1 27" xfId="1427"/>
    <cellStyle name="Заголовок 1 28" xfId="1428"/>
    <cellStyle name="Заголовок 1 29" xfId="1429"/>
    <cellStyle name="Заголовок 1 3" xfId="1430"/>
    <cellStyle name="Заголовок 1 30" xfId="1431"/>
    <cellStyle name="Заголовок 1 31" xfId="1432"/>
    <cellStyle name="Заголовок 1 32" xfId="1433"/>
    <cellStyle name="Заголовок 1 33" xfId="1434"/>
    <cellStyle name="Заголовок 1 34" xfId="1435"/>
    <cellStyle name="Заголовок 1 35" xfId="1436"/>
    <cellStyle name="Заголовок 1 36" xfId="1437"/>
    <cellStyle name="Заголовок 1 4" xfId="1438"/>
    <cellStyle name="Заголовок 1 5" xfId="1439"/>
    <cellStyle name="Заголовок 1 6" xfId="1440"/>
    <cellStyle name="Заголовок 1 7" xfId="1441"/>
    <cellStyle name="Заголовок 1 8" xfId="1442"/>
    <cellStyle name="Заголовок 1 9" xfId="1443"/>
    <cellStyle name="Заголовок 2 10" xfId="1444"/>
    <cellStyle name="Заголовок 2 11" xfId="1445"/>
    <cellStyle name="Заголовок 2 12" xfId="1446"/>
    <cellStyle name="Заголовок 2 13" xfId="1447"/>
    <cellStyle name="Заголовок 2 14" xfId="1448"/>
    <cellStyle name="Заголовок 2 15" xfId="1449"/>
    <cellStyle name="Заголовок 2 16" xfId="1450"/>
    <cellStyle name="Заголовок 2 17" xfId="1451"/>
    <cellStyle name="Заголовок 2 18" xfId="1452"/>
    <cellStyle name="Заголовок 2 19" xfId="1453"/>
    <cellStyle name="Заголовок 2 2" xfId="1454"/>
    <cellStyle name="Заголовок 2 20" xfId="1455"/>
    <cellStyle name="Заголовок 2 21" xfId="1456"/>
    <cellStyle name="Заголовок 2 22" xfId="1457"/>
    <cellStyle name="Заголовок 2 23" xfId="1458"/>
    <cellStyle name="Заголовок 2 24" xfId="1459"/>
    <cellStyle name="Заголовок 2 25" xfId="1460"/>
    <cellStyle name="Заголовок 2 26" xfId="1461"/>
    <cellStyle name="Заголовок 2 27" xfId="1462"/>
    <cellStyle name="Заголовок 2 28" xfId="1463"/>
    <cellStyle name="Заголовок 2 29" xfId="1464"/>
    <cellStyle name="Заголовок 2 3" xfId="1465"/>
    <cellStyle name="Заголовок 2 30" xfId="1466"/>
    <cellStyle name="Заголовок 2 31" xfId="1467"/>
    <cellStyle name="Заголовок 2 32" xfId="1468"/>
    <cellStyle name="Заголовок 2 33" xfId="1469"/>
    <cellStyle name="Заголовок 2 34" xfId="1470"/>
    <cellStyle name="Заголовок 2 35" xfId="1471"/>
    <cellStyle name="Заголовок 2 36" xfId="1472"/>
    <cellStyle name="Заголовок 2 4" xfId="1473"/>
    <cellStyle name="Заголовок 2 5" xfId="1474"/>
    <cellStyle name="Заголовок 2 6" xfId="1475"/>
    <cellStyle name="Заголовок 2 7" xfId="1476"/>
    <cellStyle name="Заголовок 2 8" xfId="1477"/>
    <cellStyle name="Заголовок 2 9" xfId="1478"/>
    <cellStyle name="Заголовок 3 10" xfId="1479"/>
    <cellStyle name="Заголовок 3 11" xfId="1480"/>
    <cellStyle name="Заголовок 3 12" xfId="1481"/>
    <cellStyle name="Заголовок 3 13" xfId="1482"/>
    <cellStyle name="Заголовок 3 14" xfId="1483"/>
    <cellStyle name="Заголовок 3 15" xfId="1484"/>
    <cellStyle name="Заголовок 3 16" xfId="1485"/>
    <cellStyle name="Заголовок 3 17" xfId="1486"/>
    <cellStyle name="Заголовок 3 18" xfId="1487"/>
    <cellStyle name="Заголовок 3 19" xfId="1488"/>
    <cellStyle name="Заголовок 3 2" xfId="1489"/>
    <cellStyle name="Заголовок 3 20" xfId="1490"/>
    <cellStyle name="Заголовок 3 21" xfId="1491"/>
    <cellStyle name="Заголовок 3 22" xfId="1492"/>
    <cellStyle name="Заголовок 3 23" xfId="1493"/>
    <cellStyle name="Заголовок 3 24" xfId="1494"/>
    <cellStyle name="Заголовок 3 25" xfId="1495"/>
    <cellStyle name="Заголовок 3 26" xfId="1496"/>
    <cellStyle name="Заголовок 3 27" xfId="1497"/>
    <cellStyle name="Заголовок 3 28" xfId="1498"/>
    <cellStyle name="Заголовок 3 29" xfId="1499"/>
    <cellStyle name="Заголовок 3 3" xfId="1500"/>
    <cellStyle name="Заголовок 3 30" xfId="1501"/>
    <cellStyle name="Заголовок 3 31" xfId="1502"/>
    <cellStyle name="Заголовок 3 32" xfId="1503"/>
    <cellStyle name="Заголовок 3 33" xfId="1504"/>
    <cellStyle name="Заголовок 3 34" xfId="1505"/>
    <cellStyle name="Заголовок 3 35" xfId="1506"/>
    <cellStyle name="Заголовок 3 36" xfId="1507"/>
    <cellStyle name="Заголовок 3 4" xfId="1508"/>
    <cellStyle name="Заголовок 3 5" xfId="1509"/>
    <cellStyle name="Заголовок 3 6" xfId="1510"/>
    <cellStyle name="Заголовок 3 7" xfId="1511"/>
    <cellStyle name="Заголовок 3 8" xfId="1512"/>
    <cellStyle name="Заголовок 3 9" xfId="1513"/>
    <cellStyle name="Заголовок 4 10" xfId="1514"/>
    <cellStyle name="Заголовок 4 11" xfId="1515"/>
    <cellStyle name="Заголовок 4 12" xfId="1516"/>
    <cellStyle name="Заголовок 4 13" xfId="1517"/>
    <cellStyle name="Заголовок 4 14" xfId="1518"/>
    <cellStyle name="Заголовок 4 15" xfId="1519"/>
    <cellStyle name="Заголовок 4 16" xfId="1520"/>
    <cellStyle name="Заголовок 4 17" xfId="1521"/>
    <cellStyle name="Заголовок 4 18" xfId="1522"/>
    <cellStyle name="Заголовок 4 19" xfId="1523"/>
    <cellStyle name="Заголовок 4 2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25" xfId="1530"/>
    <cellStyle name="Заголовок 4 26" xfId="1531"/>
    <cellStyle name="Заголовок 4 27" xfId="1532"/>
    <cellStyle name="Заголовок 4 28" xfId="1533"/>
    <cellStyle name="Заголовок 4 29" xfId="1534"/>
    <cellStyle name="Заголовок 4 3" xfId="1535"/>
    <cellStyle name="Заголовок 4 30" xfId="1536"/>
    <cellStyle name="Заголовок 4 31" xfId="1537"/>
    <cellStyle name="Заголовок 4 32" xfId="1538"/>
    <cellStyle name="Заголовок 4 33" xfId="1539"/>
    <cellStyle name="Заголовок 4 34" xfId="1540"/>
    <cellStyle name="Заголовок 4 35" xfId="1541"/>
    <cellStyle name="Заголовок 4 36" xfId="1542"/>
    <cellStyle name="Заголовок 4 4" xfId="1543"/>
    <cellStyle name="Заголовок 4 5" xfId="1544"/>
    <cellStyle name="Заголовок 4 6" xfId="1545"/>
    <cellStyle name="Заголовок 4 7" xfId="1546"/>
    <cellStyle name="Заголовок 4 8" xfId="1547"/>
    <cellStyle name="Заголовок 4 9" xfId="1548"/>
    <cellStyle name="Защитный" xfId="273"/>
    <cellStyle name="Итог 10" xfId="1549"/>
    <cellStyle name="Итог 11" xfId="1550"/>
    <cellStyle name="Итог 12" xfId="1551"/>
    <cellStyle name="Итог 13" xfId="1552"/>
    <cellStyle name="Итог 14" xfId="1553"/>
    <cellStyle name="Итог 15" xfId="1554"/>
    <cellStyle name="Итог 16" xfId="1555"/>
    <cellStyle name="Итог 17" xfId="1556"/>
    <cellStyle name="Итог 18" xfId="1557"/>
    <cellStyle name="Итог 19" xfId="1558"/>
    <cellStyle name="Итог 2" xfId="1559"/>
    <cellStyle name="Итог 20" xfId="1560"/>
    <cellStyle name="Итог 21" xfId="1561"/>
    <cellStyle name="Итог 22" xfId="1562"/>
    <cellStyle name="Итог 23" xfId="1563"/>
    <cellStyle name="Итог 24" xfId="1564"/>
    <cellStyle name="Итог 25" xfId="1565"/>
    <cellStyle name="Итог 26" xfId="1566"/>
    <cellStyle name="Итог 27" xfId="1567"/>
    <cellStyle name="Итог 28" xfId="1568"/>
    <cellStyle name="Итог 29" xfId="1569"/>
    <cellStyle name="Итог 3" xfId="1570"/>
    <cellStyle name="Итог 30" xfId="1571"/>
    <cellStyle name="Итог 31" xfId="1572"/>
    <cellStyle name="Итог 32" xfId="1573"/>
    <cellStyle name="Итог 33" xfId="1574"/>
    <cellStyle name="Итог 34" xfId="1575"/>
    <cellStyle name="Итог 35" xfId="1576"/>
    <cellStyle name="Итог 36" xfId="1577"/>
    <cellStyle name="Итог 4" xfId="1578"/>
    <cellStyle name="Итог 5" xfId="1579"/>
    <cellStyle name="Итог 6" xfId="1580"/>
    <cellStyle name="Итог 7" xfId="1581"/>
    <cellStyle name="Итог 8" xfId="1582"/>
    <cellStyle name="Итог 9" xfId="1583"/>
    <cellStyle name="Контрольная ячейка 10" xfId="1584"/>
    <cellStyle name="Контрольная ячейка 11" xfId="1585"/>
    <cellStyle name="Контрольная ячейка 12" xfId="1586"/>
    <cellStyle name="Контрольная ячейка 13" xfId="1587"/>
    <cellStyle name="Контрольная ячейка 14" xfId="1588"/>
    <cellStyle name="Контрольная ячейка 15" xfId="1589"/>
    <cellStyle name="Контрольная ячейка 16" xfId="1590"/>
    <cellStyle name="Контрольная ячейка 17" xfId="1591"/>
    <cellStyle name="Контрольная ячейка 18" xfId="1592"/>
    <cellStyle name="Контрольная ячейка 19" xfId="1593"/>
    <cellStyle name="Контрольная ячейка 2" xfId="1594"/>
    <cellStyle name="Контрольная ячейка 20" xfId="1595"/>
    <cellStyle name="Контрольная ячейка 21" xfId="1596"/>
    <cellStyle name="Контрольная ячейка 22" xfId="1597"/>
    <cellStyle name="Контрольная ячейка 23" xfId="1598"/>
    <cellStyle name="Контрольная ячейка 24" xfId="1599"/>
    <cellStyle name="Контрольная ячейка 25" xfId="1600"/>
    <cellStyle name="Контрольная ячейка 26" xfId="1601"/>
    <cellStyle name="Контрольная ячейка 27" xfId="1602"/>
    <cellStyle name="Контрольная ячейка 28" xfId="1603"/>
    <cellStyle name="Контрольная ячейка 29" xfId="1604"/>
    <cellStyle name="Контрольная ячейка 3" xfId="1605"/>
    <cellStyle name="Контрольная ячейка 30" xfId="1606"/>
    <cellStyle name="Контрольная ячейка 31" xfId="1607"/>
    <cellStyle name="Контрольная ячейка 32" xfId="1608"/>
    <cellStyle name="Контрольная ячейка 33" xfId="1609"/>
    <cellStyle name="Контрольная ячейка 34" xfId="1610"/>
    <cellStyle name="Контрольная ячейка 35" xfId="1611"/>
    <cellStyle name="Контрольная ячейка 36" xfId="1612"/>
    <cellStyle name="Контрольная ячейка 4" xfId="1613"/>
    <cellStyle name="Контрольная ячейка 5" xfId="1614"/>
    <cellStyle name="Контрольная ячейка 6" xfId="1615"/>
    <cellStyle name="Контрольная ячейка 7" xfId="1616"/>
    <cellStyle name="Контрольная ячейка 8" xfId="1617"/>
    <cellStyle name="Контрольная ячейка 9" xfId="1618"/>
    <cellStyle name="Нейтральный 10" xfId="1619"/>
    <cellStyle name="Нейтральный 11" xfId="1620"/>
    <cellStyle name="Нейтральный 12" xfId="1621"/>
    <cellStyle name="Нейтральный 13" xfId="1622"/>
    <cellStyle name="Нейтральный 14" xfId="1623"/>
    <cellStyle name="Нейтральный 15" xfId="1624"/>
    <cellStyle name="Нейтральный 16" xfId="1625"/>
    <cellStyle name="Нейтральный 17" xfId="1626"/>
    <cellStyle name="Нейтральный 18" xfId="1627"/>
    <cellStyle name="Нейтральный 19" xfId="1628"/>
    <cellStyle name="Нейтральный 2" xfId="1629"/>
    <cellStyle name="Нейтральный 20" xfId="1630"/>
    <cellStyle name="Нейтральный 21" xfId="1631"/>
    <cellStyle name="Нейтральный 22" xfId="1632"/>
    <cellStyle name="Нейтральный 23" xfId="1633"/>
    <cellStyle name="Нейтральный 24" xfId="1634"/>
    <cellStyle name="Нейтральный 25" xfId="1635"/>
    <cellStyle name="Нейтральный 26" xfId="1636"/>
    <cellStyle name="Нейтральный 27" xfId="1637"/>
    <cellStyle name="Нейтральный 28" xfId="1638"/>
    <cellStyle name="Нейтральный 29" xfId="1639"/>
    <cellStyle name="Нейтральный 3" xfId="1640"/>
    <cellStyle name="Нейтральный 30" xfId="1641"/>
    <cellStyle name="Нейтральный 31" xfId="1642"/>
    <cellStyle name="Нейтральный 32" xfId="1643"/>
    <cellStyle name="Нейтральный 33" xfId="1644"/>
    <cellStyle name="Нейтральный 34" xfId="1645"/>
    <cellStyle name="Нейтральный 35" xfId="1646"/>
    <cellStyle name="Нейтральный 36" xfId="1647"/>
    <cellStyle name="Нейтральный 4" xfId="1648"/>
    <cellStyle name="Нейтральный 5" xfId="1649"/>
    <cellStyle name="Нейтральный 6" xfId="1650"/>
    <cellStyle name="Нейтральный 7" xfId="1651"/>
    <cellStyle name="Нейтральный 8" xfId="1652"/>
    <cellStyle name="Нейтральный 9" xfId="1653"/>
    <cellStyle name="Обычный 13" xfId="1654"/>
    <cellStyle name="Обычный 14" xfId="1655"/>
    <cellStyle name="Обычный 15" xfId="1656"/>
    <cellStyle name="Обычный 16" xfId="1657"/>
    <cellStyle name="Обычный 17" xfId="1658"/>
    <cellStyle name="Обычный 18" xfId="1659"/>
    <cellStyle name="Обычный 19" xfId="1660"/>
    <cellStyle name="Обычный 2" xfId="11"/>
    <cellStyle name="Обычный 2 10" xfId="274"/>
    <cellStyle name="Обычный 2 10 2" xfId="1661"/>
    <cellStyle name="Обычный 2 11" xfId="275"/>
    <cellStyle name="Обычный 2 11 2" xfId="1662"/>
    <cellStyle name="Обычный 2 12" xfId="276"/>
    <cellStyle name="Обычный 2 12 2" xfId="1663"/>
    <cellStyle name="Обычный 2 13" xfId="277"/>
    <cellStyle name="Обычный 2 13 2" xfId="1664"/>
    <cellStyle name="Обычный 2 14" xfId="278"/>
    <cellStyle name="Обычный 2 14 2" xfId="1665"/>
    <cellStyle name="Обычный 2 15" xfId="1666"/>
    <cellStyle name="Обычный 2 16" xfId="1667"/>
    <cellStyle name="Обычный 2 17" xfId="1668"/>
    <cellStyle name="Обычный 2 18" xfId="1669"/>
    <cellStyle name="Обычный 2 19" xfId="1670"/>
    <cellStyle name="Обычный 2 2" xfId="161"/>
    <cellStyle name="Обычный 2 2 10" xfId="1671"/>
    <cellStyle name="Обычный 2 2 11" xfId="1672"/>
    <cellStyle name="Обычный 2 2 12" xfId="1673"/>
    <cellStyle name="Обычный 2 2 13" xfId="1674"/>
    <cellStyle name="Обычный 2 2 14" xfId="1675"/>
    <cellStyle name="Обычный 2 2 15" xfId="1676"/>
    <cellStyle name="Обычный 2 2 16" xfId="1677"/>
    <cellStyle name="Обычный 2 2 17" xfId="1678"/>
    <cellStyle name="Обычный 2 2 18" xfId="1679"/>
    <cellStyle name="Обычный 2 2 19" xfId="1680"/>
    <cellStyle name="Обычный 2 2 2" xfId="279"/>
    <cellStyle name="Обычный 2 2 2 2" xfId="1681"/>
    <cellStyle name="Обычный 2 2 20" xfId="1682"/>
    <cellStyle name="Обычный 2 2 21" xfId="1683"/>
    <cellStyle name="Обычный 2 2 22" xfId="1684"/>
    <cellStyle name="Обычный 2 2 23" xfId="1685"/>
    <cellStyle name="Обычный 2 2 24" xfId="1686"/>
    <cellStyle name="Обычный 2 2 25" xfId="1687"/>
    <cellStyle name="Обычный 2 2 26" xfId="1688"/>
    <cellStyle name="Обычный 2 2 27" xfId="1689"/>
    <cellStyle name="Обычный 2 2 28" xfId="1690"/>
    <cellStyle name="Обычный 2 2 29" xfId="1691"/>
    <cellStyle name="Обычный 2 2 3" xfId="280"/>
    <cellStyle name="Обычный 2 2 3 2" xfId="1692"/>
    <cellStyle name="Обычный 2 2 30" xfId="1693"/>
    <cellStyle name="Обычный 2 2 31" xfId="1694"/>
    <cellStyle name="Обычный 2 2 32" xfId="1695"/>
    <cellStyle name="Обычный 2 2 33" xfId="1696"/>
    <cellStyle name="Обычный 2 2 34" xfId="1697"/>
    <cellStyle name="Обычный 2 2 35" xfId="1698"/>
    <cellStyle name="Обычный 2 2 36" xfId="1699"/>
    <cellStyle name="Обычный 2 2 4" xfId="1700"/>
    <cellStyle name="Обычный 2 2 5" xfId="1701"/>
    <cellStyle name="Обычный 2 2 6" xfId="1702"/>
    <cellStyle name="Обычный 2 2 7" xfId="1703"/>
    <cellStyle name="Обычный 2 2 8" xfId="1704"/>
    <cellStyle name="Обычный 2 2 9" xfId="1705"/>
    <cellStyle name="Обычный 2 20" xfId="1706"/>
    <cellStyle name="Обычный 2 21" xfId="1707"/>
    <cellStyle name="Обычный 2 22" xfId="1708"/>
    <cellStyle name="Обычный 2 23" xfId="1709"/>
    <cellStyle name="Обычный 2 24" xfId="1710"/>
    <cellStyle name="Обычный 2 25" xfId="1711"/>
    <cellStyle name="Обычный 2 26" xfId="1712"/>
    <cellStyle name="Обычный 2 27" xfId="1713"/>
    <cellStyle name="Обычный 2 28" xfId="1714"/>
    <cellStyle name="Обычный 2 29" xfId="1715"/>
    <cellStyle name="Обычный 2 3" xfId="160"/>
    <cellStyle name="Обычный 2 30" xfId="1716"/>
    <cellStyle name="Обычный 2 31" xfId="1717"/>
    <cellStyle name="Обычный 2 32" xfId="1718"/>
    <cellStyle name="Обычный 2 33" xfId="1719"/>
    <cellStyle name="Обычный 2 34" xfId="1720"/>
    <cellStyle name="Обычный 2 35" xfId="1721"/>
    <cellStyle name="Обычный 2 36" xfId="1722"/>
    <cellStyle name="Обычный 2 37" xfId="1723"/>
    <cellStyle name="Обычный 2 4" xfId="281"/>
    <cellStyle name="Обычный 2 4 2" xfId="282"/>
    <cellStyle name="Обычный 2 5" xfId="283"/>
    <cellStyle name="Обычный 2 5 2" xfId="284"/>
    <cellStyle name="Обычный 2 6" xfId="285"/>
    <cellStyle name="Обычный 2 6 2" xfId="286"/>
    <cellStyle name="Обычный 2 7" xfId="287"/>
    <cellStyle name="Обычный 2 7 2" xfId="288"/>
    <cellStyle name="Обычный 2 8" xfId="289"/>
    <cellStyle name="Обычный 2 8 2" xfId="290"/>
    <cellStyle name="Обычный 2 9" xfId="291"/>
    <cellStyle name="Обычный 2 9 2" xfId="1724"/>
    <cellStyle name="Обычный 2_900005052015" xfId="292"/>
    <cellStyle name="Обычный 23" xfId="1725"/>
    <cellStyle name="Обычный 24" xfId="1726"/>
    <cellStyle name="Обычный 25" xfId="1727"/>
    <cellStyle name="Обычный 27" xfId="1728"/>
    <cellStyle name="Обычный 28" xfId="1729"/>
    <cellStyle name="Обычный 29" xfId="1730"/>
    <cellStyle name="Обычный 3" xfId="293"/>
    <cellStyle name="Обычный 3 2" xfId="294"/>
    <cellStyle name="Обычный 3 2 2" xfId="1731"/>
    <cellStyle name="Обычный 30" xfId="1732"/>
    <cellStyle name="Обычный 31" xfId="1733"/>
    <cellStyle name="Обычный 32" xfId="1734"/>
    <cellStyle name="Обычный 34" xfId="1735"/>
    <cellStyle name="Обычный 35" xfId="1736"/>
    <cellStyle name="Обычный 36" xfId="1737"/>
    <cellStyle name="Обычный 4" xfId="295"/>
    <cellStyle name="Обычный 4 2" xfId="1738"/>
    <cellStyle name="Обычный 5" xfId="1739"/>
    <cellStyle name="Обычный 6" xfId="1740"/>
    <cellStyle name="Обычный 7" xfId="1741"/>
    <cellStyle name="Плохой 10" xfId="1742"/>
    <cellStyle name="Плохой 11" xfId="1743"/>
    <cellStyle name="Плохой 12" xfId="1744"/>
    <cellStyle name="Плохой 13" xfId="1745"/>
    <cellStyle name="Плохой 14" xfId="1746"/>
    <cellStyle name="Плохой 15" xfId="1747"/>
    <cellStyle name="Плохой 16" xfId="1748"/>
    <cellStyle name="Плохой 17" xfId="1749"/>
    <cellStyle name="Плохой 18" xfId="1750"/>
    <cellStyle name="Плохой 19" xfId="1751"/>
    <cellStyle name="Плохой 2" xfId="1752"/>
    <cellStyle name="Плохой 20" xfId="1753"/>
    <cellStyle name="Плохой 21" xfId="1754"/>
    <cellStyle name="Плохой 22" xfId="1755"/>
    <cellStyle name="Плохой 23" xfId="1756"/>
    <cellStyle name="Плохой 24" xfId="1757"/>
    <cellStyle name="Плохой 25" xfId="1758"/>
    <cellStyle name="Плохой 26" xfId="1759"/>
    <cellStyle name="Плохой 27" xfId="1760"/>
    <cellStyle name="Плохой 28" xfId="1761"/>
    <cellStyle name="Плохой 29" xfId="1762"/>
    <cellStyle name="Плохой 3" xfId="1763"/>
    <cellStyle name="Плохой 30" xfId="1764"/>
    <cellStyle name="Плохой 31" xfId="1765"/>
    <cellStyle name="Плохой 32" xfId="1766"/>
    <cellStyle name="Плохой 33" xfId="1767"/>
    <cellStyle name="Плохой 34" xfId="1768"/>
    <cellStyle name="Плохой 35" xfId="1769"/>
    <cellStyle name="Плохой 36" xfId="1770"/>
    <cellStyle name="Плохой 4" xfId="1771"/>
    <cellStyle name="Плохой 5" xfId="1772"/>
    <cellStyle name="Плохой 6" xfId="1773"/>
    <cellStyle name="Плохой 7" xfId="1774"/>
    <cellStyle name="Плохой 8" xfId="1775"/>
    <cellStyle name="Плохой 9" xfId="1776"/>
    <cellStyle name="Пояснение 10" xfId="1777"/>
    <cellStyle name="Пояснение 11" xfId="1778"/>
    <cellStyle name="Пояснение 12" xfId="1779"/>
    <cellStyle name="Пояснение 13" xfId="1780"/>
    <cellStyle name="Пояснение 14" xfId="1781"/>
    <cellStyle name="Пояснение 15" xfId="1782"/>
    <cellStyle name="Пояснение 16" xfId="1783"/>
    <cellStyle name="Пояснение 17" xfId="1784"/>
    <cellStyle name="Пояснение 18" xfId="1785"/>
    <cellStyle name="Пояснение 19" xfId="1786"/>
    <cellStyle name="Пояснение 2" xfId="1787"/>
    <cellStyle name="Пояснение 20" xfId="1788"/>
    <cellStyle name="Пояснение 21" xfId="1789"/>
    <cellStyle name="Пояснение 22" xfId="1790"/>
    <cellStyle name="Пояснение 23" xfId="1791"/>
    <cellStyle name="Пояснение 24" xfId="1792"/>
    <cellStyle name="Пояснение 25" xfId="1793"/>
    <cellStyle name="Пояснение 26" xfId="1794"/>
    <cellStyle name="Пояснение 27" xfId="1795"/>
    <cellStyle name="Пояснение 28" xfId="1796"/>
    <cellStyle name="Пояснение 29" xfId="1797"/>
    <cellStyle name="Пояснение 3" xfId="1798"/>
    <cellStyle name="Пояснение 30" xfId="1799"/>
    <cellStyle name="Пояснение 31" xfId="1800"/>
    <cellStyle name="Пояснение 32" xfId="1801"/>
    <cellStyle name="Пояснение 33" xfId="1802"/>
    <cellStyle name="Пояснение 34" xfId="1803"/>
    <cellStyle name="Пояснение 35" xfId="1804"/>
    <cellStyle name="Пояснение 36" xfId="1805"/>
    <cellStyle name="Пояснение 4" xfId="1806"/>
    <cellStyle name="Пояснение 5" xfId="1807"/>
    <cellStyle name="Пояснение 6" xfId="1808"/>
    <cellStyle name="Пояснение 7" xfId="1809"/>
    <cellStyle name="Пояснение 8" xfId="1810"/>
    <cellStyle name="Пояснение 9" xfId="1811"/>
    <cellStyle name="Примечание 10" xfId="1812"/>
    <cellStyle name="Примечание 11" xfId="1813"/>
    <cellStyle name="Примечание 12" xfId="1814"/>
    <cellStyle name="Примечание 13" xfId="1815"/>
    <cellStyle name="Примечание 14" xfId="1816"/>
    <cellStyle name="Примечание 15" xfId="1817"/>
    <cellStyle name="Примечание 16" xfId="1818"/>
    <cellStyle name="Примечание 17" xfId="1819"/>
    <cellStyle name="Примечание 18" xfId="1820"/>
    <cellStyle name="Примечание 19" xfId="1821"/>
    <cellStyle name="Примечание 2" xfId="1822"/>
    <cellStyle name="Примечание 20" xfId="1823"/>
    <cellStyle name="Примечание 21" xfId="1824"/>
    <cellStyle name="Примечание 22" xfId="1825"/>
    <cellStyle name="Примечание 23" xfId="1826"/>
    <cellStyle name="Примечание 24" xfId="1827"/>
    <cellStyle name="Примечание 25" xfId="1828"/>
    <cellStyle name="Примечание 26" xfId="1829"/>
    <cellStyle name="Примечание 27" xfId="1830"/>
    <cellStyle name="Примечание 28" xfId="1831"/>
    <cellStyle name="Примечание 29" xfId="1832"/>
    <cellStyle name="Примечание 3" xfId="1833"/>
    <cellStyle name="Примечание 30" xfId="1834"/>
    <cellStyle name="Примечание 31" xfId="1835"/>
    <cellStyle name="Примечание 32" xfId="1836"/>
    <cellStyle name="Примечание 33" xfId="1837"/>
    <cellStyle name="Примечание 34" xfId="1838"/>
    <cellStyle name="Примечание 35" xfId="1839"/>
    <cellStyle name="Примечание 36" xfId="1840"/>
    <cellStyle name="Примечание 4" xfId="1841"/>
    <cellStyle name="Примечание 5" xfId="1842"/>
    <cellStyle name="Примечание 6" xfId="1843"/>
    <cellStyle name="Примечание 7" xfId="1844"/>
    <cellStyle name="Примечание 8" xfId="1845"/>
    <cellStyle name="Примечание 9" xfId="1846"/>
    <cellStyle name="Связанная ячейка 10" xfId="1847"/>
    <cellStyle name="Связанная ячейка 11" xfId="1848"/>
    <cellStyle name="Связанная ячейка 12" xfId="1849"/>
    <cellStyle name="Связанная ячейка 13" xfId="1850"/>
    <cellStyle name="Связанная ячейка 14" xfId="1851"/>
    <cellStyle name="Связанная ячейка 15" xfId="1852"/>
    <cellStyle name="Связанная ячейка 16" xfId="1853"/>
    <cellStyle name="Связанная ячейка 17" xfId="1854"/>
    <cellStyle name="Связанная ячейка 18" xfId="1855"/>
    <cellStyle name="Связанная ячейка 19" xfId="1856"/>
    <cellStyle name="Связанная ячейка 2" xfId="1857"/>
    <cellStyle name="Связанная ячейка 20" xfId="1858"/>
    <cellStyle name="Связанная ячейка 21" xfId="1859"/>
    <cellStyle name="Связанная ячейка 22" xfId="1860"/>
    <cellStyle name="Связанная ячейка 23" xfId="1861"/>
    <cellStyle name="Связанная ячейка 24" xfId="1862"/>
    <cellStyle name="Связанная ячейка 25" xfId="1863"/>
    <cellStyle name="Связанная ячейка 26" xfId="1864"/>
    <cellStyle name="Связанная ячейка 27" xfId="1865"/>
    <cellStyle name="Связанная ячейка 28" xfId="1866"/>
    <cellStyle name="Связанная ячейка 29" xfId="1867"/>
    <cellStyle name="Связанная ячейка 3" xfId="1868"/>
    <cellStyle name="Связанная ячейка 30" xfId="1869"/>
    <cellStyle name="Связанная ячейка 31" xfId="1870"/>
    <cellStyle name="Связанная ячейка 32" xfId="1871"/>
    <cellStyle name="Связанная ячейка 33" xfId="1872"/>
    <cellStyle name="Связанная ячейка 34" xfId="1873"/>
    <cellStyle name="Связанная ячейка 35" xfId="1874"/>
    <cellStyle name="Связанная ячейка 36" xfId="1875"/>
    <cellStyle name="Связанная ячейка 4" xfId="1876"/>
    <cellStyle name="Связанная ячейка 5" xfId="1877"/>
    <cellStyle name="Связанная ячейка 6" xfId="1878"/>
    <cellStyle name="Связанная ячейка 7" xfId="1879"/>
    <cellStyle name="Связанная ячейка 8" xfId="1880"/>
    <cellStyle name="Связанная ячейка 9" xfId="1881"/>
    <cellStyle name="Стиль 1" xfId="296"/>
    <cellStyle name="Текст предупреждения 10" xfId="1882"/>
    <cellStyle name="Текст предупреждения 11" xfId="1883"/>
    <cellStyle name="Текст предупреждения 12" xfId="1884"/>
    <cellStyle name="Текст предупреждения 13" xfId="1885"/>
    <cellStyle name="Текст предупреждения 14" xfId="1886"/>
    <cellStyle name="Текст предупреждения 15" xfId="1887"/>
    <cellStyle name="Текст предупреждения 16" xfId="1888"/>
    <cellStyle name="Текст предупреждения 17" xfId="1889"/>
    <cellStyle name="Текст предупреждения 18" xfId="1890"/>
    <cellStyle name="Текст предупреждения 19" xfId="1891"/>
    <cellStyle name="Текст предупреждения 2" xfId="1892"/>
    <cellStyle name="Текст предупреждения 20" xfId="1893"/>
    <cellStyle name="Текст предупреждения 21" xfId="1894"/>
    <cellStyle name="Текст предупреждения 22" xfId="1895"/>
    <cellStyle name="Текст предупреждения 23" xfId="1896"/>
    <cellStyle name="Текст предупреждения 24" xfId="1897"/>
    <cellStyle name="Текст предупреждения 25" xfId="1898"/>
    <cellStyle name="Текст предупреждения 26" xfId="1899"/>
    <cellStyle name="Текст предупреждения 27" xfId="1900"/>
    <cellStyle name="Текст предупреждения 28" xfId="1901"/>
    <cellStyle name="Текст предупреждения 29" xfId="1902"/>
    <cellStyle name="Текст предупреждения 3" xfId="1903"/>
    <cellStyle name="Текст предупреждения 30" xfId="1904"/>
    <cellStyle name="Текст предупреждения 31" xfId="1905"/>
    <cellStyle name="Текст предупреждения 32" xfId="1906"/>
    <cellStyle name="Текст предупреждения 33" xfId="1907"/>
    <cellStyle name="Текст предупреждения 34" xfId="1908"/>
    <cellStyle name="Текст предупреждения 35" xfId="1909"/>
    <cellStyle name="Текст предупреждения 36" xfId="1910"/>
    <cellStyle name="Текст предупреждения 4" xfId="1911"/>
    <cellStyle name="Текст предупреждения 5" xfId="1912"/>
    <cellStyle name="Текст предупреждения 6" xfId="1913"/>
    <cellStyle name="Текст предупреждения 7" xfId="1914"/>
    <cellStyle name="Текст предупреждения 8" xfId="1915"/>
    <cellStyle name="Текст предупреждения 9" xfId="1916"/>
    <cellStyle name="Финансовый 16" xfId="300"/>
    <cellStyle name="Финансовый 2" xfId="214"/>
    <cellStyle name="Финансовый 2 10" xfId="1917"/>
    <cellStyle name="Финансовый 2 11" xfId="1918"/>
    <cellStyle name="Финансовый 2 12" xfId="1919"/>
    <cellStyle name="Финансовый 2 13" xfId="1920"/>
    <cellStyle name="Финансовый 2 14" xfId="1921"/>
    <cellStyle name="Финансовый 2 15" xfId="1922"/>
    <cellStyle name="Финансовый 2 16" xfId="1923"/>
    <cellStyle name="Финансовый 2 17" xfId="1924"/>
    <cellStyle name="Финансовый 2 18" xfId="1925"/>
    <cellStyle name="Финансовый 2 19" xfId="1926"/>
    <cellStyle name="Финансовый 2 2" xfId="215"/>
    <cellStyle name="Финансовый 2 2 10" xfId="1927"/>
    <cellStyle name="Финансовый 2 2 11" xfId="1928"/>
    <cellStyle name="Финансовый 2 2 12" xfId="1929"/>
    <cellStyle name="Финансовый 2 2 13" xfId="1930"/>
    <cellStyle name="Финансовый 2 2 14" xfId="1931"/>
    <cellStyle name="Финансовый 2 2 15" xfId="1932"/>
    <cellStyle name="Финансовый 2 2 16" xfId="1933"/>
    <cellStyle name="Финансовый 2 2 17" xfId="1934"/>
    <cellStyle name="Финансовый 2 2 18" xfId="1935"/>
    <cellStyle name="Финансовый 2 2 19" xfId="1936"/>
    <cellStyle name="Финансовый 2 2 2" xfId="1937"/>
    <cellStyle name="Финансовый 2 2 20" xfId="1938"/>
    <cellStyle name="Финансовый 2 2 21" xfId="1939"/>
    <cellStyle name="Финансовый 2 2 22" xfId="1940"/>
    <cellStyle name="Финансовый 2 2 23" xfId="1941"/>
    <cellStyle name="Финансовый 2 2 24" xfId="1942"/>
    <cellStyle name="Финансовый 2 2 25" xfId="1943"/>
    <cellStyle name="Финансовый 2 2 26" xfId="1944"/>
    <cellStyle name="Финансовый 2 2 27" xfId="1945"/>
    <cellStyle name="Финансовый 2 2 28" xfId="1946"/>
    <cellStyle name="Финансовый 2 2 29" xfId="1947"/>
    <cellStyle name="Финансовый 2 2 3" xfId="1948"/>
    <cellStyle name="Финансовый 2 2 30" xfId="1949"/>
    <cellStyle name="Финансовый 2 2 31" xfId="1950"/>
    <cellStyle name="Финансовый 2 2 32" xfId="1951"/>
    <cellStyle name="Финансовый 2 2 33" xfId="1952"/>
    <cellStyle name="Финансовый 2 2 34" xfId="1953"/>
    <cellStyle name="Финансовый 2 2 35" xfId="1954"/>
    <cellStyle name="Финансовый 2 2 36" xfId="1955"/>
    <cellStyle name="Финансовый 2 2 4" xfId="1956"/>
    <cellStyle name="Финансовый 2 2 5" xfId="1957"/>
    <cellStyle name="Финансовый 2 2 6" xfId="1958"/>
    <cellStyle name="Финансовый 2 2 7" xfId="1959"/>
    <cellStyle name="Финансовый 2 2 8" xfId="1960"/>
    <cellStyle name="Финансовый 2 2 9" xfId="1961"/>
    <cellStyle name="Финансовый 2 20" xfId="1962"/>
    <cellStyle name="Финансовый 2 21" xfId="1963"/>
    <cellStyle name="Финансовый 2 22" xfId="1964"/>
    <cellStyle name="Финансовый 2 23" xfId="1965"/>
    <cellStyle name="Финансовый 2 24" xfId="1966"/>
    <cellStyle name="Финансовый 2 25" xfId="1967"/>
    <cellStyle name="Финансовый 2 26" xfId="1968"/>
    <cellStyle name="Финансовый 2 27" xfId="1969"/>
    <cellStyle name="Финансовый 2 28" xfId="1970"/>
    <cellStyle name="Финансовый 2 29" xfId="1971"/>
    <cellStyle name="Финансовый 2 3" xfId="1972"/>
    <cellStyle name="Финансовый 2 30" xfId="1973"/>
    <cellStyle name="Финансовый 2 31" xfId="1974"/>
    <cellStyle name="Финансовый 2 32" xfId="1975"/>
    <cellStyle name="Финансовый 2 33" xfId="1976"/>
    <cellStyle name="Финансовый 2 34" xfId="1977"/>
    <cellStyle name="Финансовый 2 35" xfId="1978"/>
    <cellStyle name="Финансовый 2 36" xfId="1979"/>
    <cellStyle name="Финансовый 2 4" xfId="1980"/>
    <cellStyle name="Финансовый 2 5" xfId="1981"/>
    <cellStyle name="Финансовый 2 6" xfId="1982"/>
    <cellStyle name="Финансовый 2 7" xfId="1983"/>
    <cellStyle name="Финансовый 2 8" xfId="1984"/>
    <cellStyle name="Финансовый 2 9" xfId="1985"/>
    <cellStyle name="Финансовый 3" xfId="216"/>
    <cellStyle name="Финансовый 4" xfId="297"/>
    <cellStyle name="Финансовый 4 2" xfId="298"/>
    <cellStyle name="Хороший 10" xfId="1986"/>
    <cellStyle name="Хороший 11" xfId="1987"/>
    <cellStyle name="Хороший 12" xfId="1988"/>
    <cellStyle name="Хороший 13" xfId="1989"/>
    <cellStyle name="Хороший 14" xfId="1990"/>
    <cellStyle name="Хороший 15" xfId="1991"/>
    <cellStyle name="Хороший 16" xfId="1992"/>
    <cellStyle name="Хороший 17" xfId="1993"/>
    <cellStyle name="Хороший 18" xfId="1994"/>
    <cellStyle name="Хороший 19" xfId="1995"/>
    <cellStyle name="Хороший 2" xfId="1996"/>
    <cellStyle name="Хороший 20" xfId="1997"/>
    <cellStyle name="Хороший 21" xfId="1998"/>
    <cellStyle name="Хороший 22" xfId="1999"/>
    <cellStyle name="Хороший 23" xfId="2000"/>
    <cellStyle name="Хороший 24" xfId="2001"/>
    <cellStyle name="Хороший 25" xfId="2002"/>
    <cellStyle name="Хороший 26" xfId="2003"/>
    <cellStyle name="Хороший 27" xfId="2004"/>
    <cellStyle name="Хороший 28" xfId="2005"/>
    <cellStyle name="Хороший 29" xfId="2006"/>
    <cellStyle name="Хороший 3" xfId="2007"/>
    <cellStyle name="Хороший 30" xfId="2008"/>
    <cellStyle name="Хороший 31" xfId="2009"/>
    <cellStyle name="Хороший 32" xfId="2010"/>
    <cellStyle name="Хороший 33" xfId="2011"/>
    <cellStyle name="Хороший 34" xfId="2012"/>
    <cellStyle name="Хороший 35" xfId="2013"/>
    <cellStyle name="Хороший 36" xfId="2014"/>
    <cellStyle name="Хороший 4" xfId="2015"/>
    <cellStyle name="Хороший 5" xfId="2016"/>
    <cellStyle name="Хороший 6" xfId="2017"/>
    <cellStyle name="Хороший 7" xfId="2018"/>
    <cellStyle name="Хороший 8" xfId="2019"/>
    <cellStyle name="Хороший 9" xfId="20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5"/>
  <sheetViews>
    <sheetView topLeftCell="A97" zoomScale="70" zoomScaleNormal="70" zoomScaleSheetLayoutView="100" workbookViewId="0">
      <selection activeCell="C111" sqref="C111"/>
    </sheetView>
  </sheetViews>
  <sheetFormatPr defaultColWidth="9.09765625" defaultRowHeight="18"/>
  <cols>
    <col min="1" max="1" width="9.69921875" style="39" customWidth="1"/>
    <col min="2" max="2" width="24.69921875" style="39" customWidth="1"/>
    <col min="3" max="3" width="64.3984375" style="39" customWidth="1"/>
    <col min="4" max="6" width="14.8984375" style="39" customWidth="1"/>
    <col min="7" max="7" width="14.8984375" style="40" customWidth="1"/>
    <col min="8" max="8" width="15.8984375" style="39" customWidth="1"/>
    <col min="9" max="9" width="15.69921875" style="39" customWidth="1"/>
    <col min="10" max="10" width="13.8984375" style="39" customWidth="1"/>
    <col min="11" max="12" width="12.296875" style="39" customWidth="1"/>
    <col min="13" max="16384" width="9.09765625" style="39"/>
  </cols>
  <sheetData>
    <row r="1" spans="1:8" ht="37.5" customHeight="1">
      <c r="E1" s="636" t="s">
        <v>139</v>
      </c>
      <c r="F1" s="636"/>
      <c r="G1" s="636"/>
    </row>
    <row r="2" spans="1:8" ht="17.350000000000001" customHeight="1">
      <c r="E2" s="638" t="s">
        <v>533</v>
      </c>
      <c r="F2" s="638"/>
      <c r="G2" s="638"/>
    </row>
    <row r="3" spans="1:8" ht="17.350000000000001" customHeight="1">
      <c r="E3" s="638" t="s">
        <v>9</v>
      </c>
      <c r="F3" s="638"/>
      <c r="G3" s="638"/>
    </row>
    <row r="4" spans="1:8">
      <c r="G4" s="39"/>
    </row>
    <row r="5" spans="1:8" ht="75.849999999999994" customHeight="1">
      <c r="A5" s="639" t="s">
        <v>525</v>
      </c>
      <c r="B5" s="639"/>
      <c r="C5" s="639"/>
      <c r="D5" s="639"/>
      <c r="E5" s="639"/>
      <c r="F5" s="639"/>
      <c r="G5" s="639"/>
    </row>
    <row r="7" spans="1:8">
      <c r="F7" s="39" t="s">
        <v>32</v>
      </c>
    </row>
    <row r="8" spans="1:8" s="41" customFormat="1" ht="76.099999999999994" customHeight="1">
      <c r="A8" s="640" t="s">
        <v>15</v>
      </c>
      <c r="B8" s="641"/>
      <c r="C8" s="642" t="s">
        <v>16</v>
      </c>
      <c r="D8" s="644" t="s">
        <v>246</v>
      </c>
      <c r="E8" s="645"/>
      <c r="F8" s="645"/>
      <c r="G8" s="646"/>
    </row>
    <row r="9" spans="1:8" s="41" customFormat="1" ht="44.35" customHeight="1">
      <c r="A9" s="101" t="s">
        <v>90</v>
      </c>
      <c r="B9" s="102" t="s">
        <v>21</v>
      </c>
      <c r="C9" s="643"/>
      <c r="D9" s="42" t="s">
        <v>395</v>
      </c>
      <c r="E9" s="42" t="s">
        <v>17</v>
      </c>
      <c r="F9" s="43" t="s">
        <v>18</v>
      </c>
      <c r="G9" s="44" t="s">
        <v>19</v>
      </c>
    </row>
    <row r="10" spans="1:8" s="41" customFormat="1" ht="34.950000000000003" customHeight="1">
      <c r="A10" s="45" t="s">
        <v>81</v>
      </c>
      <c r="B10" s="46"/>
      <c r="C10" s="47" t="s">
        <v>31</v>
      </c>
      <c r="D10" s="538">
        <f>+D12+D177</f>
        <v>0</v>
      </c>
      <c r="E10" s="538">
        <f>+E12+E177</f>
        <v>0</v>
      </c>
      <c r="F10" s="538">
        <f>+F12+F177</f>
        <v>0</v>
      </c>
      <c r="G10" s="538">
        <f>+G12+G177</f>
        <v>0</v>
      </c>
    </row>
    <row r="11" spans="1:8" s="41" customFormat="1" ht="18" customHeight="1">
      <c r="A11" s="48"/>
      <c r="B11" s="46"/>
      <c r="C11" s="49" t="s">
        <v>58</v>
      </c>
      <c r="D11" s="50"/>
      <c r="E11" s="50"/>
      <c r="F11" s="50"/>
      <c r="G11" s="51"/>
    </row>
    <row r="12" spans="1:8" s="41" customFormat="1" ht="33.85">
      <c r="A12" s="52"/>
      <c r="B12" s="443"/>
      <c r="C12" s="383" t="s">
        <v>96</v>
      </c>
      <c r="D12" s="116">
        <f>+D14+D33+D52+D65+D90+D115+D134</f>
        <v>-69123.900000000052</v>
      </c>
      <c r="E12" s="116">
        <f>ROUND(E14+E33+E52+E65+E90+E115+E134,1)</f>
        <v>0</v>
      </c>
      <c r="F12" s="116">
        <f>ROUND(F14+F33+F52+F65+F90+F115+F134,1)</f>
        <v>0</v>
      </c>
      <c r="G12" s="116">
        <f>+G14+G33+G52+G65+G90+G115+G134</f>
        <v>0</v>
      </c>
    </row>
    <row r="13" spans="1:8" s="41" customFormat="1">
      <c r="A13" s="614">
        <v>1045</v>
      </c>
      <c r="B13" s="617"/>
      <c r="C13" s="53" t="s">
        <v>42</v>
      </c>
      <c r="D13" s="54"/>
      <c r="E13" s="54"/>
      <c r="F13" s="54"/>
      <c r="G13" s="55"/>
    </row>
    <row r="14" spans="1:8" s="41" customFormat="1" ht="33.85">
      <c r="A14" s="615"/>
      <c r="B14" s="618"/>
      <c r="C14" s="23" t="s">
        <v>150</v>
      </c>
      <c r="D14" s="116">
        <f>+D21+D27</f>
        <v>-4953.9000000000015</v>
      </c>
      <c r="E14" s="116">
        <f t="shared" ref="E14:G14" si="0">+E21+E27</f>
        <v>44565.39999999998</v>
      </c>
      <c r="F14" s="116">
        <f t="shared" si="0"/>
        <v>235989.40000000002</v>
      </c>
      <c r="G14" s="116">
        <f t="shared" si="0"/>
        <v>156247.5</v>
      </c>
      <c r="H14" s="57"/>
    </row>
    <row r="15" spans="1:8" s="41" customFormat="1">
      <c r="A15" s="615"/>
      <c r="B15" s="618"/>
      <c r="C15" s="58" t="s">
        <v>43</v>
      </c>
      <c r="D15" s="54"/>
      <c r="E15" s="54"/>
      <c r="F15" s="54"/>
      <c r="G15" s="55"/>
    </row>
    <row r="16" spans="1:8" s="41" customFormat="1" ht="90">
      <c r="A16" s="615"/>
      <c r="B16" s="618"/>
      <c r="C16" s="59" t="s">
        <v>153</v>
      </c>
      <c r="D16" s="60"/>
      <c r="E16" s="60"/>
      <c r="F16" s="60"/>
      <c r="G16" s="61"/>
    </row>
    <row r="17" spans="1:8" s="41" customFormat="1">
      <c r="A17" s="615"/>
      <c r="B17" s="618"/>
      <c r="C17" s="58" t="s">
        <v>44</v>
      </c>
      <c r="D17" s="60"/>
      <c r="E17" s="60"/>
      <c r="F17" s="60"/>
      <c r="G17" s="61"/>
    </row>
    <row r="18" spans="1:8" s="41" customFormat="1" ht="72">
      <c r="A18" s="615"/>
      <c r="B18" s="618"/>
      <c r="C18" s="59" t="s">
        <v>154</v>
      </c>
      <c r="D18" s="60"/>
      <c r="E18" s="60"/>
      <c r="F18" s="60"/>
      <c r="G18" s="61"/>
    </row>
    <row r="19" spans="1:8" s="41" customFormat="1" ht="23.75" customHeight="1">
      <c r="A19" s="615"/>
      <c r="B19" s="60"/>
      <c r="C19" s="62" t="s">
        <v>80</v>
      </c>
      <c r="D19" s="62"/>
      <c r="E19" s="62"/>
      <c r="F19" s="62"/>
      <c r="G19" s="63"/>
    </row>
    <row r="20" spans="1:8" s="41" customFormat="1">
      <c r="A20" s="615"/>
      <c r="B20" s="613">
        <v>32001</v>
      </c>
      <c r="C20" s="64" t="s">
        <v>45</v>
      </c>
      <c r="D20" s="65"/>
      <c r="E20" s="65"/>
      <c r="F20" s="65"/>
      <c r="G20" s="61"/>
    </row>
    <row r="21" spans="1:8" s="41" customFormat="1" ht="67.650000000000006">
      <c r="A21" s="615"/>
      <c r="B21" s="613"/>
      <c r="C21" s="66" t="s">
        <v>172</v>
      </c>
      <c r="D21" s="118">
        <f>+'Havelvats 2 '!G126</f>
        <v>-4953.9000000000015</v>
      </c>
      <c r="E21" s="118">
        <f>+'Havelvats 2 '!H126</f>
        <v>44565.39999999998</v>
      </c>
      <c r="F21" s="118">
        <f>+'Havelvats 2 '!I126</f>
        <v>114833.90000000002</v>
      </c>
      <c r="G21" s="118">
        <f>+'Havelvats 2 '!J126</f>
        <v>35092</v>
      </c>
      <c r="H21" s="68"/>
    </row>
    <row r="22" spans="1:8" s="41" customFormat="1">
      <c r="A22" s="615"/>
      <c r="B22" s="613"/>
      <c r="C22" s="64" t="s">
        <v>46</v>
      </c>
      <c r="D22" s="60"/>
      <c r="E22" s="60"/>
      <c r="F22" s="60"/>
      <c r="G22" s="61"/>
    </row>
    <row r="23" spans="1:8" s="41" customFormat="1" ht="72">
      <c r="A23" s="615"/>
      <c r="B23" s="613"/>
      <c r="C23" s="59" t="s">
        <v>198</v>
      </c>
      <c r="D23" s="60"/>
      <c r="E23" s="60"/>
      <c r="F23" s="60"/>
      <c r="G23" s="61"/>
    </row>
    <row r="24" spans="1:8" s="41" customFormat="1">
      <c r="A24" s="615"/>
      <c r="B24" s="613"/>
      <c r="C24" s="64" t="s">
        <v>47</v>
      </c>
      <c r="D24" s="60"/>
      <c r="E24" s="60"/>
      <c r="F24" s="60"/>
      <c r="G24" s="61"/>
    </row>
    <row r="25" spans="1:8" s="41" customFormat="1" ht="54">
      <c r="A25" s="615"/>
      <c r="B25" s="613"/>
      <c r="C25" s="69" t="s">
        <v>108</v>
      </c>
      <c r="D25" s="60"/>
      <c r="E25" s="60"/>
      <c r="F25" s="60"/>
      <c r="G25" s="61"/>
    </row>
    <row r="26" spans="1:8" s="41" customFormat="1">
      <c r="A26" s="615"/>
      <c r="B26" s="613">
        <v>32004</v>
      </c>
      <c r="C26" s="64" t="s">
        <v>45</v>
      </c>
      <c r="D26" s="65"/>
      <c r="E26" s="65"/>
      <c r="F26" s="65"/>
      <c r="G26" s="61"/>
    </row>
    <row r="27" spans="1:8" s="41" customFormat="1" ht="67.650000000000006">
      <c r="A27" s="615"/>
      <c r="B27" s="613"/>
      <c r="C27" s="66" t="s">
        <v>404</v>
      </c>
      <c r="D27" s="118">
        <f>+'Havelvats 2 '!G135</f>
        <v>0</v>
      </c>
      <c r="E27" s="118">
        <f>+'Havelvats 2 '!H135</f>
        <v>0</v>
      </c>
      <c r="F27" s="118">
        <f>+'Havelvats 2 '!I135</f>
        <v>121155.5</v>
      </c>
      <c r="G27" s="118">
        <f>+'Havelvats 2 '!J135</f>
        <v>121155.5</v>
      </c>
      <c r="H27" s="68"/>
    </row>
    <row r="28" spans="1:8" s="41" customFormat="1">
      <c r="A28" s="615"/>
      <c r="B28" s="613"/>
      <c r="C28" s="64" t="s">
        <v>46</v>
      </c>
      <c r="D28" s="60"/>
      <c r="E28" s="60"/>
      <c r="F28" s="60"/>
      <c r="G28" s="61"/>
    </row>
    <row r="29" spans="1:8" s="41" customFormat="1" ht="36">
      <c r="A29" s="615"/>
      <c r="B29" s="613"/>
      <c r="C29" s="59" t="s">
        <v>405</v>
      </c>
      <c r="D29" s="60"/>
      <c r="E29" s="60"/>
      <c r="F29" s="60"/>
      <c r="G29" s="61"/>
    </row>
    <row r="30" spans="1:8" s="41" customFormat="1">
      <c r="A30" s="615"/>
      <c r="B30" s="613"/>
      <c r="C30" s="64" t="s">
        <v>47</v>
      </c>
      <c r="D30" s="60"/>
      <c r="E30" s="60"/>
      <c r="F30" s="60"/>
      <c r="G30" s="61"/>
    </row>
    <row r="31" spans="1:8" s="41" customFormat="1" ht="54">
      <c r="A31" s="616"/>
      <c r="B31" s="613"/>
      <c r="C31" s="69" t="s">
        <v>108</v>
      </c>
      <c r="D31" s="60"/>
      <c r="E31" s="60"/>
      <c r="F31" s="60"/>
      <c r="G31" s="61"/>
    </row>
    <row r="32" spans="1:8" s="41" customFormat="1">
      <c r="A32" s="614">
        <v>1075</v>
      </c>
      <c r="B32" s="617"/>
      <c r="C32" s="53" t="s">
        <v>42</v>
      </c>
      <c r="D32" s="54"/>
      <c r="E32" s="54"/>
      <c r="F32" s="54"/>
      <c r="G32" s="55"/>
    </row>
    <row r="33" spans="1:8" s="41" customFormat="1" ht="19.95" customHeight="1">
      <c r="A33" s="615"/>
      <c r="B33" s="618"/>
      <c r="C33" s="23" t="s">
        <v>199</v>
      </c>
      <c r="D33" s="116">
        <f>D40+D46</f>
        <v>12054.3</v>
      </c>
      <c r="E33" s="116">
        <f t="shared" ref="E33:G33" si="1">E40+E46</f>
        <v>36163</v>
      </c>
      <c r="F33" s="116">
        <f t="shared" si="1"/>
        <v>60271.7</v>
      </c>
      <c r="G33" s="116">
        <f t="shared" si="1"/>
        <v>80362.3</v>
      </c>
      <c r="H33" s="57"/>
    </row>
    <row r="34" spans="1:8" s="41" customFormat="1">
      <c r="A34" s="615"/>
      <c r="B34" s="618"/>
      <c r="C34" s="58" t="s">
        <v>43</v>
      </c>
      <c r="D34" s="118"/>
      <c r="E34" s="118"/>
      <c r="F34" s="118"/>
      <c r="G34" s="118"/>
    </row>
    <row r="35" spans="1:8" s="41" customFormat="1" ht="36">
      <c r="A35" s="615"/>
      <c r="B35" s="618"/>
      <c r="C35" s="59" t="s">
        <v>200</v>
      </c>
      <c r="D35" s="118"/>
      <c r="E35" s="118"/>
      <c r="F35" s="118"/>
      <c r="G35" s="118"/>
    </row>
    <row r="36" spans="1:8" s="41" customFormat="1">
      <c r="A36" s="615"/>
      <c r="B36" s="618"/>
      <c r="C36" s="58" t="s">
        <v>44</v>
      </c>
      <c r="D36" s="118"/>
      <c r="E36" s="118"/>
      <c r="F36" s="118"/>
      <c r="G36" s="118"/>
    </row>
    <row r="37" spans="1:8" s="41" customFormat="1" ht="36">
      <c r="A37" s="615"/>
      <c r="B37" s="618"/>
      <c r="C37" s="59" t="s">
        <v>201</v>
      </c>
      <c r="D37" s="118"/>
      <c r="E37" s="118"/>
      <c r="F37" s="118"/>
      <c r="G37" s="118"/>
    </row>
    <row r="38" spans="1:8" s="41" customFormat="1" ht="24" customHeight="1">
      <c r="A38" s="615"/>
      <c r="B38" s="60"/>
      <c r="C38" s="62" t="s">
        <v>80</v>
      </c>
      <c r="D38" s="118"/>
      <c r="E38" s="118"/>
      <c r="F38" s="118"/>
      <c r="G38" s="118"/>
    </row>
    <row r="39" spans="1:8" s="41" customFormat="1">
      <c r="A39" s="615"/>
      <c r="B39" s="613">
        <v>21001</v>
      </c>
      <c r="C39" s="64" t="s">
        <v>45</v>
      </c>
      <c r="D39" s="118"/>
      <c r="E39" s="118"/>
      <c r="F39" s="118"/>
      <c r="G39" s="118"/>
    </row>
    <row r="40" spans="1:8" s="41" customFormat="1" ht="33.85">
      <c r="A40" s="615"/>
      <c r="B40" s="613"/>
      <c r="C40" s="70" t="s">
        <v>260</v>
      </c>
      <c r="D40" s="118">
        <f>+'Havelvats 2 '!G71</f>
        <v>0</v>
      </c>
      <c r="E40" s="118">
        <f>+'Havelvats 2 '!H71</f>
        <v>0</v>
      </c>
      <c r="F40" s="118">
        <f>+'Havelvats 2 '!I71</f>
        <v>0</v>
      </c>
      <c r="G40" s="118">
        <f>+'Havelvats 2 '!J71</f>
        <v>0</v>
      </c>
      <c r="H40" s="68"/>
    </row>
    <row r="41" spans="1:8" s="41" customFormat="1">
      <c r="A41" s="615"/>
      <c r="B41" s="613"/>
      <c r="C41" s="64" t="s">
        <v>46</v>
      </c>
      <c r="D41" s="60"/>
      <c r="E41" s="60"/>
      <c r="F41" s="60"/>
      <c r="G41" s="61"/>
    </row>
    <row r="42" spans="1:8" s="41" customFormat="1" ht="90">
      <c r="A42" s="615"/>
      <c r="B42" s="613"/>
      <c r="C42" s="59" t="s">
        <v>406</v>
      </c>
      <c r="D42" s="60"/>
      <c r="E42" s="60"/>
      <c r="F42" s="60"/>
      <c r="G42" s="61"/>
    </row>
    <row r="43" spans="1:8" s="41" customFormat="1">
      <c r="A43" s="615"/>
      <c r="B43" s="613"/>
      <c r="C43" s="64" t="s">
        <v>47</v>
      </c>
      <c r="D43" s="60"/>
      <c r="E43" s="60"/>
      <c r="F43" s="60"/>
      <c r="G43" s="61"/>
    </row>
    <row r="44" spans="1:8" s="41" customFormat="1" ht="36">
      <c r="A44" s="615"/>
      <c r="B44" s="613"/>
      <c r="C44" s="69" t="s">
        <v>407</v>
      </c>
      <c r="D44" s="60"/>
      <c r="E44" s="60"/>
      <c r="F44" s="60"/>
      <c r="G44" s="61"/>
    </row>
    <row r="45" spans="1:8" s="41" customFormat="1">
      <c r="A45" s="615"/>
      <c r="B45" s="613">
        <v>32001</v>
      </c>
      <c r="C45" s="64" t="s">
        <v>45</v>
      </c>
      <c r="D45" s="118"/>
      <c r="E45" s="118"/>
      <c r="F45" s="118"/>
      <c r="G45" s="118"/>
    </row>
    <row r="46" spans="1:8" s="41" customFormat="1" ht="33.85">
      <c r="A46" s="615"/>
      <c r="B46" s="613"/>
      <c r="C46" s="70" t="s">
        <v>484</v>
      </c>
      <c r="D46" s="118">
        <f>+'Havelvats 2 '!G23</f>
        <v>12054.3</v>
      </c>
      <c r="E46" s="118">
        <f>+'Havelvats 2 '!H23</f>
        <v>36163</v>
      </c>
      <c r="F46" s="118">
        <f>+'Havelvats 2 '!I23</f>
        <v>60271.7</v>
      </c>
      <c r="G46" s="118">
        <f>+'Havelvats 2 '!J23</f>
        <v>80362.3</v>
      </c>
      <c r="H46" s="68"/>
    </row>
    <row r="47" spans="1:8" s="41" customFormat="1">
      <c r="A47" s="615"/>
      <c r="B47" s="613"/>
      <c r="C47" s="64" t="s">
        <v>46</v>
      </c>
      <c r="D47" s="60"/>
      <c r="E47" s="60"/>
      <c r="F47" s="60"/>
      <c r="G47" s="61"/>
    </row>
    <row r="48" spans="1:8" s="41" customFormat="1" ht="72">
      <c r="A48" s="615"/>
      <c r="B48" s="613"/>
      <c r="C48" s="59" t="s">
        <v>503</v>
      </c>
      <c r="D48" s="60"/>
      <c r="E48" s="60"/>
      <c r="F48" s="60"/>
      <c r="G48" s="61"/>
    </row>
    <row r="49" spans="1:11" s="41" customFormat="1">
      <c r="A49" s="615"/>
      <c r="B49" s="613"/>
      <c r="C49" s="64" t="s">
        <v>47</v>
      </c>
      <c r="D49" s="60"/>
      <c r="E49" s="60"/>
      <c r="F49" s="60"/>
      <c r="G49" s="61"/>
    </row>
    <row r="50" spans="1:11" s="41" customFormat="1" ht="54">
      <c r="A50" s="616"/>
      <c r="B50" s="613"/>
      <c r="C50" s="69" t="s">
        <v>108</v>
      </c>
      <c r="D50" s="60"/>
      <c r="E50" s="60"/>
      <c r="F50" s="60"/>
      <c r="G50" s="61"/>
    </row>
    <row r="51" spans="1:11" s="41" customFormat="1">
      <c r="A51" s="637">
        <v>1111</v>
      </c>
      <c r="B51" s="617"/>
      <c r="C51" s="53" t="s">
        <v>42</v>
      </c>
      <c r="D51" s="54"/>
      <c r="E51" s="54"/>
      <c r="F51" s="54"/>
      <c r="G51" s="55"/>
    </row>
    <row r="52" spans="1:11" s="41" customFormat="1" ht="33.85">
      <c r="A52" s="637"/>
      <c r="B52" s="618"/>
      <c r="C52" s="23" t="s">
        <v>151</v>
      </c>
      <c r="D52" s="116">
        <f>+D59</f>
        <v>0</v>
      </c>
      <c r="E52" s="116">
        <f>+E59</f>
        <v>0</v>
      </c>
      <c r="F52" s="116">
        <f t="shared" ref="F52:G52" si="2">+F59</f>
        <v>0</v>
      </c>
      <c r="G52" s="56">
        <f t="shared" si="2"/>
        <v>-126342.90000000001</v>
      </c>
      <c r="H52" s="57"/>
    </row>
    <row r="53" spans="1:11" s="41" customFormat="1">
      <c r="A53" s="637"/>
      <c r="B53" s="618"/>
      <c r="C53" s="58" t="s">
        <v>43</v>
      </c>
      <c r="D53" s="54"/>
      <c r="E53" s="54"/>
      <c r="F53" s="54"/>
      <c r="G53" s="55"/>
    </row>
    <row r="54" spans="1:11" s="41" customFormat="1" ht="36">
      <c r="A54" s="637"/>
      <c r="B54" s="618"/>
      <c r="C54" s="59" t="s">
        <v>155</v>
      </c>
      <c r="D54" s="60"/>
      <c r="E54" s="60"/>
      <c r="F54" s="60"/>
      <c r="G54" s="61"/>
    </row>
    <row r="55" spans="1:11" s="41" customFormat="1">
      <c r="A55" s="637"/>
      <c r="B55" s="618"/>
      <c r="C55" s="58" t="s">
        <v>44</v>
      </c>
      <c r="D55" s="60"/>
      <c r="E55" s="60"/>
      <c r="F55" s="60"/>
      <c r="G55" s="61"/>
    </row>
    <row r="56" spans="1:11" s="41" customFormat="1" ht="72">
      <c r="A56" s="637"/>
      <c r="B56" s="618"/>
      <c r="C56" s="59" t="s">
        <v>156</v>
      </c>
      <c r="D56" s="60"/>
      <c r="E56" s="60"/>
      <c r="F56" s="60"/>
      <c r="G56" s="61"/>
    </row>
    <row r="57" spans="1:11" s="41" customFormat="1" ht="23.75" customHeight="1">
      <c r="A57" s="637"/>
      <c r="B57" s="60"/>
      <c r="C57" s="62" t="s">
        <v>80</v>
      </c>
      <c r="D57" s="62"/>
      <c r="E57" s="62"/>
      <c r="F57" s="62"/>
      <c r="G57" s="63"/>
    </row>
    <row r="58" spans="1:11" s="41" customFormat="1">
      <c r="A58" s="637"/>
      <c r="B58" s="613">
        <v>32001</v>
      </c>
      <c r="C58" s="58" t="s">
        <v>45</v>
      </c>
      <c r="D58" s="65"/>
      <c r="E58" s="65"/>
      <c r="F58" s="65"/>
      <c r="G58" s="61"/>
    </row>
    <row r="59" spans="1:11" s="41" customFormat="1" ht="50.75">
      <c r="A59" s="637"/>
      <c r="B59" s="613"/>
      <c r="C59" s="71" t="s">
        <v>408</v>
      </c>
      <c r="D59" s="118">
        <f>+'Havelvats 2 '!G146</f>
        <v>0</v>
      </c>
      <c r="E59" s="118">
        <f>+'Havelvats 2 '!H146</f>
        <v>0</v>
      </c>
      <c r="F59" s="118">
        <f>+'Havelvats 2 '!I146</f>
        <v>0</v>
      </c>
      <c r="G59" s="67">
        <f>+'Havelvats 2 '!J146</f>
        <v>-126342.90000000001</v>
      </c>
      <c r="H59" s="68"/>
    </row>
    <row r="60" spans="1:11" s="41" customFormat="1">
      <c r="A60" s="637"/>
      <c r="B60" s="613"/>
      <c r="C60" s="58" t="s">
        <v>46</v>
      </c>
      <c r="D60" s="60"/>
      <c r="E60" s="60"/>
      <c r="F60" s="60"/>
      <c r="G60" s="61"/>
    </row>
    <row r="61" spans="1:11" s="41" customFormat="1" ht="54">
      <c r="A61" s="637"/>
      <c r="B61" s="613"/>
      <c r="C61" s="59" t="s">
        <v>409</v>
      </c>
      <c r="D61" s="60"/>
      <c r="E61" s="60"/>
      <c r="F61" s="60"/>
      <c r="G61" s="61"/>
    </row>
    <row r="62" spans="1:11" s="41" customFormat="1">
      <c r="A62" s="637"/>
      <c r="B62" s="613"/>
      <c r="C62" s="58" t="s">
        <v>47</v>
      </c>
      <c r="D62" s="60"/>
      <c r="E62" s="60"/>
      <c r="F62" s="60"/>
      <c r="G62" s="61"/>
    </row>
    <row r="63" spans="1:11" s="41" customFormat="1" ht="54">
      <c r="A63" s="637"/>
      <c r="B63" s="613"/>
      <c r="C63" s="59" t="s">
        <v>108</v>
      </c>
      <c r="D63" s="60"/>
      <c r="E63" s="60"/>
      <c r="F63" s="60"/>
      <c r="G63" s="61"/>
    </row>
    <row r="64" spans="1:11" s="41" customFormat="1">
      <c r="A64" s="611">
        <v>1146</v>
      </c>
      <c r="B64" s="617"/>
      <c r="C64" s="53" t="s">
        <v>42</v>
      </c>
      <c r="D64" s="54"/>
      <c r="E64" s="54"/>
      <c r="F64" s="54"/>
      <c r="G64" s="55"/>
      <c r="I64" s="39"/>
      <c r="J64" s="39"/>
      <c r="K64" s="39"/>
    </row>
    <row r="65" spans="1:11" s="41" customFormat="1" ht="19.399999999999999" customHeight="1">
      <c r="A65" s="611"/>
      <c r="B65" s="618"/>
      <c r="C65" s="23" t="s">
        <v>401</v>
      </c>
      <c r="D65" s="116">
        <f>+D72+D78+D84</f>
        <v>-83651.599999999991</v>
      </c>
      <c r="E65" s="116">
        <f t="shared" ref="E65:G65" si="3">+E72+E78+E84</f>
        <v>-209008.30000000008</v>
      </c>
      <c r="F65" s="116">
        <f t="shared" si="3"/>
        <v>-378990.7000000003</v>
      </c>
      <c r="G65" s="116">
        <f t="shared" si="3"/>
        <v>-263297.70000000123</v>
      </c>
      <c r="H65" s="57"/>
      <c r="I65" s="39"/>
      <c r="J65" s="39"/>
      <c r="K65" s="39"/>
    </row>
    <row r="66" spans="1:11" s="41" customFormat="1">
      <c r="A66" s="611"/>
      <c r="B66" s="618"/>
      <c r="C66" s="58" t="s">
        <v>43</v>
      </c>
      <c r="D66" s="54"/>
      <c r="E66" s="54"/>
      <c r="F66" s="54"/>
      <c r="G66" s="55"/>
      <c r="I66" s="39"/>
      <c r="J66" s="39"/>
      <c r="K66" s="39"/>
    </row>
    <row r="67" spans="1:11" s="41" customFormat="1">
      <c r="A67" s="611"/>
      <c r="B67" s="618"/>
      <c r="C67" s="59" t="s">
        <v>410</v>
      </c>
      <c r="D67" s="60"/>
      <c r="E67" s="60"/>
      <c r="F67" s="60"/>
      <c r="G67" s="61"/>
      <c r="I67" s="39"/>
      <c r="J67" s="39"/>
      <c r="K67" s="39"/>
    </row>
    <row r="68" spans="1:11" s="41" customFormat="1">
      <c r="A68" s="611"/>
      <c r="B68" s="618"/>
      <c r="C68" s="58" t="s">
        <v>44</v>
      </c>
      <c r="D68" s="60"/>
      <c r="E68" s="60"/>
      <c r="F68" s="60"/>
      <c r="G68" s="61"/>
      <c r="I68" s="39"/>
      <c r="J68" s="39"/>
      <c r="K68" s="39"/>
    </row>
    <row r="69" spans="1:11" s="41" customFormat="1" ht="90">
      <c r="A69" s="611"/>
      <c r="B69" s="618"/>
      <c r="C69" s="59" t="s">
        <v>411</v>
      </c>
      <c r="D69" s="60"/>
      <c r="E69" s="60"/>
      <c r="F69" s="60"/>
      <c r="G69" s="61"/>
    </row>
    <row r="70" spans="1:11" s="41" customFormat="1" ht="23.75" customHeight="1">
      <c r="A70" s="611"/>
      <c r="B70" s="60"/>
      <c r="C70" s="62" t="s">
        <v>80</v>
      </c>
      <c r="D70" s="62"/>
      <c r="E70" s="62"/>
      <c r="F70" s="62"/>
      <c r="G70" s="63"/>
    </row>
    <row r="71" spans="1:11" s="41" customFormat="1">
      <c r="A71" s="612"/>
      <c r="B71" s="613">
        <v>11001</v>
      </c>
      <c r="C71" s="58" t="s">
        <v>45</v>
      </c>
      <c r="D71" s="65"/>
      <c r="E71" s="65"/>
      <c r="F71" s="65"/>
      <c r="G71" s="61"/>
    </row>
    <row r="72" spans="1:11" s="41" customFormat="1" ht="16.95">
      <c r="A72" s="612"/>
      <c r="B72" s="613"/>
      <c r="C72" s="72" t="s">
        <v>496</v>
      </c>
      <c r="D72" s="118">
        <f>+'Havelvats 2 '!G92</f>
        <v>-50000</v>
      </c>
      <c r="E72" s="118">
        <f>+'Havelvats 2 '!H92</f>
        <v>-161948.29999999999</v>
      </c>
      <c r="F72" s="118">
        <f>+'Havelvats 2 '!I92</f>
        <v>-293486</v>
      </c>
      <c r="G72" s="118">
        <f>+'Havelvats 2 '!J92</f>
        <v>-223848.3</v>
      </c>
      <c r="H72" s="68"/>
    </row>
    <row r="73" spans="1:11" s="41" customFormat="1">
      <c r="A73" s="612"/>
      <c r="B73" s="613"/>
      <c r="C73" s="58" t="s">
        <v>46</v>
      </c>
      <c r="D73" s="60"/>
      <c r="E73" s="60"/>
      <c r="F73" s="60"/>
      <c r="G73" s="61"/>
    </row>
    <row r="74" spans="1:11" s="41" customFormat="1" ht="54">
      <c r="A74" s="612"/>
      <c r="B74" s="613"/>
      <c r="C74" s="59" t="s">
        <v>504</v>
      </c>
      <c r="D74" s="60"/>
      <c r="E74" s="60"/>
      <c r="F74" s="60"/>
      <c r="G74" s="61"/>
    </row>
    <row r="75" spans="1:11" s="41" customFormat="1">
      <c r="A75" s="612"/>
      <c r="B75" s="613"/>
      <c r="C75" s="58" t="s">
        <v>47</v>
      </c>
      <c r="D75" s="60"/>
      <c r="E75" s="60"/>
      <c r="F75" s="60"/>
      <c r="G75" s="61"/>
    </row>
    <row r="76" spans="1:11" s="41" customFormat="1">
      <c r="A76" s="612"/>
      <c r="B76" s="613"/>
      <c r="C76" s="59" t="s">
        <v>48</v>
      </c>
      <c r="D76" s="60"/>
      <c r="E76" s="60"/>
      <c r="F76" s="60"/>
      <c r="G76" s="61"/>
    </row>
    <row r="77" spans="1:11" s="41" customFormat="1">
      <c r="A77" s="612"/>
      <c r="B77" s="613">
        <v>11002</v>
      </c>
      <c r="C77" s="58" t="s">
        <v>45</v>
      </c>
      <c r="D77" s="65"/>
      <c r="E77" s="65"/>
      <c r="F77" s="65"/>
      <c r="G77" s="61"/>
    </row>
    <row r="78" spans="1:11" s="41" customFormat="1" ht="16.95">
      <c r="A78" s="612"/>
      <c r="B78" s="613"/>
      <c r="C78" s="72" t="s">
        <v>502</v>
      </c>
      <c r="D78" s="118">
        <f>+'Havelvats 2 '!G109</f>
        <v>-31178.2</v>
      </c>
      <c r="E78" s="118">
        <f>+'Havelvats 2 '!H109</f>
        <v>-52000</v>
      </c>
      <c r="F78" s="118">
        <f>+'Havelvats 2 '!I109</f>
        <v>-90444.3</v>
      </c>
      <c r="G78" s="118">
        <f>+'Havelvats 2 '!J109</f>
        <v>0</v>
      </c>
      <c r="H78" s="68"/>
    </row>
    <row r="79" spans="1:11" s="41" customFormat="1">
      <c r="A79" s="612"/>
      <c r="B79" s="613"/>
      <c r="C79" s="58" t="s">
        <v>46</v>
      </c>
      <c r="D79" s="60"/>
      <c r="E79" s="60"/>
      <c r="F79" s="60"/>
      <c r="G79" s="61"/>
    </row>
    <row r="80" spans="1:11" s="41" customFormat="1" ht="54">
      <c r="A80" s="612"/>
      <c r="B80" s="613"/>
      <c r="C80" s="59" t="s">
        <v>505</v>
      </c>
      <c r="D80" s="60"/>
      <c r="E80" s="60"/>
      <c r="F80" s="60"/>
      <c r="G80" s="61"/>
    </row>
    <row r="81" spans="1:8" s="41" customFormat="1">
      <c r="A81" s="612"/>
      <c r="B81" s="613"/>
      <c r="C81" s="58" t="s">
        <v>47</v>
      </c>
      <c r="D81" s="60"/>
      <c r="E81" s="60"/>
      <c r="F81" s="60"/>
      <c r="G81" s="61"/>
    </row>
    <row r="82" spans="1:8" s="41" customFormat="1">
      <c r="A82" s="612"/>
      <c r="B82" s="613"/>
      <c r="C82" s="59" t="s">
        <v>48</v>
      </c>
      <c r="D82" s="60"/>
      <c r="E82" s="60"/>
      <c r="F82" s="60"/>
      <c r="G82" s="61"/>
    </row>
    <row r="83" spans="1:8" s="41" customFormat="1">
      <c r="A83" s="611"/>
      <c r="B83" s="613">
        <v>12010</v>
      </c>
      <c r="C83" s="58" t="s">
        <v>45</v>
      </c>
      <c r="D83" s="65"/>
      <c r="E83" s="65"/>
      <c r="F83" s="65"/>
      <c r="G83" s="61"/>
    </row>
    <row r="84" spans="1:8" s="41" customFormat="1" ht="33.85">
      <c r="A84" s="611"/>
      <c r="B84" s="613"/>
      <c r="C84" s="72" t="s">
        <v>294</v>
      </c>
      <c r="D84" s="118">
        <f>+'Havelvats 2 '!G157</f>
        <v>-2473.3999999999978</v>
      </c>
      <c r="E84" s="118">
        <f>+'Havelvats 2 '!H157</f>
        <v>4939.9999999999127</v>
      </c>
      <c r="F84" s="118">
        <f>+'Havelvats 2 '!I157</f>
        <v>4939.5999999996857</v>
      </c>
      <c r="G84" s="67">
        <f>+'Havelvats 2 '!J157</f>
        <v>-39449.400000001246</v>
      </c>
      <c r="H84" s="68"/>
    </row>
    <row r="85" spans="1:8" s="41" customFormat="1">
      <c r="A85" s="611"/>
      <c r="B85" s="613"/>
      <c r="C85" s="58" t="s">
        <v>46</v>
      </c>
      <c r="D85" s="60"/>
      <c r="E85" s="60"/>
      <c r="F85" s="60"/>
      <c r="G85" s="61"/>
    </row>
    <row r="86" spans="1:8" s="41" customFormat="1" ht="36">
      <c r="A86" s="611"/>
      <c r="B86" s="613"/>
      <c r="C86" s="59" t="s">
        <v>412</v>
      </c>
      <c r="D86" s="60"/>
      <c r="E86" s="60"/>
      <c r="F86" s="60"/>
      <c r="G86" s="61"/>
    </row>
    <row r="87" spans="1:8" s="41" customFormat="1">
      <c r="A87" s="611"/>
      <c r="B87" s="613"/>
      <c r="C87" s="58" t="s">
        <v>47</v>
      </c>
      <c r="D87" s="60"/>
      <c r="E87" s="60"/>
      <c r="F87" s="60"/>
      <c r="G87" s="61"/>
    </row>
    <row r="88" spans="1:8" s="41" customFormat="1">
      <c r="A88" s="611"/>
      <c r="B88" s="613"/>
      <c r="C88" s="59" t="s">
        <v>78</v>
      </c>
      <c r="D88" s="60"/>
      <c r="E88" s="60"/>
      <c r="F88" s="60"/>
      <c r="G88" s="61"/>
    </row>
    <row r="89" spans="1:8">
      <c r="A89" s="619">
        <v>1163</v>
      </c>
      <c r="B89" s="627"/>
      <c r="C89" s="73" t="s">
        <v>42</v>
      </c>
      <c r="D89" s="74"/>
      <c r="E89" s="74"/>
      <c r="F89" s="74"/>
      <c r="G89" s="75"/>
    </row>
    <row r="90" spans="1:8" ht="19.399999999999999" customHeight="1">
      <c r="A90" s="620"/>
      <c r="B90" s="628"/>
      <c r="C90" s="23" t="s">
        <v>73</v>
      </c>
      <c r="D90" s="116">
        <f>+D97+D103+D109</f>
        <v>-3244.4000000000015</v>
      </c>
      <c r="E90" s="116">
        <f t="shared" ref="E90:G90" si="4">+E97+E103+E109</f>
        <v>177532.5</v>
      </c>
      <c r="F90" s="116">
        <f t="shared" si="4"/>
        <v>329919.89999999997</v>
      </c>
      <c r="G90" s="116">
        <f t="shared" si="4"/>
        <v>-336508.69999999995</v>
      </c>
      <c r="H90" s="76"/>
    </row>
    <row r="91" spans="1:8">
      <c r="A91" s="620"/>
      <c r="B91" s="628"/>
      <c r="C91" s="77" t="s">
        <v>43</v>
      </c>
      <c r="D91" s="118"/>
      <c r="E91" s="118"/>
      <c r="F91" s="118"/>
      <c r="G91" s="79"/>
    </row>
    <row r="92" spans="1:8" ht="72">
      <c r="A92" s="620"/>
      <c r="B92" s="628"/>
      <c r="C92" s="80" t="s">
        <v>74</v>
      </c>
      <c r="D92" s="118"/>
      <c r="E92" s="118"/>
      <c r="F92" s="118"/>
      <c r="G92" s="79"/>
    </row>
    <row r="93" spans="1:8">
      <c r="A93" s="620"/>
      <c r="B93" s="628"/>
      <c r="C93" s="77" t="s">
        <v>44</v>
      </c>
      <c r="D93" s="118"/>
      <c r="E93" s="118"/>
      <c r="F93" s="118"/>
      <c r="G93" s="79"/>
    </row>
    <row r="94" spans="1:8" ht="36">
      <c r="A94" s="620"/>
      <c r="B94" s="629"/>
      <c r="C94" s="81" t="s">
        <v>75</v>
      </c>
      <c r="D94" s="118"/>
      <c r="E94" s="118"/>
      <c r="F94" s="118"/>
      <c r="G94" s="79"/>
    </row>
    <row r="95" spans="1:8" ht="24" customHeight="1">
      <c r="A95" s="620"/>
      <c r="B95" s="82"/>
      <c r="C95" s="103" t="s">
        <v>22</v>
      </c>
      <c r="D95" s="118"/>
      <c r="E95" s="118"/>
      <c r="F95" s="118"/>
      <c r="G95" s="84"/>
    </row>
    <row r="96" spans="1:8">
      <c r="A96" s="620"/>
      <c r="B96" s="622">
        <v>12001</v>
      </c>
      <c r="C96" s="77" t="s">
        <v>45</v>
      </c>
      <c r="D96" s="118"/>
      <c r="E96" s="118"/>
      <c r="F96" s="118"/>
      <c r="G96" s="86"/>
    </row>
    <row r="97" spans="1:8" ht="50.75">
      <c r="A97" s="620"/>
      <c r="B97" s="622"/>
      <c r="C97" s="87" t="s">
        <v>76</v>
      </c>
      <c r="D97" s="118">
        <f>+'Havelvats 2 '!G170</f>
        <v>0</v>
      </c>
      <c r="E97" s="118">
        <f>+'Havelvats 2 '!H170</f>
        <v>0</v>
      </c>
      <c r="F97" s="118">
        <f>+'Havelvats 2 '!I170</f>
        <v>0</v>
      </c>
      <c r="G97" s="88">
        <f>+'Havelvats 2 '!J170</f>
        <v>-43857.100000000006</v>
      </c>
      <c r="H97" s="76"/>
    </row>
    <row r="98" spans="1:8">
      <c r="A98" s="620"/>
      <c r="B98" s="622"/>
      <c r="C98" s="77" t="s">
        <v>46</v>
      </c>
      <c r="D98" s="118"/>
      <c r="E98" s="118"/>
      <c r="F98" s="118"/>
      <c r="G98" s="90"/>
    </row>
    <row r="99" spans="1:8" ht="36">
      <c r="A99" s="620"/>
      <c r="B99" s="622"/>
      <c r="C99" s="91" t="s">
        <v>77</v>
      </c>
      <c r="D99" s="118"/>
      <c r="E99" s="118"/>
      <c r="F99" s="118"/>
      <c r="G99" s="90"/>
    </row>
    <row r="100" spans="1:8">
      <c r="A100" s="620"/>
      <c r="B100" s="622"/>
      <c r="C100" s="77" t="s">
        <v>47</v>
      </c>
      <c r="D100" s="118"/>
      <c r="E100" s="118"/>
      <c r="F100" s="118"/>
      <c r="G100" s="92"/>
    </row>
    <row r="101" spans="1:8">
      <c r="A101" s="620"/>
      <c r="B101" s="622"/>
      <c r="C101" s="91" t="s">
        <v>78</v>
      </c>
      <c r="D101" s="118"/>
      <c r="E101" s="118"/>
      <c r="F101" s="118"/>
      <c r="G101" s="92"/>
    </row>
    <row r="102" spans="1:8">
      <c r="A102" s="620"/>
      <c r="B102" s="622">
        <v>32001</v>
      </c>
      <c r="C102" s="77" t="s">
        <v>45</v>
      </c>
      <c r="D102" s="118"/>
      <c r="E102" s="118"/>
      <c r="F102" s="118"/>
      <c r="G102" s="86"/>
    </row>
    <row r="103" spans="1:8">
      <c r="A103" s="620"/>
      <c r="B103" s="622"/>
      <c r="C103" s="87" t="s">
        <v>109</v>
      </c>
      <c r="D103" s="118">
        <f>+'Havelvats 2 '!G179</f>
        <v>-3244.4000000000015</v>
      </c>
      <c r="E103" s="118">
        <f>+'Havelvats 2 '!H179</f>
        <v>-252.80000000000291</v>
      </c>
      <c r="F103" s="118">
        <f>+'Havelvats 2 '!I179</f>
        <v>-252.70000000001164</v>
      </c>
      <c r="G103" s="88">
        <f>+'Havelvats 2 '!J179</f>
        <v>-800609.5</v>
      </c>
      <c r="H103" s="76"/>
    </row>
    <row r="104" spans="1:8">
      <c r="A104" s="620"/>
      <c r="B104" s="622"/>
      <c r="C104" s="77" t="s">
        <v>46</v>
      </c>
      <c r="D104" s="118"/>
      <c r="E104" s="118"/>
      <c r="F104" s="118"/>
      <c r="G104" s="90"/>
    </row>
    <row r="105" spans="1:8" ht="72">
      <c r="A105" s="620"/>
      <c r="B105" s="622"/>
      <c r="C105" s="91" t="s">
        <v>211</v>
      </c>
      <c r="D105" s="118"/>
      <c r="E105" s="118"/>
      <c r="F105" s="118"/>
      <c r="G105" s="90"/>
    </row>
    <row r="106" spans="1:8">
      <c r="A106" s="620"/>
      <c r="B106" s="622"/>
      <c r="C106" s="77" t="s">
        <v>47</v>
      </c>
      <c r="D106" s="118"/>
      <c r="E106" s="118"/>
      <c r="F106" s="118"/>
      <c r="G106" s="92"/>
    </row>
    <row r="107" spans="1:8" ht="54">
      <c r="A107" s="620"/>
      <c r="B107" s="622"/>
      <c r="C107" s="91" t="s">
        <v>108</v>
      </c>
      <c r="D107" s="118"/>
      <c r="E107" s="118"/>
      <c r="F107" s="118"/>
      <c r="G107" s="92"/>
    </row>
    <row r="108" spans="1:8">
      <c r="A108" s="620"/>
      <c r="B108" s="622">
        <v>32002</v>
      </c>
      <c r="C108" s="77" t="s">
        <v>45</v>
      </c>
      <c r="D108" s="118"/>
      <c r="E108" s="118"/>
      <c r="F108" s="118"/>
      <c r="G108" s="86"/>
    </row>
    <row r="109" spans="1:8">
      <c r="A109" s="620"/>
      <c r="B109" s="622"/>
      <c r="C109" s="87" t="s">
        <v>403</v>
      </c>
      <c r="D109" s="118">
        <f>+'Havelvats 2 '!G195</f>
        <v>0</v>
      </c>
      <c r="E109" s="118">
        <f>+'Havelvats 2 '!H195</f>
        <v>177785.3</v>
      </c>
      <c r="F109" s="118">
        <f>+'Havelvats 2 '!I195</f>
        <v>330172.59999999998</v>
      </c>
      <c r="G109" s="88">
        <f>+'Havelvats 2 '!J195</f>
        <v>507957.9</v>
      </c>
      <c r="H109" s="76"/>
    </row>
    <row r="110" spans="1:8">
      <c r="A110" s="620"/>
      <c r="B110" s="622"/>
      <c r="C110" s="77" t="s">
        <v>46</v>
      </c>
      <c r="D110" s="118"/>
      <c r="E110" s="118"/>
      <c r="F110" s="118"/>
      <c r="G110" s="393"/>
    </row>
    <row r="111" spans="1:8" ht="36">
      <c r="A111" s="620"/>
      <c r="B111" s="622"/>
      <c r="C111" s="91" t="s">
        <v>413</v>
      </c>
      <c r="D111" s="118"/>
      <c r="E111" s="118"/>
      <c r="F111" s="118"/>
      <c r="G111" s="393"/>
    </row>
    <row r="112" spans="1:8">
      <c r="A112" s="620"/>
      <c r="B112" s="622"/>
      <c r="C112" s="77" t="s">
        <v>47</v>
      </c>
      <c r="D112" s="49"/>
      <c r="E112" s="49"/>
      <c r="F112" s="49"/>
      <c r="G112" s="92"/>
    </row>
    <row r="113" spans="1:8" ht="54">
      <c r="A113" s="621"/>
      <c r="B113" s="622"/>
      <c r="C113" s="91" t="s">
        <v>108</v>
      </c>
      <c r="D113" s="49"/>
      <c r="E113" s="49"/>
      <c r="F113" s="49"/>
      <c r="G113" s="92"/>
    </row>
    <row r="114" spans="1:8" ht="15" customHeight="1">
      <c r="A114" s="623">
        <v>1168</v>
      </c>
      <c r="B114" s="627"/>
      <c r="C114" s="73" t="s">
        <v>42</v>
      </c>
      <c r="D114" s="74"/>
      <c r="E114" s="74"/>
      <c r="F114" s="74"/>
      <c r="G114" s="75"/>
    </row>
    <row r="115" spans="1:8" ht="19.399999999999999" customHeight="1">
      <c r="A115" s="623"/>
      <c r="B115" s="628"/>
      <c r="C115" s="23" t="s">
        <v>202</v>
      </c>
      <c r="D115" s="116">
        <f>D122+D128</f>
        <v>0</v>
      </c>
      <c r="E115" s="116">
        <f t="shared" ref="E115:G115" si="5">E122+E128</f>
        <v>0</v>
      </c>
      <c r="F115" s="116">
        <f t="shared" si="5"/>
        <v>-34489.400000000023</v>
      </c>
      <c r="G115" s="116">
        <f t="shared" si="5"/>
        <v>-37926.700000000026</v>
      </c>
      <c r="H115" s="76"/>
    </row>
    <row r="116" spans="1:8" ht="17.75" customHeight="1">
      <c r="A116" s="623"/>
      <c r="B116" s="628"/>
      <c r="C116" s="77" t="s">
        <v>43</v>
      </c>
      <c r="D116" s="78"/>
      <c r="E116" s="78"/>
      <c r="F116" s="78"/>
      <c r="G116" s="79"/>
    </row>
    <row r="117" spans="1:8" ht="54">
      <c r="A117" s="623"/>
      <c r="B117" s="628"/>
      <c r="C117" s="80" t="s">
        <v>203</v>
      </c>
      <c r="D117" s="78"/>
      <c r="E117" s="78"/>
      <c r="F117" s="78"/>
      <c r="G117" s="79"/>
    </row>
    <row r="118" spans="1:8" ht="18" customHeight="1">
      <c r="A118" s="623"/>
      <c r="B118" s="628"/>
      <c r="C118" s="77" t="s">
        <v>44</v>
      </c>
      <c r="D118" s="78"/>
      <c r="E118" s="78"/>
      <c r="F118" s="78"/>
      <c r="G118" s="79"/>
    </row>
    <row r="119" spans="1:8" ht="72">
      <c r="A119" s="623"/>
      <c r="B119" s="629"/>
      <c r="C119" s="81" t="s">
        <v>204</v>
      </c>
      <c r="D119" s="78"/>
      <c r="E119" s="78"/>
      <c r="F119" s="78"/>
      <c r="G119" s="79"/>
    </row>
    <row r="120" spans="1:8" ht="24" customHeight="1">
      <c r="A120" s="623"/>
      <c r="B120" s="82"/>
      <c r="C120" s="103" t="s">
        <v>22</v>
      </c>
      <c r="D120" s="83"/>
      <c r="E120" s="83"/>
      <c r="F120" s="83"/>
      <c r="G120" s="84"/>
    </row>
    <row r="121" spans="1:8" ht="17.75" customHeight="1">
      <c r="A121" s="623"/>
      <c r="B121" s="622">
        <v>32001</v>
      </c>
      <c r="C121" s="77" t="s">
        <v>45</v>
      </c>
      <c r="D121" s="118"/>
      <c r="E121" s="118"/>
      <c r="F121" s="118"/>
      <c r="G121" s="86"/>
    </row>
    <row r="122" spans="1:8" ht="33.85">
      <c r="A122" s="623"/>
      <c r="B122" s="622"/>
      <c r="C122" s="70" t="s">
        <v>185</v>
      </c>
      <c r="D122" s="118">
        <f>+'Havelvats 2 '!G38</f>
        <v>0</v>
      </c>
      <c r="E122" s="118">
        <f>+'Havelvats 2 '!H38</f>
        <v>6766.1</v>
      </c>
      <c r="F122" s="118">
        <f>+'Havelvats 2 '!I38</f>
        <v>-17183.400000000023</v>
      </c>
      <c r="G122" s="118">
        <f>+'Havelvats 2 '!J38</f>
        <v>-20620.700000000026</v>
      </c>
      <c r="H122" s="76"/>
    </row>
    <row r="123" spans="1:8" ht="16.8" customHeight="1">
      <c r="A123" s="623"/>
      <c r="B123" s="622"/>
      <c r="C123" s="77" t="s">
        <v>46</v>
      </c>
      <c r="D123" s="89"/>
      <c r="E123" s="89"/>
      <c r="F123" s="89"/>
      <c r="G123" s="90"/>
    </row>
    <row r="124" spans="1:8" ht="72">
      <c r="A124" s="623"/>
      <c r="B124" s="622"/>
      <c r="C124" s="91" t="s">
        <v>210</v>
      </c>
      <c r="D124" s="89"/>
      <c r="E124" s="89"/>
      <c r="F124" s="89"/>
      <c r="G124" s="90"/>
    </row>
    <row r="125" spans="1:8" ht="16.8" customHeight="1">
      <c r="A125" s="623"/>
      <c r="B125" s="622"/>
      <c r="C125" s="77" t="s">
        <v>47</v>
      </c>
      <c r="D125" s="49"/>
      <c r="E125" s="49"/>
      <c r="F125" s="49"/>
      <c r="G125" s="92"/>
    </row>
    <row r="126" spans="1:8" ht="54">
      <c r="A126" s="623"/>
      <c r="B126" s="622"/>
      <c r="C126" s="91" t="s">
        <v>108</v>
      </c>
      <c r="D126" s="49"/>
      <c r="E126" s="49"/>
      <c r="F126" s="49"/>
      <c r="G126" s="92"/>
    </row>
    <row r="127" spans="1:8" ht="17.75" customHeight="1">
      <c r="A127" s="623"/>
      <c r="B127" s="622">
        <v>32007</v>
      </c>
      <c r="C127" s="77" t="s">
        <v>45</v>
      </c>
      <c r="D127" s="118"/>
      <c r="E127" s="118"/>
      <c r="F127" s="118"/>
      <c r="G127" s="86"/>
    </row>
    <row r="128" spans="1:8" ht="33.85">
      <c r="A128" s="623"/>
      <c r="B128" s="622"/>
      <c r="C128" s="70" t="s">
        <v>299</v>
      </c>
      <c r="D128" s="118">
        <f>+'Havelvats 2 '!G56</f>
        <v>0</v>
      </c>
      <c r="E128" s="118">
        <f>+'Havelvats 2 '!H56</f>
        <v>-6766.1</v>
      </c>
      <c r="F128" s="118">
        <f>+'Havelvats 2 '!I56</f>
        <v>-17306</v>
      </c>
      <c r="G128" s="118">
        <f>+'Havelvats 2 '!J56</f>
        <v>-17306</v>
      </c>
      <c r="H128" s="76"/>
    </row>
    <row r="129" spans="1:8" ht="17.350000000000001" customHeight="1">
      <c r="A129" s="623"/>
      <c r="B129" s="622"/>
      <c r="C129" s="77" t="s">
        <v>46</v>
      </c>
      <c r="D129" s="89"/>
      <c r="E129" s="89"/>
      <c r="F129" s="89"/>
      <c r="G129" s="393"/>
    </row>
    <row r="130" spans="1:8" ht="36">
      <c r="A130" s="623"/>
      <c r="B130" s="622"/>
      <c r="C130" s="91" t="s">
        <v>414</v>
      </c>
      <c r="D130" s="89"/>
      <c r="E130" s="89"/>
      <c r="F130" s="89"/>
      <c r="G130" s="393"/>
    </row>
    <row r="131" spans="1:8" ht="17.350000000000001" customHeight="1">
      <c r="A131" s="623"/>
      <c r="B131" s="622"/>
      <c r="C131" s="77" t="s">
        <v>47</v>
      </c>
      <c r="D131" s="49"/>
      <c r="E131" s="49"/>
      <c r="F131" s="49"/>
      <c r="G131" s="92"/>
    </row>
    <row r="132" spans="1:8" ht="54">
      <c r="A132" s="623"/>
      <c r="B132" s="622"/>
      <c r="C132" s="91" t="s">
        <v>108</v>
      </c>
      <c r="D132" s="49"/>
      <c r="E132" s="49"/>
      <c r="F132" s="49"/>
      <c r="G132" s="92"/>
    </row>
    <row r="133" spans="1:8" ht="17.75" customHeight="1">
      <c r="A133" s="624">
        <v>1183</v>
      </c>
      <c r="B133" s="627"/>
      <c r="C133" s="73" t="s">
        <v>42</v>
      </c>
      <c r="D133" s="74"/>
      <c r="E133" s="74"/>
      <c r="F133" s="74"/>
      <c r="G133" s="75"/>
    </row>
    <row r="134" spans="1:8" ht="19.399999999999999" customHeight="1">
      <c r="A134" s="625"/>
      <c r="B134" s="628"/>
      <c r="C134" s="23" t="s">
        <v>207</v>
      </c>
      <c r="D134" s="116">
        <f>+D141+D147+D153+D159+D165+D171</f>
        <v>10671.699999999953</v>
      </c>
      <c r="E134" s="116">
        <f t="shared" ref="E134:G134" si="6">+E141+E147+E153+E159+E165+E171</f>
        <v>-49252.599999999962</v>
      </c>
      <c r="F134" s="116">
        <f t="shared" si="6"/>
        <v>-212700.90000000008</v>
      </c>
      <c r="G134" s="116">
        <f t="shared" si="6"/>
        <v>527466.20000000042</v>
      </c>
      <c r="H134" s="76"/>
    </row>
    <row r="135" spans="1:8" ht="17.75" customHeight="1">
      <c r="A135" s="625"/>
      <c r="B135" s="628"/>
      <c r="C135" s="77" t="s">
        <v>43</v>
      </c>
      <c r="D135" s="78"/>
      <c r="E135" s="78"/>
      <c r="F135" s="78"/>
      <c r="G135" s="79"/>
    </row>
    <row r="136" spans="1:8" ht="90">
      <c r="A136" s="625"/>
      <c r="B136" s="628"/>
      <c r="C136" s="80" t="s">
        <v>208</v>
      </c>
      <c r="D136" s="78"/>
      <c r="E136" s="78"/>
      <c r="F136" s="78"/>
      <c r="G136" s="79"/>
    </row>
    <row r="137" spans="1:8" ht="17.75" customHeight="1">
      <c r="A137" s="625"/>
      <c r="B137" s="628"/>
      <c r="C137" s="77" t="s">
        <v>44</v>
      </c>
      <c r="D137" s="78"/>
      <c r="E137" s="78"/>
      <c r="F137" s="78"/>
      <c r="G137" s="79"/>
    </row>
    <row r="138" spans="1:8">
      <c r="A138" s="625"/>
      <c r="B138" s="629"/>
      <c r="C138" s="81" t="s">
        <v>209</v>
      </c>
      <c r="D138" s="78"/>
      <c r="E138" s="78"/>
      <c r="F138" s="78"/>
      <c r="G138" s="79"/>
    </row>
    <row r="139" spans="1:8" ht="24" customHeight="1">
      <c r="A139" s="625"/>
      <c r="B139" s="82"/>
      <c r="C139" s="103" t="s">
        <v>22</v>
      </c>
      <c r="D139" s="83"/>
      <c r="E139" s="83"/>
      <c r="F139" s="83"/>
      <c r="G139" s="84"/>
    </row>
    <row r="140" spans="1:8" ht="17.75" customHeight="1">
      <c r="A140" s="625"/>
      <c r="B140" s="622">
        <v>32001</v>
      </c>
      <c r="C140" s="77" t="s">
        <v>45</v>
      </c>
      <c r="D140" s="85"/>
      <c r="E140" s="85"/>
      <c r="F140" s="85"/>
      <c r="G140" s="86"/>
    </row>
    <row r="141" spans="1:8" ht="33.85">
      <c r="A141" s="625"/>
      <c r="B141" s="622"/>
      <c r="C141" s="70" t="s">
        <v>205</v>
      </c>
      <c r="D141" s="118">
        <f>+'Havelvats 2 '!G206</f>
        <v>0</v>
      </c>
      <c r="E141" s="118">
        <f>+'Havelvats 2 '!H206</f>
        <v>-49533.599999999991</v>
      </c>
      <c r="F141" s="118">
        <f>+'Havelvats 2 '!I206</f>
        <v>-91847.5</v>
      </c>
      <c r="G141" s="88">
        <f>+'Havelvats 2 '!J206</f>
        <v>-154319.40000000002</v>
      </c>
      <c r="H141" s="76"/>
    </row>
    <row r="142" spans="1:8">
      <c r="A142" s="625"/>
      <c r="B142" s="622"/>
      <c r="C142" s="77" t="s">
        <v>46</v>
      </c>
      <c r="D142" s="118"/>
      <c r="E142" s="118"/>
      <c r="F142" s="118"/>
      <c r="G142" s="90"/>
    </row>
    <row r="143" spans="1:8" ht="72">
      <c r="A143" s="625"/>
      <c r="B143" s="622"/>
      <c r="C143" s="91" t="s">
        <v>206</v>
      </c>
      <c r="D143" s="118"/>
      <c r="E143" s="118"/>
      <c r="F143" s="118"/>
      <c r="G143" s="90"/>
    </row>
    <row r="144" spans="1:8">
      <c r="A144" s="625"/>
      <c r="B144" s="622"/>
      <c r="C144" s="77" t="s">
        <v>47</v>
      </c>
      <c r="D144" s="118"/>
      <c r="E144" s="118"/>
      <c r="F144" s="118"/>
      <c r="G144" s="92"/>
    </row>
    <row r="145" spans="1:8" ht="54">
      <c r="A145" s="625"/>
      <c r="B145" s="622"/>
      <c r="C145" s="91" t="s">
        <v>108</v>
      </c>
      <c r="D145" s="118"/>
      <c r="E145" s="118"/>
      <c r="F145" s="118"/>
      <c r="G145" s="92"/>
    </row>
    <row r="146" spans="1:8" ht="17.75" customHeight="1">
      <c r="A146" s="625"/>
      <c r="B146" s="622">
        <v>32002</v>
      </c>
      <c r="C146" s="77" t="s">
        <v>45</v>
      </c>
      <c r="D146" s="118"/>
      <c r="E146" s="118"/>
      <c r="F146" s="118"/>
      <c r="G146" s="86"/>
    </row>
    <row r="147" spans="1:8" ht="33.85">
      <c r="A147" s="625"/>
      <c r="B147" s="622"/>
      <c r="C147" s="70" t="s">
        <v>306</v>
      </c>
      <c r="D147" s="118">
        <f>+'Havelvats 2 '!G215</f>
        <v>46783</v>
      </c>
      <c r="E147" s="118">
        <f>+'Havelvats 2 '!H215</f>
        <v>281.0000000000291</v>
      </c>
      <c r="F147" s="118">
        <f>+'Havelvats 2 '!I215</f>
        <v>302.10000000003492</v>
      </c>
      <c r="G147" s="88">
        <f>+'Havelvats 2 '!J215</f>
        <v>-192441.69999999995</v>
      </c>
      <c r="H147" s="76"/>
    </row>
    <row r="148" spans="1:8" ht="16.8" customHeight="1">
      <c r="A148" s="625"/>
      <c r="B148" s="622"/>
      <c r="C148" s="77" t="s">
        <v>46</v>
      </c>
      <c r="D148" s="89"/>
      <c r="E148" s="89"/>
      <c r="F148" s="89"/>
      <c r="G148" s="90"/>
    </row>
    <row r="149" spans="1:8" ht="72">
      <c r="A149" s="625"/>
      <c r="B149" s="622"/>
      <c r="C149" s="91" t="s">
        <v>415</v>
      </c>
      <c r="D149" s="89"/>
      <c r="E149" s="89"/>
      <c r="F149" s="89"/>
      <c r="G149" s="90"/>
    </row>
    <row r="150" spans="1:8" ht="16.8" customHeight="1">
      <c r="A150" s="625"/>
      <c r="B150" s="622"/>
      <c r="C150" s="77" t="s">
        <v>47</v>
      </c>
      <c r="D150" s="49"/>
      <c r="E150" s="49"/>
      <c r="F150" s="49"/>
      <c r="G150" s="92"/>
    </row>
    <row r="151" spans="1:8" ht="54">
      <c r="A151" s="625"/>
      <c r="B151" s="622"/>
      <c r="C151" s="91" t="s">
        <v>108</v>
      </c>
      <c r="D151" s="49"/>
      <c r="E151" s="49"/>
      <c r="F151" s="49"/>
      <c r="G151" s="92"/>
    </row>
    <row r="152" spans="1:8" ht="17.75" customHeight="1">
      <c r="A152" s="625"/>
      <c r="B152" s="622">
        <v>32003</v>
      </c>
      <c r="C152" s="77" t="s">
        <v>45</v>
      </c>
      <c r="D152" s="118"/>
      <c r="E152" s="118"/>
      <c r="F152" s="118"/>
      <c r="G152" s="86"/>
    </row>
    <row r="153" spans="1:8" ht="50.75">
      <c r="A153" s="625"/>
      <c r="B153" s="622"/>
      <c r="C153" s="70" t="s">
        <v>312</v>
      </c>
      <c r="D153" s="118">
        <f>+'Havelvats 2 '!G224</f>
        <v>-36111.300000000047</v>
      </c>
      <c r="E153" s="118">
        <f>+'Havelvats 2 '!H224</f>
        <v>0</v>
      </c>
      <c r="F153" s="118">
        <f>+'Havelvats 2 '!I224</f>
        <v>882692.4</v>
      </c>
      <c r="G153" s="118">
        <f>+'Havelvats 2 '!J224</f>
        <v>2257855.6000000006</v>
      </c>
      <c r="H153" s="76"/>
    </row>
    <row r="154" spans="1:8" ht="17.350000000000001" customHeight="1">
      <c r="A154" s="625"/>
      <c r="B154" s="622"/>
      <c r="C154" s="77" t="s">
        <v>46</v>
      </c>
      <c r="D154" s="89"/>
      <c r="E154" s="89"/>
      <c r="F154" s="89"/>
      <c r="G154" s="393"/>
    </row>
    <row r="155" spans="1:8" ht="36">
      <c r="A155" s="625"/>
      <c r="B155" s="622"/>
      <c r="C155" s="91" t="s">
        <v>416</v>
      </c>
      <c r="D155" s="89"/>
      <c r="E155" s="89"/>
      <c r="F155" s="89"/>
      <c r="G155" s="393"/>
    </row>
    <row r="156" spans="1:8" ht="17.350000000000001" customHeight="1">
      <c r="A156" s="625"/>
      <c r="B156" s="622"/>
      <c r="C156" s="77" t="s">
        <v>47</v>
      </c>
      <c r="D156" s="49"/>
      <c r="E156" s="49"/>
      <c r="F156" s="49"/>
      <c r="G156" s="92"/>
    </row>
    <row r="157" spans="1:8" ht="54">
      <c r="A157" s="625"/>
      <c r="B157" s="622"/>
      <c r="C157" s="91" t="s">
        <v>108</v>
      </c>
      <c r="D157" s="49"/>
      <c r="E157" s="49"/>
      <c r="F157" s="49"/>
      <c r="G157" s="92"/>
    </row>
    <row r="158" spans="1:8" ht="17.75" customHeight="1">
      <c r="A158" s="625"/>
      <c r="B158" s="622">
        <v>32007</v>
      </c>
      <c r="C158" s="77" t="s">
        <v>45</v>
      </c>
      <c r="D158" s="118"/>
      <c r="E158" s="118"/>
      <c r="F158" s="118"/>
      <c r="G158" s="86"/>
    </row>
    <row r="159" spans="1:8" ht="50.75">
      <c r="A159" s="625"/>
      <c r="B159" s="622"/>
      <c r="C159" s="70" t="s">
        <v>338</v>
      </c>
      <c r="D159" s="118">
        <f>+'Havelvats 2 '!G235</f>
        <v>0</v>
      </c>
      <c r="E159" s="118">
        <f>+'Havelvats 2 '!H235</f>
        <v>0</v>
      </c>
      <c r="F159" s="118">
        <f>+'Havelvats 2 '!I235</f>
        <v>-750652.10000000009</v>
      </c>
      <c r="G159" s="118">
        <f>+'Havelvats 2 '!J235</f>
        <v>-853876.50000000012</v>
      </c>
      <c r="H159" s="76"/>
    </row>
    <row r="160" spans="1:8" ht="17.350000000000001" customHeight="1">
      <c r="A160" s="625"/>
      <c r="B160" s="622"/>
      <c r="C160" s="77" t="s">
        <v>46</v>
      </c>
      <c r="D160" s="89"/>
      <c r="E160" s="89"/>
      <c r="F160" s="89"/>
      <c r="G160" s="393"/>
    </row>
    <row r="161" spans="1:8" ht="54">
      <c r="A161" s="625"/>
      <c r="B161" s="622"/>
      <c r="C161" s="91" t="s">
        <v>417</v>
      </c>
      <c r="D161" s="89"/>
      <c r="E161" s="89"/>
      <c r="F161" s="89"/>
      <c r="G161" s="393"/>
    </row>
    <row r="162" spans="1:8" ht="17.350000000000001" customHeight="1">
      <c r="A162" s="625"/>
      <c r="B162" s="622"/>
      <c r="C162" s="77" t="s">
        <v>47</v>
      </c>
      <c r="D162" s="49"/>
      <c r="E162" s="49"/>
      <c r="F162" s="49"/>
      <c r="G162" s="92"/>
    </row>
    <row r="163" spans="1:8" ht="54">
      <c r="A163" s="625"/>
      <c r="B163" s="622"/>
      <c r="C163" s="91" t="s">
        <v>108</v>
      </c>
      <c r="D163" s="49"/>
      <c r="E163" s="49"/>
      <c r="F163" s="49"/>
      <c r="G163" s="92"/>
    </row>
    <row r="164" spans="1:8" ht="17.75" customHeight="1">
      <c r="A164" s="625"/>
      <c r="B164" s="622">
        <v>32009</v>
      </c>
      <c r="C164" s="77" t="s">
        <v>45</v>
      </c>
      <c r="D164" s="118"/>
      <c r="E164" s="118"/>
      <c r="F164" s="118"/>
      <c r="G164" s="86"/>
    </row>
    <row r="165" spans="1:8" ht="50.75">
      <c r="A165" s="625"/>
      <c r="B165" s="622"/>
      <c r="C165" s="70" t="s">
        <v>368</v>
      </c>
      <c r="D165" s="118">
        <f>+'Havelvats 2 '!G244</f>
        <v>0</v>
      </c>
      <c r="E165" s="118">
        <f>+'Havelvats 2 '!H244</f>
        <v>0</v>
      </c>
      <c r="F165" s="118">
        <f>+'Havelvats 2 '!I244</f>
        <v>-132040.29999999999</v>
      </c>
      <c r="G165" s="118">
        <f>+'Havelvats 2 '!J244</f>
        <v>-108596.30000000006</v>
      </c>
      <c r="H165" s="76"/>
    </row>
    <row r="166" spans="1:8" ht="17.350000000000001" customHeight="1">
      <c r="A166" s="625"/>
      <c r="B166" s="622"/>
      <c r="C166" s="77" t="s">
        <v>46</v>
      </c>
      <c r="D166" s="89"/>
      <c r="E166" s="89"/>
      <c r="F166" s="89"/>
      <c r="G166" s="393"/>
    </row>
    <row r="167" spans="1:8" ht="54">
      <c r="A167" s="625"/>
      <c r="B167" s="622"/>
      <c r="C167" s="91" t="s">
        <v>418</v>
      </c>
      <c r="D167" s="89"/>
      <c r="E167" s="89"/>
      <c r="F167" s="89"/>
      <c r="G167" s="393"/>
    </row>
    <row r="168" spans="1:8" ht="17.350000000000001" customHeight="1">
      <c r="A168" s="625"/>
      <c r="B168" s="622"/>
      <c r="C168" s="77" t="s">
        <v>47</v>
      </c>
      <c r="D168" s="49"/>
      <c r="E168" s="49"/>
      <c r="F168" s="49"/>
      <c r="G168" s="92"/>
    </row>
    <row r="169" spans="1:8" ht="54">
      <c r="A169" s="625"/>
      <c r="B169" s="622"/>
      <c r="C169" s="91" t="s">
        <v>108</v>
      </c>
      <c r="D169" s="49"/>
      <c r="E169" s="49"/>
      <c r="F169" s="49"/>
      <c r="G169" s="92"/>
    </row>
    <row r="170" spans="1:8" ht="17.75" customHeight="1">
      <c r="A170" s="625"/>
      <c r="B170" s="622">
        <v>32012</v>
      </c>
      <c r="C170" s="77" t="s">
        <v>45</v>
      </c>
      <c r="D170" s="118"/>
      <c r="E170" s="118"/>
      <c r="F170" s="118"/>
      <c r="G170" s="86"/>
    </row>
    <row r="171" spans="1:8" ht="33.85">
      <c r="A171" s="625"/>
      <c r="B171" s="622"/>
      <c r="C171" s="70" t="s">
        <v>383</v>
      </c>
      <c r="D171" s="118">
        <f>+'Havelvats 2 '!G253</f>
        <v>0</v>
      </c>
      <c r="E171" s="118">
        <f>+'Havelvats 2 '!H253</f>
        <v>0</v>
      </c>
      <c r="F171" s="118">
        <f>+'Havelvats 2 '!I253</f>
        <v>-121155.5</v>
      </c>
      <c r="G171" s="118">
        <f>+'Havelvats 2 '!J253</f>
        <v>-421155.5</v>
      </c>
      <c r="H171" s="76"/>
    </row>
    <row r="172" spans="1:8" ht="17.350000000000001" customHeight="1">
      <c r="A172" s="625"/>
      <c r="B172" s="622"/>
      <c r="C172" s="77" t="s">
        <v>46</v>
      </c>
      <c r="D172" s="89"/>
      <c r="E172" s="89"/>
      <c r="F172" s="89"/>
      <c r="G172" s="393"/>
    </row>
    <row r="173" spans="1:8" ht="36">
      <c r="A173" s="625"/>
      <c r="B173" s="622"/>
      <c r="C173" s="91" t="s">
        <v>419</v>
      </c>
      <c r="D173" s="89"/>
      <c r="E173" s="89"/>
      <c r="F173" s="89"/>
      <c r="G173" s="393"/>
    </row>
    <row r="174" spans="1:8" ht="17.350000000000001" customHeight="1">
      <c r="A174" s="625"/>
      <c r="B174" s="622"/>
      <c r="C174" s="77" t="s">
        <v>47</v>
      </c>
      <c r="D174" s="49"/>
      <c r="E174" s="49"/>
      <c r="F174" s="49"/>
      <c r="G174" s="92"/>
    </row>
    <row r="175" spans="1:8" ht="54">
      <c r="A175" s="626"/>
      <c r="B175" s="622"/>
      <c r="C175" s="91" t="s">
        <v>108</v>
      </c>
      <c r="D175" s="49"/>
      <c r="E175" s="49"/>
      <c r="F175" s="49"/>
      <c r="G175" s="92"/>
    </row>
    <row r="176" spans="1:8" ht="9.3000000000000007" customHeight="1">
      <c r="A176" s="441"/>
      <c r="B176" s="442"/>
      <c r="C176" s="438"/>
      <c r="D176" s="437"/>
      <c r="E176" s="437"/>
      <c r="F176" s="437"/>
      <c r="G176" s="440"/>
    </row>
    <row r="177" spans="1:7" s="41" customFormat="1" ht="34.950000000000003" customHeight="1">
      <c r="A177" s="93"/>
      <c r="B177" s="443"/>
      <c r="C177" s="383" t="s">
        <v>171</v>
      </c>
      <c r="D177" s="528">
        <f t="shared" ref="D177" si="7">+D179</f>
        <v>69123.899999999994</v>
      </c>
      <c r="E177" s="446">
        <f t="shared" ref="E177:G177" si="8">+E179</f>
        <v>0</v>
      </c>
      <c r="F177" s="446">
        <f t="shared" si="8"/>
        <v>0</v>
      </c>
      <c r="G177" s="445">
        <f t="shared" si="8"/>
        <v>0</v>
      </c>
    </row>
    <row r="178" spans="1:7">
      <c r="A178" s="630">
        <v>1139</v>
      </c>
      <c r="B178" s="633"/>
      <c r="C178" s="73" t="s">
        <v>42</v>
      </c>
      <c r="D178" s="94"/>
      <c r="E178" s="446"/>
      <c r="F178" s="446"/>
      <c r="G178" s="94"/>
    </row>
    <row r="179" spans="1:7" ht="19.399999999999999" customHeight="1">
      <c r="A179" s="631"/>
      <c r="B179" s="634"/>
      <c r="C179" s="24" t="s">
        <v>24</v>
      </c>
      <c r="D179" s="95">
        <f t="shared" ref="D179" si="9">+D185+D191</f>
        <v>69123.899999999994</v>
      </c>
      <c r="E179" s="446">
        <f t="shared" ref="E179:G179" si="10">+E185+E191</f>
        <v>0</v>
      </c>
      <c r="F179" s="446">
        <f t="shared" si="10"/>
        <v>0</v>
      </c>
      <c r="G179" s="95">
        <f t="shared" si="10"/>
        <v>0</v>
      </c>
    </row>
    <row r="180" spans="1:7">
      <c r="A180" s="631"/>
      <c r="B180" s="634"/>
      <c r="C180" s="77" t="s">
        <v>43</v>
      </c>
      <c r="D180" s="94"/>
      <c r="E180" s="94"/>
      <c r="F180" s="94"/>
      <c r="G180" s="94"/>
    </row>
    <row r="181" spans="1:7" ht="54">
      <c r="A181" s="631"/>
      <c r="B181" s="634"/>
      <c r="C181" s="80" t="s">
        <v>112</v>
      </c>
      <c r="D181" s="94"/>
      <c r="E181" s="94"/>
      <c r="F181" s="94"/>
      <c r="G181" s="94"/>
    </row>
    <row r="182" spans="1:7">
      <c r="A182" s="631"/>
      <c r="B182" s="634"/>
      <c r="C182" s="77" t="s">
        <v>44</v>
      </c>
      <c r="D182" s="94"/>
      <c r="E182" s="94"/>
      <c r="F182" s="94"/>
      <c r="G182" s="94"/>
    </row>
    <row r="183" spans="1:7" ht="36">
      <c r="A183" s="631"/>
      <c r="B183" s="635"/>
      <c r="C183" s="81" t="s">
        <v>121</v>
      </c>
      <c r="D183" s="94"/>
      <c r="E183" s="94"/>
      <c r="F183" s="94"/>
      <c r="G183" s="94"/>
    </row>
    <row r="184" spans="1:7" ht="18" customHeight="1">
      <c r="A184" s="631"/>
      <c r="B184" s="633" t="s">
        <v>113</v>
      </c>
      <c r="C184" s="77" t="s">
        <v>45</v>
      </c>
      <c r="D184" s="96"/>
      <c r="E184" s="96"/>
      <c r="F184" s="96"/>
      <c r="G184" s="97"/>
    </row>
    <row r="185" spans="1:7" ht="19.399999999999999" customHeight="1">
      <c r="A185" s="631"/>
      <c r="B185" s="634"/>
      <c r="C185" s="87" t="s">
        <v>24</v>
      </c>
      <c r="D185" s="98">
        <f>+'Havelvats 2 '!G274</f>
        <v>81178.2</v>
      </c>
      <c r="E185" s="98">
        <f>+'Havelvats 2 '!H274</f>
        <v>213948.3</v>
      </c>
      <c r="F185" s="98">
        <f>+'Havelvats 2 '!I274</f>
        <v>511599.8</v>
      </c>
      <c r="G185" s="98">
        <f>+'Havelvats 2 '!J274</f>
        <v>709475.70000000007</v>
      </c>
    </row>
    <row r="186" spans="1:7">
      <c r="A186" s="631"/>
      <c r="B186" s="634"/>
      <c r="C186" s="77" t="s">
        <v>46</v>
      </c>
      <c r="D186" s="99"/>
      <c r="E186" s="99"/>
      <c r="F186" s="99"/>
      <c r="G186" s="99"/>
    </row>
    <row r="187" spans="1:7" ht="72">
      <c r="A187" s="631"/>
      <c r="B187" s="634"/>
      <c r="C187" s="91" t="s">
        <v>114</v>
      </c>
      <c r="D187" s="99"/>
      <c r="E187" s="99"/>
      <c r="F187" s="99"/>
      <c r="G187" s="99"/>
    </row>
    <row r="188" spans="1:7">
      <c r="A188" s="631"/>
      <c r="B188" s="634"/>
      <c r="C188" s="77" t="s">
        <v>47</v>
      </c>
      <c r="D188" s="99"/>
      <c r="E188" s="99"/>
      <c r="F188" s="99"/>
      <c r="G188" s="99"/>
    </row>
    <row r="189" spans="1:7">
      <c r="A189" s="631"/>
      <c r="B189" s="635"/>
      <c r="C189" s="91" t="s">
        <v>48</v>
      </c>
      <c r="D189" s="99"/>
      <c r="E189" s="99"/>
      <c r="F189" s="99"/>
      <c r="G189" s="99"/>
    </row>
    <row r="190" spans="1:7">
      <c r="A190" s="631"/>
      <c r="B190" s="633" t="s">
        <v>113</v>
      </c>
      <c r="C190" s="77" t="s">
        <v>45</v>
      </c>
      <c r="D190" s="96"/>
      <c r="E190" s="96"/>
      <c r="F190" s="96"/>
      <c r="G190" s="97"/>
    </row>
    <row r="191" spans="1:7" ht="19.399999999999999" customHeight="1">
      <c r="A191" s="631"/>
      <c r="B191" s="634"/>
      <c r="C191" s="100" t="s">
        <v>24</v>
      </c>
      <c r="D191" s="98">
        <f>+'Havelvats 2 '!G282</f>
        <v>-12054.3</v>
      </c>
      <c r="E191" s="98">
        <f>+'Havelvats 2 '!H282</f>
        <v>-213948.3</v>
      </c>
      <c r="F191" s="98">
        <f>+'Havelvats 2 '!I282</f>
        <v>-511599.8</v>
      </c>
      <c r="G191" s="98">
        <f>+'Havelvats 2 '!J282</f>
        <v>-709475.70000000007</v>
      </c>
    </row>
    <row r="192" spans="1:7">
      <c r="A192" s="631"/>
      <c r="B192" s="634"/>
      <c r="C192" s="77" t="s">
        <v>46</v>
      </c>
      <c r="D192" s="99"/>
      <c r="E192" s="99"/>
      <c r="F192" s="99"/>
      <c r="G192" s="99"/>
    </row>
    <row r="193" spans="1:7" ht="72">
      <c r="A193" s="631"/>
      <c r="B193" s="634"/>
      <c r="C193" s="91" t="s">
        <v>114</v>
      </c>
      <c r="D193" s="99"/>
      <c r="E193" s="99"/>
      <c r="F193" s="99"/>
      <c r="G193" s="99"/>
    </row>
    <row r="194" spans="1:7">
      <c r="A194" s="631"/>
      <c r="B194" s="634"/>
      <c r="C194" s="77" t="s">
        <v>47</v>
      </c>
      <c r="D194" s="99"/>
      <c r="E194" s="99"/>
      <c r="F194" s="99"/>
      <c r="G194" s="99"/>
    </row>
    <row r="195" spans="1:7">
      <c r="A195" s="632"/>
      <c r="B195" s="635"/>
      <c r="C195" s="91" t="s">
        <v>48</v>
      </c>
      <c r="D195" s="99"/>
      <c r="E195" s="99"/>
      <c r="F195" s="99"/>
      <c r="G195" s="99"/>
    </row>
  </sheetData>
  <mergeCells count="44">
    <mergeCell ref="E1:G1"/>
    <mergeCell ref="A51:A63"/>
    <mergeCell ref="B51:B56"/>
    <mergeCell ref="B58:B63"/>
    <mergeCell ref="E3:G3"/>
    <mergeCell ref="E2:G2"/>
    <mergeCell ref="A5:G5"/>
    <mergeCell ref="A8:B8"/>
    <mergeCell ref="B13:B18"/>
    <mergeCell ref="B26:B31"/>
    <mergeCell ref="B20:B25"/>
    <mergeCell ref="B39:B44"/>
    <mergeCell ref="C8:C9"/>
    <mergeCell ref="A13:A31"/>
    <mergeCell ref="B32:B37"/>
    <mergeCell ref="D8:G8"/>
    <mergeCell ref="A178:A195"/>
    <mergeCell ref="B190:B195"/>
    <mergeCell ref="B184:B189"/>
    <mergeCell ref="B178:B183"/>
    <mergeCell ref="B158:B163"/>
    <mergeCell ref="B164:B169"/>
    <mergeCell ref="B170:B175"/>
    <mergeCell ref="A89:A113"/>
    <mergeCell ref="B127:B132"/>
    <mergeCell ref="A114:A132"/>
    <mergeCell ref="B152:B157"/>
    <mergeCell ref="A133:A175"/>
    <mergeCell ref="B133:B138"/>
    <mergeCell ref="B140:B145"/>
    <mergeCell ref="B146:B151"/>
    <mergeCell ref="B114:B119"/>
    <mergeCell ref="B121:B126"/>
    <mergeCell ref="B96:B101"/>
    <mergeCell ref="B108:B113"/>
    <mergeCell ref="B89:B94"/>
    <mergeCell ref="B102:B107"/>
    <mergeCell ref="A64:A88"/>
    <mergeCell ref="B45:B50"/>
    <mergeCell ref="A32:A50"/>
    <mergeCell ref="B71:B76"/>
    <mergeCell ref="B77:B82"/>
    <mergeCell ref="B83:B88"/>
    <mergeCell ref="B64:B69"/>
  </mergeCells>
  <pageMargins left="0" right="0" top="0" bottom="0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89"/>
  <sheetViews>
    <sheetView topLeftCell="A183" zoomScale="74" zoomScaleNormal="74" zoomScaleSheetLayoutView="100" workbookViewId="0">
      <selection activeCell="F199" sqref="F199:F203"/>
    </sheetView>
  </sheetViews>
  <sheetFormatPr defaultColWidth="9.09765625" defaultRowHeight="18"/>
  <cols>
    <col min="1" max="3" width="8.09765625" style="40" customWidth="1"/>
    <col min="4" max="4" width="11.59765625" style="40" customWidth="1"/>
    <col min="5" max="5" width="13.8984375" style="40" customWidth="1"/>
    <col min="6" max="6" width="62.09765625" style="40" customWidth="1"/>
    <col min="7" max="10" width="14.296875" style="40" customWidth="1"/>
    <col min="11" max="13" width="15" style="40" customWidth="1"/>
    <col min="14" max="16384" width="9.09765625" style="40"/>
  </cols>
  <sheetData>
    <row r="1" spans="1:10" s="564" customFormat="1" ht="37.5" customHeight="1">
      <c r="H1" s="671" t="s">
        <v>140</v>
      </c>
      <c r="I1" s="671"/>
      <c r="J1" s="671"/>
    </row>
    <row r="2" spans="1:10" s="565" customFormat="1" ht="17.350000000000001" customHeight="1">
      <c r="H2" s="674" t="s">
        <v>533</v>
      </c>
      <c r="I2" s="674"/>
      <c r="J2" s="674"/>
    </row>
    <row r="3" spans="1:10" s="565" customFormat="1" ht="17.350000000000001" customHeight="1">
      <c r="H3" s="674" t="s">
        <v>9</v>
      </c>
      <c r="I3" s="674"/>
      <c r="J3" s="674"/>
    </row>
    <row r="4" spans="1:10" ht="13.5" customHeight="1"/>
    <row r="5" spans="1:10" ht="52.5" customHeight="1">
      <c r="A5" s="673" t="s">
        <v>526</v>
      </c>
      <c r="B5" s="673"/>
      <c r="C5" s="673"/>
      <c r="D5" s="673"/>
      <c r="E5" s="673"/>
      <c r="F5" s="673"/>
      <c r="G5" s="673"/>
      <c r="H5" s="673"/>
      <c r="I5" s="673"/>
      <c r="J5" s="673"/>
    </row>
    <row r="7" spans="1:10">
      <c r="I7" s="40" t="s">
        <v>32</v>
      </c>
    </row>
    <row r="8" spans="1:10" s="566" customFormat="1" ht="76.8" customHeight="1">
      <c r="A8" s="672" t="s">
        <v>33</v>
      </c>
      <c r="B8" s="672"/>
      <c r="C8" s="672"/>
      <c r="D8" s="672" t="s">
        <v>15</v>
      </c>
      <c r="E8" s="672"/>
      <c r="F8" s="672" t="s">
        <v>23</v>
      </c>
      <c r="G8" s="675" t="s">
        <v>246</v>
      </c>
      <c r="H8" s="676"/>
      <c r="I8" s="676"/>
      <c r="J8" s="677"/>
    </row>
    <row r="9" spans="1:10" s="566" customFormat="1" ht="36">
      <c r="A9" s="559" t="s">
        <v>247</v>
      </c>
      <c r="B9" s="559" t="s">
        <v>248</v>
      </c>
      <c r="C9" s="559" t="s">
        <v>37</v>
      </c>
      <c r="D9" s="559" t="s">
        <v>20</v>
      </c>
      <c r="E9" s="559" t="s">
        <v>91</v>
      </c>
      <c r="F9" s="672"/>
      <c r="G9" s="559" t="s">
        <v>395</v>
      </c>
      <c r="H9" s="559" t="s">
        <v>17</v>
      </c>
      <c r="I9" s="559" t="s">
        <v>18</v>
      </c>
      <c r="J9" s="559" t="s">
        <v>19</v>
      </c>
    </row>
    <row r="10" spans="1:10" s="566" customFormat="1" ht="34.950000000000003" customHeight="1">
      <c r="A10" s="557"/>
      <c r="B10" s="557"/>
      <c r="C10" s="557"/>
      <c r="D10" s="559"/>
      <c r="E10" s="559"/>
      <c r="F10" s="106" t="s">
        <v>31</v>
      </c>
      <c r="G10" s="28">
        <f>+G12+G263</f>
        <v>0</v>
      </c>
      <c r="H10" s="28">
        <f>+H12+H263</f>
        <v>0</v>
      </c>
      <c r="I10" s="28">
        <f>+I12+I263</f>
        <v>0</v>
      </c>
      <c r="J10" s="28">
        <f>+J12+J263</f>
        <v>0</v>
      </c>
    </row>
    <row r="11" spans="1:10" s="566" customFormat="1">
      <c r="A11" s="557"/>
      <c r="B11" s="557"/>
      <c r="C11" s="557"/>
      <c r="D11" s="559"/>
      <c r="E11" s="559"/>
      <c r="F11" s="557" t="s">
        <v>58</v>
      </c>
      <c r="G11" s="28"/>
      <c r="H11" s="28"/>
      <c r="I11" s="28"/>
      <c r="J11" s="28"/>
    </row>
    <row r="12" spans="1:10" s="566" customFormat="1" ht="33.85">
      <c r="A12" s="557"/>
      <c r="B12" s="557"/>
      <c r="C12" s="557"/>
      <c r="D12" s="559"/>
      <c r="E12" s="559"/>
      <c r="F12" s="106" t="s">
        <v>96</v>
      </c>
      <c r="G12" s="28">
        <f>+G13+G82</f>
        <v>-69123.900000000038</v>
      </c>
      <c r="H12" s="28">
        <f>+H13+H82</f>
        <v>0</v>
      </c>
      <c r="I12" s="28">
        <f>+I13+I82</f>
        <v>0</v>
      </c>
      <c r="J12" s="28">
        <f>+J13+J82</f>
        <v>0</v>
      </c>
    </row>
    <row r="13" spans="1:10" s="566" customFormat="1" ht="17.350000000000001" customHeight="1">
      <c r="A13" s="653" t="s">
        <v>186</v>
      </c>
      <c r="B13" s="658"/>
      <c r="C13" s="684"/>
      <c r="D13" s="680"/>
      <c r="E13" s="502"/>
      <c r="F13" s="106" t="s">
        <v>187</v>
      </c>
      <c r="G13" s="28">
        <f>+G15</f>
        <v>12054.3</v>
      </c>
      <c r="H13" s="28">
        <f t="shared" ref="H13:J13" si="0">+H15</f>
        <v>36163</v>
      </c>
      <c r="I13" s="28">
        <f t="shared" si="0"/>
        <v>25782.299999999974</v>
      </c>
      <c r="J13" s="28">
        <f t="shared" si="0"/>
        <v>42435.599999999977</v>
      </c>
    </row>
    <row r="14" spans="1:10" s="566" customFormat="1" ht="16.8" customHeight="1">
      <c r="A14" s="654"/>
      <c r="B14" s="658"/>
      <c r="C14" s="685"/>
      <c r="D14" s="681"/>
      <c r="E14" s="503"/>
      <c r="F14" s="557" t="s">
        <v>25</v>
      </c>
      <c r="G14" s="107"/>
      <c r="H14" s="107"/>
      <c r="I14" s="107"/>
      <c r="J14" s="107"/>
    </row>
    <row r="15" spans="1:10" s="566" customFormat="1">
      <c r="A15" s="654"/>
      <c r="B15" s="653" t="s">
        <v>41</v>
      </c>
      <c r="C15" s="685"/>
      <c r="D15" s="681"/>
      <c r="E15" s="503"/>
      <c r="F15" s="129" t="s">
        <v>194</v>
      </c>
      <c r="G15" s="108">
        <f>+G17+G32+G65</f>
        <v>12054.3</v>
      </c>
      <c r="H15" s="108">
        <f>+H17+H32+H65</f>
        <v>36163</v>
      </c>
      <c r="I15" s="108">
        <f>+I17+I32+I65</f>
        <v>25782.299999999974</v>
      </c>
      <c r="J15" s="108">
        <f>+J17+J32+J65</f>
        <v>42435.599999999977</v>
      </c>
    </row>
    <row r="16" spans="1:10" s="566" customFormat="1" ht="16.8" customHeight="1">
      <c r="A16" s="654"/>
      <c r="B16" s="654"/>
      <c r="C16" s="686"/>
      <c r="D16" s="681"/>
      <c r="E16" s="503"/>
      <c r="F16" s="557" t="s">
        <v>25</v>
      </c>
      <c r="G16" s="107"/>
      <c r="H16" s="107"/>
      <c r="I16" s="108"/>
      <c r="J16" s="107"/>
    </row>
    <row r="17" spans="1:18" s="566" customFormat="1">
      <c r="A17" s="654"/>
      <c r="B17" s="654"/>
      <c r="C17" s="552" t="s">
        <v>41</v>
      </c>
      <c r="D17" s="681"/>
      <c r="E17" s="503"/>
      <c r="F17" s="129" t="s">
        <v>492</v>
      </c>
      <c r="G17" s="567">
        <f>+G19</f>
        <v>12054.3</v>
      </c>
      <c r="H17" s="108">
        <f>+H19</f>
        <v>36163</v>
      </c>
      <c r="I17" s="108">
        <f t="shared" ref="I17:J17" si="1">+I19</f>
        <v>60271.7</v>
      </c>
      <c r="J17" s="108">
        <f t="shared" si="1"/>
        <v>80362.3</v>
      </c>
      <c r="K17" s="568"/>
      <c r="L17" s="568"/>
      <c r="M17" s="568"/>
      <c r="N17" s="568"/>
      <c r="O17" s="568"/>
      <c r="P17" s="568"/>
      <c r="Q17" s="568"/>
      <c r="R17" s="568"/>
    </row>
    <row r="18" spans="1:18" s="566" customFormat="1" ht="16.8" customHeight="1">
      <c r="A18" s="654"/>
      <c r="B18" s="654"/>
      <c r="C18" s="553"/>
      <c r="D18" s="681"/>
      <c r="E18" s="503"/>
      <c r="F18" s="557" t="s">
        <v>25</v>
      </c>
      <c r="G18" s="569"/>
      <c r="H18" s="569"/>
      <c r="I18" s="108"/>
      <c r="J18" s="569"/>
      <c r="K18" s="568"/>
      <c r="L18" s="568"/>
      <c r="M18" s="568"/>
      <c r="N18" s="568"/>
      <c r="O18" s="568"/>
      <c r="P18" s="568"/>
      <c r="Q18" s="568"/>
      <c r="R18" s="568"/>
    </row>
    <row r="19" spans="1:18" s="566" customFormat="1" ht="36">
      <c r="A19" s="654"/>
      <c r="B19" s="654"/>
      <c r="C19" s="553"/>
      <c r="D19" s="681"/>
      <c r="E19" s="503"/>
      <c r="F19" s="556" t="s">
        <v>59</v>
      </c>
      <c r="G19" s="569">
        <f>+G21</f>
        <v>12054.3</v>
      </c>
      <c r="H19" s="569">
        <f>+H21</f>
        <v>36163</v>
      </c>
      <c r="I19" s="108">
        <f t="shared" ref="I19:J19" si="2">+I21</f>
        <v>60271.7</v>
      </c>
      <c r="J19" s="569">
        <f t="shared" si="2"/>
        <v>80362.3</v>
      </c>
      <c r="K19" s="568"/>
      <c r="L19" s="568"/>
      <c r="M19" s="568"/>
      <c r="N19" s="568"/>
      <c r="O19" s="568"/>
      <c r="P19" s="568"/>
      <c r="Q19" s="568"/>
      <c r="R19" s="568"/>
    </row>
    <row r="20" spans="1:18" s="566" customFormat="1" ht="16.8" customHeight="1">
      <c r="A20" s="654"/>
      <c r="B20" s="654"/>
      <c r="C20" s="553"/>
      <c r="D20" s="682"/>
      <c r="E20" s="503"/>
      <c r="F20" s="570" t="s">
        <v>25</v>
      </c>
      <c r="G20" s="569"/>
      <c r="H20" s="569"/>
      <c r="I20" s="108"/>
      <c r="J20" s="569"/>
      <c r="K20" s="568"/>
      <c r="L20" s="568"/>
      <c r="M20" s="568"/>
      <c r="N20" s="568"/>
      <c r="O20" s="568"/>
      <c r="P20" s="568"/>
      <c r="Q20" s="568"/>
      <c r="R20" s="568"/>
    </row>
    <row r="21" spans="1:18" s="566" customFormat="1">
      <c r="A21" s="654"/>
      <c r="B21" s="654"/>
      <c r="C21" s="553"/>
      <c r="D21" s="670">
        <v>1075</v>
      </c>
      <c r="E21" s="678" t="s">
        <v>493</v>
      </c>
      <c r="F21" s="678"/>
      <c r="G21" s="28">
        <f>+G23</f>
        <v>12054.3</v>
      </c>
      <c r="H21" s="28">
        <f t="shared" ref="H21:J21" si="3">+H23</f>
        <v>36163</v>
      </c>
      <c r="I21" s="28">
        <f t="shared" si="3"/>
        <v>60271.7</v>
      </c>
      <c r="J21" s="28">
        <f t="shared" si="3"/>
        <v>80362.3</v>
      </c>
      <c r="K21" s="568"/>
      <c r="L21" s="568"/>
      <c r="M21" s="568"/>
      <c r="N21" s="568"/>
      <c r="O21" s="568"/>
      <c r="P21" s="568"/>
      <c r="Q21" s="568"/>
      <c r="R21" s="568"/>
    </row>
    <row r="22" spans="1:18" s="566" customFormat="1" ht="16.8" customHeight="1">
      <c r="A22" s="654"/>
      <c r="B22" s="654"/>
      <c r="C22" s="553"/>
      <c r="D22" s="670"/>
      <c r="E22" s="506"/>
      <c r="F22" s="558" t="s">
        <v>25</v>
      </c>
      <c r="G22" s="569"/>
      <c r="H22" s="569"/>
      <c r="I22" s="108"/>
      <c r="J22" s="569"/>
      <c r="K22" s="568"/>
      <c r="L22" s="568"/>
      <c r="M22" s="568"/>
      <c r="N22" s="568"/>
      <c r="O22" s="568"/>
      <c r="P22" s="568"/>
      <c r="Q22" s="568"/>
      <c r="R22" s="568"/>
    </row>
    <row r="23" spans="1:18" s="566" customFormat="1" ht="33.85">
      <c r="A23" s="654"/>
      <c r="B23" s="654"/>
      <c r="C23" s="553"/>
      <c r="D23" s="670"/>
      <c r="E23" s="507">
        <v>32001</v>
      </c>
      <c r="F23" s="554" t="s">
        <v>185</v>
      </c>
      <c r="G23" s="571">
        <f>+G25</f>
        <v>12054.3</v>
      </c>
      <c r="H23" s="571">
        <f>+H25</f>
        <v>36163</v>
      </c>
      <c r="I23" s="571">
        <f t="shared" ref="I23:J23" si="4">+I25</f>
        <v>60271.7</v>
      </c>
      <c r="J23" s="572">
        <f t="shared" si="4"/>
        <v>80362.3</v>
      </c>
      <c r="K23" s="568"/>
      <c r="L23" s="568"/>
      <c r="M23" s="568"/>
      <c r="N23" s="568"/>
      <c r="O23" s="568"/>
      <c r="P23" s="568"/>
      <c r="Q23" s="568"/>
      <c r="R23" s="568"/>
    </row>
    <row r="24" spans="1:18" s="566" customFormat="1" ht="16.8" customHeight="1">
      <c r="A24" s="654"/>
      <c r="B24" s="654"/>
      <c r="C24" s="553"/>
      <c r="D24" s="670"/>
      <c r="E24" s="679"/>
      <c r="F24" s="558" t="s">
        <v>94</v>
      </c>
      <c r="G24" s="107"/>
      <c r="H24" s="107"/>
      <c r="I24" s="108"/>
      <c r="J24" s="107"/>
    </row>
    <row r="25" spans="1:18" s="574" customFormat="1" ht="36">
      <c r="A25" s="654"/>
      <c r="B25" s="654"/>
      <c r="C25" s="553"/>
      <c r="D25" s="670"/>
      <c r="E25" s="679"/>
      <c r="F25" s="573" t="s">
        <v>59</v>
      </c>
      <c r="G25" s="120">
        <f>+G27</f>
        <v>12054.3</v>
      </c>
      <c r="H25" s="120">
        <f>+H27</f>
        <v>36163</v>
      </c>
      <c r="I25" s="424">
        <f t="shared" ref="I25:J25" si="5">+I27</f>
        <v>60271.7</v>
      </c>
      <c r="J25" s="120">
        <f t="shared" si="5"/>
        <v>80362.3</v>
      </c>
    </row>
    <row r="26" spans="1:18" s="566" customFormat="1" ht="54">
      <c r="A26" s="654"/>
      <c r="B26" s="654"/>
      <c r="C26" s="553"/>
      <c r="D26" s="670"/>
      <c r="E26" s="679"/>
      <c r="F26" s="558" t="s">
        <v>66</v>
      </c>
      <c r="G26" s="107"/>
      <c r="H26" s="107"/>
      <c r="I26" s="124"/>
      <c r="J26" s="107"/>
    </row>
    <row r="27" spans="1:18" s="566" customFormat="1" ht="16.8" customHeight="1">
      <c r="A27" s="654"/>
      <c r="B27" s="654"/>
      <c r="C27" s="553"/>
      <c r="D27" s="670"/>
      <c r="E27" s="679"/>
      <c r="F27" s="555" t="s">
        <v>28</v>
      </c>
      <c r="G27" s="123">
        <f t="shared" ref="G27:J30" si="6">+G28</f>
        <v>12054.3</v>
      </c>
      <c r="H27" s="123">
        <f t="shared" si="6"/>
        <v>36163</v>
      </c>
      <c r="I27" s="124">
        <f t="shared" si="6"/>
        <v>60271.7</v>
      </c>
      <c r="J27" s="123">
        <f t="shared" si="6"/>
        <v>80362.3</v>
      </c>
    </row>
    <row r="28" spans="1:18" s="566" customFormat="1" ht="16.8" customHeight="1">
      <c r="A28" s="654"/>
      <c r="B28" s="654"/>
      <c r="C28" s="553"/>
      <c r="D28" s="670"/>
      <c r="E28" s="679"/>
      <c r="F28" s="557" t="s">
        <v>188</v>
      </c>
      <c r="G28" s="124">
        <f t="shared" si="6"/>
        <v>12054.3</v>
      </c>
      <c r="H28" s="124">
        <f t="shared" si="6"/>
        <v>36163</v>
      </c>
      <c r="I28" s="124">
        <f t="shared" si="6"/>
        <v>60271.7</v>
      </c>
      <c r="J28" s="124">
        <f t="shared" si="6"/>
        <v>80362.3</v>
      </c>
    </row>
    <row r="29" spans="1:18" s="566" customFormat="1" ht="16.8" customHeight="1">
      <c r="A29" s="654"/>
      <c r="B29" s="654"/>
      <c r="C29" s="553"/>
      <c r="D29" s="670"/>
      <c r="E29" s="679"/>
      <c r="F29" s="557" t="s">
        <v>189</v>
      </c>
      <c r="G29" s="124">
        <f t="shared" si="6"/>
        <v>12054.3</v>
      </c>
      <c r="H29" s="124">
        <f t="shared" si="6"/>
        <v>36163</v>
      </c>
      <c r="I29" s="124">
        <f t="shared" si="6"/>
        <v>60271.7</v>
      </c>
      <c r="J29" s="124">
        <f t="shared" si="6"/>
        <v>80362.3</v>
      </c>
    </row>
    <row r="30" spans="1:18" s="566" customFormat="1" ht="16.8" customHeight="1">
      <c r="A30" s="654"/>
      <c r="B30" s="654"/>
      <c r="C30" s="553"/>
      <c r="D30" s="670"/>
      <c r="E30" s="679"/>
      <c r="F30" s="557" t="s">
        <v>190</v>
      </c>
      <c r="G30" s="124">
        <f t="shared" si="6"/>
        <v>12054.3</v>
      </c>
      <c r="H30" s="124">
        <f t="shared" si="6"/>
        <v>36163</v>
      </c>
      <c r="I30" s="124">
        <f t="shared" si="6"/>
        <v>60271.7</v>
      </c>
      <c r="J30" s="124">
        <f t="shared" si="6"/>
        <v>80362.3</v>
      </c>
      <c r="K30" s="575"/>
    </row>
    <row r="31" spans="1:18" s="566" customFormat="1">
      <c r="A31" s="654"/>
      <c r="B31" s="654"/>
      <c r="C31" s="553"/>
      <c r="D31" s="670"/>
      <c r="E31" s="679"/>
      <c r="F31" s="557" t="s">
        <v>191</v>
      </c>
      <c r="G31" s="124">
        <f>+'Havelvats 4'!E59</f>
        <v>12054.3</v>
      </c>
      <c r="H31" s="124">
        <f>+'Havelvats 4'!F59</f>
        <v>36163</v>
      </c>
      <c r="I31" s="124">
        <f>+'Havelvats 4'!G59</f>
        <v>60271.7</v>
      </c>
      <c r="J31" s="124">
        <f>+'Havelvats 4'!H59</f>
        <v>80362.3</v>
      </c>
      <c r="K31" s="576"/>
    </row>
    <row r="32" spans="1:18" s="566" customFormat="1">
      <c r="A32" s="654"/>
      <c r="B32" s="654"/>
      <c r="C32" s="653" t="s">
        <v>79</v>
      </c>
      <c r="D32" s="680"/>
      <c r="E32" s="503"/>
      <c r="F32" s="508" t="s">
        <v>196</v>
      </c>
      <c r="G32" s="567">
        <f>+G34</f>
        <v>0</v>
      </c>
      <c r="H32" s="108">
        <f>+H34</f>
        <v>0</v>
      </c>
      <c r="I32" s="108">
        <f t="shared" ref="I32:J32" si="7">+I34</f>
        <v>-34489.400000000023</v>
      </c>
      <c r="J32" s="108">
        <f t="shared" si="7"/>
        <v>-37926.700000000026</v>
      </c>
      <c r="K32" s="568"/>
      <c r="L32" s="568"/>
      <c r="M32" s="568"/>
      <c r="N32" s="568"/>
      <c r="O32" s="568"/>
      <c r="P32" s="568"/>
      <c r="Q32" s="568"/>
      <c r="R32" s="568"/>
    </row>
    <row r="33" spans="1:18" s="566" customFormat="1" ht="16.8" customHeight="1">
      <c r="A33" s="654"/>
      <c r="B33" s="654"/>
      <c r="C33" s="654"/>
      <c r="D33" s="681"/>
      <c r="E33" s="503"/>
      <c r="F33" s="557" t="s">
        <v>25</v>
      </c>
      <c r="G33" s="569"/>
      <c r="H33" s="569"/>
      <c r="I33" s="108"/>
      <c r="J33" s="569"/>
      <c r="K33" s="568"/>
      <c r="L33" s="568"/>
      <c r="M33" s="568"/>
      <c r="N33" s="568"/>
      <c r="O33" s="568"/>
      <c r="P33" s="568"/>
      <c r="Q33" s="568"/>
      <c r="R33" s="568"/>
    </row>
    <row r="34" spans="1:18" s="566" customFormat="1" ht="36">
      <c r="A34" s="654"/>
      <c r="B34" s="654"/>
      <c r="C34" s="654"/>
      <c r="D34" s="681"/>
      <c r="E34" s="503"/>
      <c r="F34" s="556" t="s">
        <v>59</v>
      </c>
      <c r="G34" s="569">
        <f>+G36</f>
        <v>0</v>
      </c>
      <c r="H34" s="569">
        <f>+H36</f>
        <v>0</v>
      </c>
      <c r="I34" s="108">
        <f t="shared" ref="I34:J34" si="8">+I36</f>
        <v>-34489.400000000023</v>
      </c>
      <c r="J34" s="569">
        <f t="shared" si="8"/>
        <v>-37926.700000000026</v>
      </c>
      <c r="K34" s="568"/>
      <c r="L34" s="568"/>
      <c r="M34" s="568"/>
      <c r="N34" s="568"/>
      <c r="O34" s="568"/>
      <c r="P34" s="568"/>
      <c r="Q34" s="568"/>
      <c r="R34" s="568"/>
    </row>
    <row r="35" spans="1:18" s="566" customFormat="1" ht="16.8" customHeight="1">
      <c r="A35" s="654"/>
      <c r="B35" s="654"/>
      <c r="C35" s="654"/>
      <c r="D35" s="682"/>
      <c r="E35" s="504"/>
      <c r="F35" s="557" t="s">
        <v>25</v>
      </c>
      <c r="G35" s="569"/>
      <c r="H35" s="569"/>
      <c r="I35" s="108"/>
      <c r="J35" s="569"/>
      <c r="K35" s="568"/>
      <c r="L35" s="568"/>
      <c r="M35" s="568"/>
      <c r="N35" s="568"/>
      <c r="O35" s="568"/>
      <c r="P35" s="568"/>
      <c r="Q35" s="568"/>
      <c r="R35" s="568"/>
    </row>
    <row r="36" spans="1:18" s="566" customFormat="1">
      <c r="A36" s="654"/>
      <c r="B36" s="654"/>
      <c r="C36" s="654"/>
      <c r="D36" s="650">
        <v>1168</v>
      </c>
      <c r="E36" s="656" t="s">
        <v>197</v>
      </c>
      <c r="F36" s="657"/>
      <c r="G36" s="28">
        <f>+G38+G56</f>
        <v>0</v>
      </c>
      <c r="H36" s="28">
        <f t="shared" ref="H36:J36" si="9">+H38+H56</f>
        <v>0</v>
      </c>
      <c r="I36" s="28">
        <f t="shared" si="9"/>
        <v>-34489.400000000023</v>
      </c>
      <c r="J36" s="28">
        <f t="shared" si="9"/>
        <v>-37926.700000000026</v>
      </c>
      <c r="K36" s="568"/>
      <c r="L36" s="568"/>
      <c r="M36" s="568"/>
      <c r="N36" s="568"/>
      <c r="O36" s="568"/>
      <c r="P36" s="568"/>
      <c r="Q36" s="568"/>
      <c r="R36" s="568"/>
    </row>
    <row r="37" spans="1:18" s="566" customFormat="1" ht="16.8" customHeight="1">
      <c r="A37" s="654"/>
      <c r="B37" s="654"/>
      <c r="C37" s="654"/>
      <c r="D37" s="651"/>
      <c r="E37" s="577"/>
      <c r="F37" s="557" t="s">
        <v>25</v>
      </c>
      <c r="G37" s="569"/>
      <c r="H37" s="569"/>
      <c r="I37" s="108"/>
      <c r="J37" s="569"/>
      <c r="K37" s="568"/>
      <c r="L37" s="568"/>
      <c r="M37" s="568"/>
      <c r="N37" s="568"/>
      <c r="O37" s="568"/>
      <c r="P37" s="568"/>
      <c r="Q37" s="568"/>
      <c r="R37" s="568"/>
    </row>
    <row r="38" spans="1:18" s="566" customFormat="1" ht="33.85">
      <c r="A38" s="654"/>
      <c r="B38" s="654"/>
      <c r="C38" s="654"/>
      <c r="D38" s="651"/>
      <c r="E38" s="578">
        <v>32001</v>
      </c>
      <c r="F38" s="106" t="s">
        <v>185</v>
      </c>
      <c r="G38" s="571">
        <f>+G40+G49</f>
        <v>0</v>
      </c>
      <c r="H38" s="571">
        <f t="shared" ref="H38:J38" si="10">+H40+H49</f>
        <v>6766.1</v>
      </c>
      <c r="I38" s="571">
        <f t="shared" si="10"/>
        <v>-17183.400000000023</v>
      </c>
      <c r="J38" s="571">
        <f t="shared" si="10"/>
        <v>-20620.700000000026</v>
      </c>
      <c r="K38" s="568"/>
      <c r="L38" s="568"/>
      <c r="M38" s="568"/>
      <c r="N38" s="568"/>
      <c r="O38" s="568"/>
      <c r="P38" s="568"/>
      <c r="Q38" s="568"/>
      <c r="R38" s="568"/>
    </row>
    <row r="39" spans="1:18" s="566" customFormat="1" ht="16.8" customHeight="1">
      <c r="A39" s="654"/>
      <c r="B39" s="654"/>
      <c r="C39" s="654"/>
      <c r="D39" s="651"/>
      <c r="E39" s="647"/>
      <c r="F39" s="557" t="s">
        <v>94</v>
      </c>
      <c r="G39" s="107"/>
      <c r="H39" s="107"/>
      <c r="I39" s="108"/>
      <c r="J39" s="107"/>
    </row>
    <row r="40" spans="1:18" s="574" customFormat="1" ht="36">
      <c r="A40" s="654"/>
      <c r="B40" s="654"/>
      <c r="C40" s="654"/>
      <c r="D40" s="651"/>
      <c r="E40" s="648"/>
      <c r="F40" s="579" t="s">
        <v>59</v>
      </c>
      <c r="G40" s="120">
        <f>+G42</f>
        <v>0</v>
      </c>
      <c r="H40" s="120">
        <f>+H42</f>
        <v>6766.1</v>
      </c>
      <c r="I40" s="424">
        <f t="shared" ref="I40:J40" si="11">+I42</f>
        <v>10792</v>
      </c>
      <c r="J40" s="120">
        <f t="shared" si="11"/>
        <v>7354.6999999999971</v>
      </c>
    </row>
    <row r="41" spans="1:18" s="566" customFormat="1" ht="54">
      <c r="A41" s="654"/>
      <c r="B41" s="654"/>
      <c r="C41" s="654"/>
      <c r="D41" s="651"/>
      <c r="E41" s="648"/>
      <c r="F41" s="557" t="s">
        <v>66</v>
      </c>
      <c r="G41" s="107"/>
      <c r="H41" s="107"/>
      <c r="I41" s="124"/>
      <c r="J41" s="107"/>
    </row>
    <row r="42" spans="1:18" s="566" customFormat="1" ht="16.8" customHeight="1">
      <c r="A42" s="654"/>
      <c r="B42" s="654"/>
      <c r="C42" s="654"/>
      <c r="D42" s="651"/>
      <c r="E42" s="648"/>
      <c r="F42" s="580" t="s">
        <v>28</v>
      </c>
      <c r="G42" s="123">
        <f t="shared" ref="G42:H47" si="12">+G43</f>
        <v>0</v>
      </c>
      <c r="H42" s="123">
        <f t="shared" si="12"/>
        <v>6766.1</v>
      </c>
      <c r="I42" s="124">
        <f t="shared" ref="I42:J47" si="13">+I43</f>
        <v>10792</v>
      </c>
      <c r="J42" s="123">
        <f t="shared" si="13"/>
        <v>7354.6999999999971</v>
      </c>
    </row>
    <row r="43" spans="1:18" s="566" customFormat="1" ht="16.8" customHeight="1">
      <c r="A43" s="654"/>
      <c r="B43" s="654"/>
      <c r="C43" s="654"/>
      <c r="D43" s="651"/>
      <c r="E43" s="648"/>
      <c r="F43" s="557" t="s">
        <v>188</v>
      </c>
      <c r="G43" s="124">
        <f t="shared" si="12"/>
        <v>0</v>
      </c>
      <c r="H43" s="124">
        <f t="shared" si="12"/>
        <v>6766.1</v>
      </c>
      <c r="I43" s="124">
        <f t="shared" si="13"/>
        <v>10792</v>
      </c>
      <c r="J43" s="124">
        <f t="shared" si="13"/>
        <v>7354.6999999999971</v>
      </c>
    </row>
    <row r="44" spans="1:18" s="566" customFormat="1" ht="16.8" customHeight="1">
      <c r="A44" s="654"/>
      <c r="B44" s="654"/>
      <c r="C44" s="654"/>
      <c r="D44" s="651"/>
      <c r="E44" s="648"/>
      <c r="F44" s="557" t="s">
        <v>189</v>
      </c>
      <c r="G44" s="124">
        <f>+G45+G47</f>
        <v>0</v>
      </c>
      <c r="H44" s="124">
        <f t="shared" ref="H44:J44" si="14">+H45+H47</f>
        <v>6766.1</v>
      </c>
      <c r="I44" s="124">
        <f t="shared" si="14"/>
        <v>10792</v>
      </c>
      <c r="J44" s="124">
        <f t="shared" si="14"/>
        <v>7354.6999999999971</v>
      </c>
    </row>
    <row r="45" spans="1:18" s="566" customFormat="1" ht="16.8" customHeight="1">
      <c r="A45" s="654"/>
      <c r="B45" s="654"/>
      <c r="C45" s="654"/>
      <c r="D45" s="651"/>
      <c r="E45" s="648"/>
      <c r="F45" s="557" t="s">
        <v>190</v>
      </c>
      <c r="G45" s="124">
        <f t="shared" ref="G45:J45" si="15">+G46</f>
        <v>0</v>
      </c>
      <c r="H45" s="124">
        <f t="shared" si="15"/>
        <v>6766.1</v>
      </c>
      <c r="I45" s="124">
        <f t="shared" si="15"/>
        <v>10792</v>
      </c>
      <c r="J45" s="124">
        <f t="shared" si="15"/>
        <v>10792</v>
      </c>
      <c r="K45" s="575"/>
    </row>
    <row r="46" spans="1:18" s="566" customFormat="1" ht="16.8" customHeight="1">
      <c r="A46" s="654"/>
      <c r="B46" s="654"/>
      <c r="C46" s="654"/>
      <c r="D46" s="651"/>
      <c r="E46" s="648"/>
      <c r="F46" s="557" t="s">
        <v>191</v>
      </c>
      <c r="G46" s="124">
        <f>+'Havelvats 4'!E137</f>
        <v>0</v>
      </c>
      <c r="H46" s="124">
        <f>+'Havelvats 4'!F137</f>
        <v>6766.1</v>
      </c>
      <c r="I46" s="124">
        <f>+'Havelvats 4'!G137</f>
        <v>10792</v>
      </c>
      <c r="J46" s="124">
        <f>+'Havelvats 4'!H137</f>
        <v>10792</v>
      </c>
      <c r="K46" s="576"/>
    </row>
    <row r="47" spans="1:18" s="566" customFormat="1" ht="16.8" customHeight="1">
      <c r="A47" s="654"/>
      <c r="B47" s="654"/>
      <c r="C47" s="654"/>
      <c r="D47" s="651"/>
      <c r="E47" s="648"/>
      <c r="F47" s="557" t="s">
        <v>396</v>
      </c>
      <c r="G47" s="124">
        <f t="shared" si="12"/>
        <v>0</v>
      </c>
      <c r="H47" s="124">
        <f t="shared" si="12"/>
        <v>0</v>
      </c>
      <c r="I47" s="124">
        <f t="shared" si="13"/>
        <v>0</v>
      </c>
      <c r="J47" s="124">
        <f t="shared" si="13"/>
        <v>-3437.3000000000029</v>
      </c>
      <c r="K47" s="575"/>
    </row>
    <row r="48" spans="1:18" s="566" customFormat="1" ht="16.8" customHeight="1">
      <c r="A48" s="654"/>
      <c r="B48" s="654"/>
      <c r="C48" s="654"/>
      <c r="D48" s="651"/>
      <c r="E48" s="648"/>
      <c r="F48" s="557" t="s">
        <v>192</v>
      </c>
      <c r="G48" s="124">
        <f>+'Havelvats 4'!E136</f>
        <v>0</v>
      </c>
      <c r="H48" s="124">
        <f>+'Havelvats 4'!F136</f>
        <v>0</v>
      </c>
      <c r="I48" s="124">
        <f>+'Havelvats 4'!G136</f>
        <v>0</v>
      </c>
      <c r="J48" s="124">
        <f>+'Havelvats 4'!H136</f>
        <v>-3437.3000000000029</v>
      </c>
      <c r="K48" s="576"/>
    </row>
    <row r="49" spans="1:18" s="574" customFormat="1">
      <c r="A49" s="654"/>
      <c r="B49" s="654"/>
      <c r="C49" s="654"/>
      <c r="D49" s="651"/>
      <c r="E49" s="648"/>
      <c r="F49" s="579" t="s">
        <v>110</v>
      </c>
      <c r="G49" s="120">
        <f>+G51</f>
        <v>0</v>
      </c>
      <c r="H49" s="120">
        <f>+H51</f>
        <v>0</v>
      </c>
      <c r="I49" s="424">
        <f t="shared" ref="I49:J49" si="16">+I51</f>
        <v>-27975.400000000023</v>
      </c>
      <c r="J49" s="120">
        <f t="shared" si="16"/>
        <v>-27975.400000000023</v>
      </c>
    </row>
    <row r="50" spans="1:18" s="566" customFormat="1" ht="54">
      <c r="A50" s="654"/>
      <c r="B50" s="654"/>
      <c r="C50" s="654"/>
      <c r="D50" s="651"/>
      <c r="E50" s="648"/>
      <c r="F50" s="557" t="s">
        <v>66</v>
      </c>
      <c r="G50" s="107"/>
      <c r="H50" s="107"/>
      <c r="I50" s="124"/>
      <c r="J50" s="107"/>
    </row>
    <row r="51" spans="1:18" s="566" customFormat="1" ht="16.8" customHeight="1">
      <c r="A51" s="654"/>
      <c r="B51" s="654"/>
      <c r="C51" s="654"/>
      <c r="D51" s="651"/>
      <c r="E51" s="648"/>
      <c r="F51" s="580" t="s">
        <v>28</v>
      </c>
      <c r="G51" s="123">
        <f t="shared" ref="G51:J54" si="17">+G52</f>
        <v>0</v>
      </c>
      <c r="H51" s="123">
        <f t="shared" si="17"/>
        <v>0</v>
      </c>
      <c r="I51" s="124">
        <f t="shared" si="17"/>
        <v>-27975.400000000023</v>
      </c>
      <c r="J51" s="123">
        <f t="shared" si="17"/>
        <v>-27975.400000000023</v>
      </c>
    </row>
    <row r="52" spans="1:18" s="566" customFormat="1" ht="16.8" customHeight="1">
      <c r="A52" s="654"/>
      <c r="B52" s="654"/>
      <c r="C52" s="654"/>
      <c r="D52" s="651"/>
      <c r="E52" s="648"/>
      <c r="F52" s="557" t="s">
        <v>188</v>
      </c>
      <c r="G52" s="124">
        <f t="shared" si="17"/>
        <v>0</v>
      </c>
      <c r="H52" s="124">
        <f t="shared" si="17"/>
        <v>0</v>
      </c>
      <c r="I52" s="124">
        <f t="shared" si="17"/>
        <v>-27975.400000000023</v>
      </c>
      <c r="J52" s="124">
        <f t="shared" si="17"/>
        <v>-27975.400000000023</v>
      </c>
    </row>
    <row r="53" spans="1:18" s="566" customFormat="1" ht="16.8" customHeight="1">
      <c r="A53" s="654"/>
      <c r="B53" s="654"/>
      <c r="C53" s="654"/>
      <c r="D53" s="651"/>
      <c r="E53" s="648"/>
      <c r="F53" s="557" t="s">
        <v>189</v>
      </c>
      <c r="G53" s="124">
        <f t="shared" si="17"/>
        <v>0</v>
      </c>
      <c r="H53" s="124">
        <f t="shared" si="17"/>
        <v>0</v>
      </c>
      <c r="I53" s="124">
        <f t="shared" si="17"/>
        <v>-27975.400000000023</v>
      </c>
      <c r="J53" s="124">
        <f t="shared" si="17"/>
        <v>-27975.400000000023</v>
      </c>
    </row>
    <row r="54" spans="1:18" s="566" customFormat="1" ht="16.8" customHeight="1">
      <c r="A54" s="654"/>
      <c r="B54" s="654"/>
      <c r="C54" s="654"/>
      <c r="D54" s="651"/>
      <c r="E54" s="648"/>
      <c r="F54" s="557" t="s">
        <v>190</v>
      </c>
      <c r="G54" s="124">
        <f t="shared" si="17"/>
        <v>0</v>
      </c>
      <c r="H54" s="124">
        <f t="shared" si="17"/>
        <v>0</v>
      </c>
      <c r="I54" s="124">
        <f t="shared" si="17"/>
        <v>-27975.400000000023</v>
      </c>
      <c r="J54" s="124">
        <f t="shared" si="17"/>
        <v>-27975.400000000023</v>
      </c>
      <c r="K54" s="575"/>
    </row>
    <row r="55" spans="1:18" s="566" customFormat="1" ht="16.8" customHeight="1">
      <c r="A55" s="654"/>
      <c r="B55" s="654"/>
      <c r="C55" s="654"/>
      <c r="D55" s="651"/>
      <c r="E55" s="649"/>
      <c r="F55" s="557" t="s">
        <v>191</v>
      </c>
      <c r="G55" s="124">
        <f>+'Havelvats 4'!E138</f>
        <v>0</v>
      </c>
      <c r="H55" s="124">
        <f>+'Havelvats 4'!F138</f>
        <v>0</v>
      </c>
      <c r="I55" s="124">
        <f>+'Havelvats 4'!G138</f>
        <v>-27975.400000000023</v>
      </c>
      <c r="J55" s="124">
        <f>+'Havelvats 4'!H138</f>
        <v>-27975.400000000023</v>
      </c>
      <c r="K55" s="576"/>
    </row>
    <row r="56" spans="1:18" s="566" customFormat="1" ht="33.85">
      <c r="A56" s="654"/>
      <c r="B56" s="654"/>
      <c r="C56" s="654"/>
      <c r="D56" s="651"/>
      <c r="E56" s="581">
        <v>32007</v>
      </c>
      <c r="F56" s="582" t="s">
        <v>299</v>
      </c>
      <c r="G56" s="571">
        <f>+G58</f>
        <v>0</v>
      </c>
      <c r="H56" s="572">
        <f>+H58</f>
        <v>-6766.1</v>
      </c>
      <c r="I56" s="571">
        <f t="shared" ref="I56:J56" si="18">+I58</f>
        <v>-17306</v>
      </c>
      <c r="J56" s="572">
        <f t="shared" si="18"/>
        <v>-17306</v>
      </c>
      <c r="K56" s="568"/>
      <c r="L56" s="568"/>
      <c r="M56" s="568"/>
      <c r="N56" s="568"/>
      <c r="O56" s="568"/>
      <c r="P56" s="568"/>
      <c r="Q56" s="568"/>
      <c r="R56" s="568"/>
    </row>
    <row r="57" spans="1:18" s="566" customFormat="1" ht="16.8" customHeight="1">
      <c r="A57" s="654"/>
      <c r="B57" s="654"/>
      <c r="C57" s="654"/>
      <c r="D57" s="651"/>
      <c r="E57" s="660"/>
      <c r="F57" s="557" t="s">
        <v>94</v>
      </c>
      <c r="G57" s="107"/>
      <c r="H57" s="107"/>
      <c r="I57" s="108"/>
      <c r="J57" s="107"/>
    </row>
    <row r="58" spans="1:18" s="574" customFormat="1" ht="36">
      <c r="A58" s="654"/>
      <c r="B58" s="654"/>
      <c r="C58" s="654"/>
      <c r="D58" s="651"/>
      <c r="E58" s="661"/>
      <c r="F58" s="579" t="s">
        <v>59</v>
      </c>
      <c r="G58" s="120">
        <f>+G60</f>
        <v>0</v>
      </c>
      <c r="H58" s="120">
        <f>+H60</f>
        <v>-6766.1</v>
      </c>
      <c r="I58" s="121">
        <f t="shared" ref="I58:J58" si="19">+I60</f>
        <v>-17306</v>
      </c>
      <c r="J58" s="120">
        <f t="shared" si="19"/>
        <v>-17306</v>
      </c>
    </row>
    <row r="59" spans="1:18" s="566" customFormat="1" ht="54">
      <c r="A59" s="654"/>
      <c r="B59" s="654"/>
      <c r="C59" s="654"/>
      <c r="D59" s="651"/>
      <c r="E59" s="661"/>
      <c r="F59" s="557" t="s">
        <v>66</v>
      </c>
      <c r="G59" s="107"/>
      <c r="H59" s="107"/>
      <c r="I59" s="108"/>
      <c r="J59" s="107"/>
    </row>
    <row r="60" spans="1:18" s="566" customFormat="1" ht="16.8" customHeight="1">
      <c r="A60" s="654"/>
      <c r="B60" s="654"/>
      <c r="C60" s="654"/>
      <c r="D60" s="651"/>
      <c r="E60" s="661"/>
      <c r="F60" s="580" t="s">
        <v>28</v>
      </c>
      <c r="G60" s="123">
        <f t="shared" ref="G60:H63" si="20">+G61</f>
        <v>0</v>
      </c>
      <c r="H60" s="123">
        <f t="shared" si="20"/>
        <v>-6766.1</v>
      </c>
      <c r="I60" s="127">
        <f t="shared" ref="I60:J63" si="21">+I61</f>
        <v>-17306</v>
      </c>
      <c r="J60" s="123">
        <f t="shared" si="21"/>
        <v>-17306</v>
      </c>
    </row>
    <row r="61" spans="1:18" s="566" customFormat="1" ht="16.8" customHeight="1">
      <c r="A61" s="654"/>
      <c r="B61" s="654"/>
      <c r="C61" s="654"/>
      <c r="D61" s="651"/>
      <c r="E61" s="661"/>
      <c r="F61" s="557" t="s">
        <v>188</v>
      </c>
      <c r="G61" s="124">
        <f t="shared" si="20"/>
        <v>0</v>
      </c>
      <c r="H61" s="124">
        <f t="shared" si="20"/>
        <v>-6766.1</v>
      </c>
      <c r="I61" s="128">
        <f t="shared" si="21"/>
        <v>-17306</v>
      </c>
      <c r="J61" s="124">
        <f t="shared" si="21"/>
        <v>-17306</v>
      </c>
    </row>
    <row r="62" spans="1:18" s="566" customFormat="1" ht="16.8" customHeight="1">
      <c r="A62" s="654"/>
      <c r="B62" s="654"/>
      <c r="C62" s="654"/>
      <c r="D62" s="651"/>
      <c r="E62" s="661"/>
      <c r="F62" s="557" t="s">
        <v>189</v>
      </c>
      <c r="G62" s="124">
        <f t="shared" si="20"/>
        <v>0</v>
      </c>
      <c r="H62" s="124">
        <f t="shared" si="20"/>
        <v>-6766.1</v>
      </c>
      <c r="I62" s="128">
        <f t="shared" si="21"/>
        <v>-17306</v>
      </c>
      <c r="J62" s="124">
        <f t="shared" si="21"/>
        <v>-17306</v>
      </c>
    </row>
    <row r="63" spans="1:18" s="566" customFormat="1" ht="17.350000000000001" customHeight="1">
      <c r="A63" s="654"/>
      <c r="B63" s="654"/>
      <c r="C63" s="654"/>
      <c r="D63" s="651"/>
      <c r="E63" s="661"/>
      <c r="F63" s="557" t="s">
        <v>397</v>
      </c>
      <c r="G63" s="124">
        <f t="shared" si="20"/>
        <v>0</v>
      </c>
      <c r="H63" s="124">
        <f t="shared" si="20"/>
        <v>-6766.1</v>
      </c>
      <c r="I63" s="128">
        <f t="shared" si="21"/>
        <v>-17306</v>
      </c>
      <c r="J63" s="124">
        <f t="shared" si="21"/>
        <v>-17306</v>
      </c>
      <c r="K63" s="575"/>
    </row>
    <row r="64" spans="1:18" s="566" customFormat="1" ht="17.350000000000001" customHeight="1">
      <c r="A64" s="654"/>
      <c r="B64" s="654"/>
      <c r="C64" s="655"/>
      <c r="D64" s="652"/>
      <c r="E64" s="662"/>
      <c r="F64" s="557" t="s">
        <v>398</v>
      </c>
      <c r="G64" s="124">
        <f>+'Havelvats 4'!E145</f>
        <v>0</v>
      </c>
      <c r="H64" s="124">
        <f>+'Havelvats 4'!F145</f>
        <v>-6766.1</v>
      </c>
      <c r="I64" s="124">
        <f>+'Havelvats 4'!G145</f>
        <v>-17306</v>
      </c>
      <c r="J64" s="124">
        <f>+'Havelvats 4'!H145</f>
        <v>-17306</v>
      </c>
      <c r="K64" s="576"/>
    </row>
    <row r="65" spans="1:18" s="566" customFormat="1" ht="33.85">
      <c r="A65" s="654"/>
      <c r="B65" s="654"/>
      <c r="C65" s="653" t="s">
        <v>399</v>
      </c>
      <c r="D65" s="650"/>
      <c r="E65" s="687"/>
      <c r="F65" s="129" t="s">
        <v>400</v>
      </c>
      <c r="G65" s="567">
        <f>+G67</f>
        <v>0</v>
      </c>
      <c r="H65" s="108">
        <f>+H67</f>
        <v>0</v>
      </c>
      <c r="I65" s="108">
        <f t="shared" ref="I65:J65" si="22">+I67</f>
        <v>0</v>
      </c>
      <c r="J65" s="108">
        <f t="shared" si="22"/>
        <v>0</v>
      </c>
      <c r="K65" s="568"/>
      <c r="L65" s="568"/>
      <c r="M65" s="568"/>
      <c r="N65" s="568"/>
      <c r="O65" s="568"/>
      <c r="P65" s="568"/>
      <c r="Q65" s="568"/>
      <c r="R65" s="568"/>
    </row>
    <row r="66" spans="1:18" s="566" customFormat="1" ht="16.8" customHeight="1">
      <c r="A66" s="654"/>
      <c r="B66" s="654"/>
      <c r="C66" s="654"/>
      <c r="D66" s="651"/>
      <c r="E66" s="688"/>
      <c r="F66" s="557" t="s">
        <v>25</v>
      </c>
      <c r="G66" s="569"/>
      <c r="H66" s="569"/>
      <c r="I66" s="108"/>
      <c r="J66" s="569"/>
      <c r="K66" s="568"/>
      <c r="L66" s="568"/>
      <c r="M66" s="568"/>
      <c r="N66" s="568"/>
      <c r="O66" s="568"/>
      <c r="P66" s="568"/>
      <c r="Q66" s="568"/>
      <c r="R66" s="568"/>
    </row>
    <row r="67" spans="1:18" s="566" customFormat="1" ht="36">
      <c r="A67" s="654"/>
      <c r="B67" s="654"/>
      <c r="C67" s="654"/>
      <c r="D67" s="651"/>
      <c r="E67" s="688"/>
      <c r="F67" s="556" t="s">
        <v>59</v>
      </c>
      <c r="G67" s="569">
        <f>+G69</f>
        <v>0</v>
      </c>
      <c r="H67" s="569">
        <f>+H69</f>
        <v>0</v>
      </c>
      <c r="I67" s="108">
        <f t="shared" ref="I67:J67" si="23">+I69</f>
        <v>0</v>
      </c>
      <c r="J67" s="569">
        <f t="shared" si="23"/>
        <v>0</v>
      </c>
      <c r="K67" s="568"/>
      <c r="L67" s="568"/>
      <c r="M67" s="568"/>
      <c r="N67" s="568"/>
      <c r="O67" s="568"/>
      <c r="P67" s="568"/>
      <c r="Q67" s="568"/>
      <c r="R67" s="568"/>
    </row>
    <row r="68" spans="1:18" s="566" customFormat="1" ht="16.8" customHeight="1">
      <c r="A68" s="654"/>
      <c r="B68" s="654"/>
      <c r="C68" s="654"/>
      <c r="D68" s="652"/>
      <c r="E68" s="689"/>
      <c r="F68" s="557" t="s">
        <v>25</v>
      </c>
      <c r="G68" s="569"/>
      <c r="H68" s="569"/>
      <c r="I68" s="108"/>
      <c r="J68" s="569"/>
      <c r="K68" s="568"/>
      <c r="L68" s="568"/>
      <c r="M68" s="568"/>
      <c r="N68" s="568"/>
      <c r="O68" s="568"/>
      <c r="P68" s="568"/>
      <c r="Q68" s="568"/>
      <c r="R68" s="568"/>
    </row>
    <row r="69" spans="1:18" s="566" customFormat="1">
      <c r="A69" s="654"/>
      <c r="B69" s="654"/>
      <c r="C69" s="654"/>
      <c r="D69" s="650">
        <v>1075</v>
      </c>
      <c r="E69" s="656" t="s">
        <v>199</v>
      </c>
      <c r="F69" s="657"/>
      <c r="G69" s="28">
        <f>+G71</f>
        <v>0</v>
      </c>
      <c r="H69" s="28">
        <f t="shared" ref="H69:J69" si="24">+H71</f>
        <v>0</v>
      </c>
      <c r="I69" s="28">
        <f t="shared" si="24"/>
        <v>0</v>
      </c>
      <c r="J69" s="28">
        <f t="shared" si="24"/>
        <v>0</v>
      </c>
      <c r="K69" s="568"/>
      <c r="L69" s="568"/>
      <c r="M69" s="568"/>
      <c r="N69" s="568"/>
      <c r="O69" s="568"/>
      <c r="P69" s="568"/>
      <c r="Q69" s="568"/>
      <c r="R69" s="568"/>
    </row>
    <row r="70" spans="1:18" s="566" customFormat="1" ht="16.8" customHeight="1">
      <c r="A70" s="654"/>
      <c r="B70" s="654"/>
      <c r="C70" s="654"/>
      <c r="D70" s="651"/>
      <c r="E70" s="577"/>
      <c r="F70" s="557" t="s">
        <v>25</v>
      </c>
      <c r="G70" s="28"/>
      <c r="H70" s="28"/>
      <c r="I70" s="28"/>
      <c r="J70" s="28"/>
      <c r="K70" s="568"/>
      <c r="L70" s="568"/>
      <c r="M70" s="568"/>
      <c r="N70" s="568"/>
      <c r="O70" s="568"/>
      <c r="P70" s="568"/>
      <c r="Q70" s="568"/>
      <c r="R70" s="568"/>
    </row>
    <row r="71" spans="1:18" s="566" customFormat="1" ht="33.85">
      <c r="A71" s="654"/>
      <c r="B71" s="654"/>
      <c r="C71" s="654"/>
      <c r="D71" s="651"/>
      <c r="E71" s="581">
        <v>21001</v>
      </c>
      <c r="F71" s="106" t="s">
        <v>260</v>
      </c>
      <c r="G71" s="571">
        <f>+G73</f>
        <v>0</v>
      </c>
      <c r="H71" s="571">
        <f>+H73</f>
        <v>0</v>
      </c>
      <c r="I71" s="571">
        <f t="shared" ref="I71:J71" si="25">+I73</f>
        <v>0</v>
      </c>
      <c r="J71" s="571">
        <f t="shared" si="25"/>
        <v>0</v>
      </c>
      <c r="K71" s="568"/>
      <c r="L71" s="568"/>
      <c r="M71" s="568"/>
      <c r="N71" s="568"/>
      <c r="O71" s="568"/>
      <c r="P71" s="568"/>
      <c r="Q71" s="568"/>
      <c r="R71" s="568"/>
    </row>
    <row r="72" spans="1:18" s="566" customFormat="1" ht="16.8" customHeight="1">
      <c r="A72" s="654"/>
      <c r="B72" s="654"/>
      <c r="C72" s="654"/>
      <c r="D72" s="651"/>
      <c r="E72" s="663"/>
      <c r="F72" s="557" t="s">
        <v>94</v>
      </c>
      <c r="G72" s="107"/>
      <c r="H72" s="107"/>
      <c r="I72" s="108"/>
      <c r="J72" s="107"/>
    </row>
    <row r="73" spans="1:18" s="574" customFormat="1" ht="36">
      <c r="A73" s="654"/>
      <c r="B73" s="654"/>
      <c r="C73" s="654"/>
      <c r="D73" s="651"/>
      <c r="E73" s="664"/>
      <c r="F73" s="579" t="s">
        <v>59</v>
      </c>
      <c r="G73" s="120">
        <f>+G75</f>
        <v>0</v>
      </c>
      <c r="H73" s="120">
        <f>+H75</f>
        <v>0</v>
      </c>
      <c r="I73" s="424">
        <f t="shared" ref="I73:J73" si="26">+I75</f>
        <v>0</v>
      </c>
      <c r="J73" s="120">
        <f t="shared" si="26"/>
        <v>0</v>
      </c>
    </row>
    <row r="74" spans="1:18" s="566" customFormat="1" ht="54">
      <c r="A74" s="654"/>
      <c r="B74" s="654"/>
      <c r="C74" s="654"/>
      <c r="D74" s="651"/>
      <c r="E74" s="664"/>
      <c r="F74" s="557" t="s">
        <v>66</v>
      </c>
      <c r="G74" s="107"/>
      <c r="H74" s="107"/>
      <c r="I74" s="124"/>
      <c r="J74" s="107"/>
    </row>
    <row r="75" spans="1:18" s="566" customFormat="1" ht="16.8" customHeight="1">
      <c r="A75" s="654"/>
      <c r="B75" s="654"/>
      <c r="C75" s="654"/>
      <c r="D75" s="651"/>
      <c r="E75" s="664"/>
      <c r="F75" s="580" t="s">
        <v>28</v>
      </c>
      <c r="G75" s="123">
        <f>+G76</f>
        <v>0</v>
      </c>
      <c r="H75" s="123">
        <f>+H76</f>
        <v>0</v>
      </c>
      <c r="I75" s="124">
        <f t="shared" ref="I75:J80" si="27">+I76</f>
        <v>0</v>
      </c>
      <c r="J75" s="123">
        <f t="shared" si="27"/>
        <v>0</v>
      </c>
    </row>
    <row r="76" spans="1:18" s="566" customFormat="1" ht="16.8" customHeight="1">
      <c r="A76" s="654"/>
      <c r="B76" s="654"/>
      <c r="C76" s="654"/>
      <c r="D76" s="651"/>
      <c r="E76" s="664"/>
      <c r="F76" s="557" t="s">
        <v>188</v>
      </c>
      <c r="G76" s="124">
        <f>+G77</f>
        <v>0</v>
      </c>
      <c r="H76" s="124">
        <f>+H77</f>
        <v>0</v>
      </c>
      <c r="I76" s="124">
        <f t="shared" si="27"/>
        <v>0</v>
      </c>
      <c r="J76" s="124">
        <f t="shared" si="27"/>
        <v>0</v>
      </c>
    </row>
    <row r="77" spans="1:18" s="566" customFormat="1" ht="16.8" customHeight="1">
      <c r="A77" s="654"/>
      <c r="B77" s="654"/>
      <c r="C77" s="654"/>
      <c r="D77" s="651"/>
      <c r="E77" s="664"/>
      <c r="F77" s="557" t="s">
        <v>189</v>
      </c>
      <c r="G77" s="124">
        <f>+G78+G80</f>
        <v>0</v>
      </c>
      <c r="H77" s="124">
        <f t="shared" ref="H77:J77" si="28">+H78+H80</f>
        <v>0</v>
      </c>
      <c r="I77" s="124">
        <f t="shared" si="28"/>
        <v>0</v>
      </c>
      <c r="J77" s="124">
        <f t="shared" si="28"/>
        <v>0</v>
      </c>
    </row>
    <row r="78" spans="1:18" s="566" customFormat="1" ht="16.8" customHeight="1">
      <c r="A78" s="654"/>
      <c r="B78" s="654"/>
      <c r="C78" s="654"/>
      <c r="D78" s="651"/>
      <c r="E78" s="665"/>
      <c r="F78" s="557" t="s">
        <v>190</v>
      </c>
      <c r="G78" s="124">
        <f>+G79</f>
        <v>0</v>
      </c>
      <c r="H78" s="124">
        <f>+H79</f>
        <v>-5091.5999999999995</v>
      </c>
      <c r="I78" s="124">
        <f t="shared" si="27"/>
        <v>-12338.100000000002</v>
      </c>
      <c r="J78" s="124">
        <f t="shared" si="27"/>
        <v>-17264</v>
      </c>
      <c r="K78" s="575"/>
    </row>
    <row r="79" spans="1:18" s="566" customFormat="1" ht="16.8" customHeight="1">
      <c r="A79" s="654"/>
      <c r="B79" s="654"/>
      <c r="C79" s="654"/>
      <c r="D79" s="651"/>
      <c r="E79" s="665"/>
      <c r="F79" s="557" t="s">
        <v>191</v>
      </c>
      <c r="G79" s="124">
        <f>+'Havelvats 4'!E35</f>
        <v>0</v>
      </c>
      <c r="H79" s="124">
        <f>+'Havelvats 4'!F35</f>
        <v>-5091.5999999999995</v>
      </c>
      <c r="I79" s="124">
        <f>+'Havelvats 4'!G35</f>
        <v>-12338.100000000002</v>
      </c>
      <c r="J79" s="124">
        <f>+'Havelvats 4'!H35</f>
        <v>-17264</v>
      </c>
      <c r="K79" s="576"/>
    </row>
    <row r="80" spans="1:18" s="566" customFormat="1" ht="16.8" customHeight="1">
      <c r="A80" s="654"/>
      <c r="B80" s="654"/>
      <c r="C80" s="654"/>
      <c r="D80" s="651"/>
      <c r="E80" s="664"/>
      <c r="F80" s="557" t="s">
        <v>396</v>
      </c>
      <c r="G80" s="124">
        <f>+G81</f>
        <v>0</v>
      </c>
      <c r="H80" s="124">
        <f>+H81</f>
        <v>5091.6000000000004</v>
      </c>
      <c r="I80" s="124">
        <f t="shared" si="27"/>
        <v>12338.1</v>
      </c>
      <c r="J80" s="124">
        <f t="shared" si="27"/>
        <v>17264</v>
      </c>
      <c r="K80" s="575"/>
    </row>
    <row r="81" spans="1:18" s="566" customFormat="1" ht="16.8" customHeight="1">
      <c r="A81" s="655"/>
      <c r="B81" s="655"/>
      <c r="C81" s="655"/>
      <c r="D81" s="652"/>
      <c r="E81" s="664"/>
      <c r="F81" s="557" t="s">
        <v>192</v>
      </c>
      <c r="G81" s="124">
        <f>+'Havelvats 4'!E47</f>
        <v>0</v>
      </c>
      <c r="H81" s="124">
        <f>+'Havelvats 4'!F47</f>
        <v>5091.6000000000004</v>
      </c>
      <c r="I81" s="124">
        <f>+'Havelvats 4'!G47</f>
        <v>12338.1</v>
      </c>
      <c r="J81" s="124">
        <f>+'Havelvats 4'!H47</f>
        <v>17264</v>
      </c>
      <c r="K81" s="576"/>
    </row>
    <row r="82" spans="1:18" s="566" customFormat="1">
      <c r="A82" s="653" t="s">
        <v>64</v>
      </c>
      <c r="B82" s="659"/>
      <c r="C82" s="502"/>
      <c r="D82" s="680"/>
      <c r="E82" s="502"/>
      <c r="F82" s="106" t="s">
        <v>61</v>
      </c>
      <c r="G82" s="28">
        <f>+G84+G101+G118</f>
        <v>-81178.200000000041</v>
      </c>
      <c r="H82" s="28">
        <f>+ROUND(H84+H101+H118,1)</f>
        <v>-36163</v>
      </c>
      <c r="I82" s="28">
        <f t="shared" ref="I82:J82" si="29">+ROUND(I84+I101+I118,1)</f>
        <v>-25782.3</v>
      </c>
      <c r="J82" s="28">
        <f t="shared" si="29"/>
        <v>-42435.6</v>
      </c>
    </row>
    <row r="83" spans="1:18" s="566" customFormat="1" ht="16.8" customHeight="1">
      <c r="A83" s="654"/>
      <c r="B83" s="659"/>
      <c r="C83" s="503"/>
      <c r="D83" s="681"/>
      <c r="E83" s="503"/>
      <c r="F83" s="557" t="s">
        <v>25</v>
      </c>
      <c r="G83" s="107"/>
      <c r="H83" s="107"/>
      <c r="I83" s="108"/>
      <c r="J83" s="107"/>
    </row>
    <row r="84" spans="1:18" s="566" customFormat="1" ht="33.85">
      <c r="A84" s="654"/>
      <c r="B84" s="694" t="s">
        <v>149</v>
      </c>
      <c r="C84" s="503"/>
      <c r="D84" s="681"/>
      <c r="E84" s="503"/>
      <c r="F84" s="106" t="s">
        <v>494</v>
      </c>
      <c r="G84" s="108">
        <f>+G86</f>
        <v>-50000</v>
      </c>
      <c r="H84" s="108">
        <f>+H86</f>
        <v>-161948.29999999999</v>
      </c>
      <c r="I84" s="108">
        <f t="shared" ref="I84:J84" si="30">+I86</f>
        <v>-293486</v>
      </c>
      <c r="J84" s="108">
        <f t="shared" si="30"/>
        <v>-223848.3</v>
      </c>
    </row>
    <row r="85" spans="1:18" s="566" customFormat="1" ht="16.8" customHeight="1">
      <c r="A85" s="654"/>
      <c r="B85" s="694"/>
      <c r="C85" s="503"/>
      <c r="D85" s="681"/>
      <c r="E85" s="503"/>
      <c r="F85" s="557" t="s">
        <v>25</v>
      </c>
      <c r="G85" s="108"/>
      <c r="H85" s="108"/>
      <c r="I85" s="108"/>
      <c r="J85" s="108"/>
    </row>
    <row r="86" spans="1:18" s="566" customFormat="1">
      <c r="A86" s="654"/>
      <c r="B86" s="694"/>
      <c r="C86" s="694" t="s">
        <v>41</v>
      </c>
      <c r="D86" s="681"/>
      <c r="E86" s="503"/>
      <c r="F86" s="106" t="s">
        <v>495</v>
      </c>
      <c r="G86" s="108">
        <f>+G88</f>
        <v>-50000</v>
      </c>
      <c r="H86" s="108">
        <f>+H88</f>
        <v>-161948.29999999999</v>
      </c>
      <c r="I86" s="108">
        <f t="shared" ref="I86:J86" si="31">+I88</f>
        <v>-293486</v>
      </c>
      <c r="J86" s="108">
        <f t="shared" si="31"/>
        <v>-223848.3</v>
      </c>
      <c r="K86" s="568"/>
      <c r="L86" s="568"/>
      <c r="M86" s="568"/>
      <c r="N86" s="568"/>
      <c r="O86" s="568"/>
      <c r="P86" s="568"/>
      <c r="Q86" s="568"/>
      <c r="R86" s="568"/>
    </row>
    <row r="87" spans="1:18" s="566" customFormat="1" ht="16.8" customHeight="1">
      <c r="A87" s="654"/>
      <c r="B87" s="694"/>
      <c r="C87" s="694"/>
      <c r="D87" s="681"/>
      <c r="E87" s="503"/>
      <c r="F87" s="557" t="s">
        <v>25</v>
      </c>
      <c r="G87" s="569"/>
      <c r="H87" s="569"/>
      <c r="I87" s="108"/>
      <c r="J87" s="569"/>
      <c r="K87" s="568"/>
      <c r="L87" s="568"/>
      <c r="M87" s="568"/>
      <c r="N87" s="568"/>
      <c r="O87" s="568"/>
      <c r="P87" s="568"/>
      <c r="Q87" s="568"/>
      <c r="R87" s="568"/>
    </row>
    <row r="88" spans="1:18" s="566" customFormat="1" ht="36">
      <c r="A88" s="654"/>
      <c r="B88" s="694"/>
      <c r="C88" s="694"/>
      <c r="D88" s="681"/>
      <c r="E88" s="503"/>
      <c r="F88" s="556" t="s">
        <v>59</v>
      </c>
      <c r="G88" s="567">
        <f>+G90</f>
        <v>-50000</v>
      </c>
      <c r="H88" s="567">
        <f t="shared" ref="H88:J88" si="32">+H90</f>
        <v>-161948.29999999999</v>
      </c>
      <c r="I88" s="123">
        <f t="shared" si="32"/>
        <v>-293486</v>
      </c>
      <c r="J88" s="567">
        <f t="shared" si="32"/>
        <v>-223848.3</v>
      </c>
      <c r="K88" s="568"/>
      <c r="L88" s="568"/>
      <c r="M88" s="568"/>
      <c r="N88" s="568"/>
      <c r="O88" s="568"/>
      <c r="P88" s="568"/>
      <c r="Q88" s="568"/>
      <c r="R88" s="568"/>
    </row>
    <row r="89" spans="1:18" s="566" customFormat="1" ht="16.8" customHeight="1">
      <c r="A89" s="654"/>
      <c r="B89" s="694"/>
      <c r="C89" s="694"/>
      <c r="D89" s="682"/>
      <c r="E89" s="503"/>
      <c r="F89" s="583" t="s">
        <v>100</v>
      </c>
      <c r="G89" s="567"/>
      <c r="H89" s="567"/>
      <c r="I89" s="127"/>
      <c r="J89" s="567"/>
      <c r="K89" s="568"/>
      <c r="L89" s="568"/>
      <c r="M89" s="568"/>
      <c r="N89" s="568"/>
      <c r="O89" s="568"/>
      <c r="P89" s="568"/>
      <c r="Q89" s="568"/>
      <c r="R89" s="568"/>
    </row>
    <row r="90" spans="1:18" s="566" customFormat="1">
      <c r="A90" s="654"/>
      <c r="B90" s="694"/>
      <c r="C90" s="694"/>
      <c r="D90" s="584">
        <v>1146</v>
      </c>
      <c r="E90" s="692" t="s">
        <v>435</v>
      </c>
      <c r="F90" s="693"/>
      <c r="G90" s="585">
        <f>+G92</f>
        <v>-50000</v>
      </c>
      <c r="H90" s="585">
        <f t="shared" ref="H90:J90" si="33">+H92</f>
        <v>-161948.29999999999</v>
      </c>
      <c r="I90" s="585">
        <f t="shared" si="33"/>
        <v>-293486</v>
      </c>
      <c r="J90" s="585">
        <f t="shared" si="33"/>
        <v>-223848.3</v>
      </c>
      <c r="K90" s="568"/>
      <c r="L90" s="568"/>
      <c r="M90" s="568"/>
      <c r="N90" s="568"/>
      <c r="O90" s="568"/>
      <c r="P90" s="568"/>
      <c r="Q90" s="568"/>
      <c r="R90" s="568"/>
    </row>
    <row r="91" spans="1:18" s="566" customFormat="1" ht="16.8" customHeight="1">
      <c r="A91" s="654"/>
      <c r="B91" s="694"/>
      <c r="C91" s="694"/>
      <c r="D91" s="669"/>
      <c r="E91" s="506"/>
      <c r="F91" s="586" t="s">
        <v>25</v>
      </c>
      <c r="G91" s="569"/>
      <c r="H91" s="569"/>
      <c r="I91" s="108"/>
      <c r="J91" s="569"/>
      <c r="K91" s="568"/>
      <c r="L91" s="568"/>
      <c r="M91" s="568"/>
      <c r="N91" s="568"/>
      <c r="O91" s="568"/>
      <c r="P91" s="568"/>
      <c r="Q91" s="568"/>
      <c r="R91" s="568"/>
    </row>
    <row r="92" spans="1:18" s="566" customFormat="1" ht="17.350000000000001" customHeight="1">
      <c r="A92" s="654"/>
      <c r="B92" s="694"/>
      <c r="C92" s="694"/>
      <c r="D92" s="669"/>
      <c r="E92" s="507">
        <v>11001</v>
      </c>
      <c r="F92" s="106" t="s">
        <v>496</v>
      </c>
      <c r="G92" s="571">
        <f>+G94</f>
        <v>-50000</v>
      </c>
      <c r="H92" s="571">
        <f t="shared" ref="H92:J92" si="34">+H94</f>
        <v>-161948.29999999999</v>
      </c>
      <c r="I92" s="571">
        <f t="shared" si="34"/>
        <v>-293486</v>
      </c>
      <c r="J92" s="572">
        <f t="shared" si="34"/>
        <v>-223848.3</v>
      </c>
      <c r="K92" s="568"/>
      <c r="L92" s="568"/>
      <c r="M92" s="568"/>
      <c r="N92" s="568"/>
      <c r="O92" s="568"/>
      <c r="P92" s="568"/>
      <c r="Q92" s="568"/>
      <c r="R92" s="568"/>
    </row>
    <row r="93" spans="1:18" s="566" customFormat="1" ht="16.8" customHeight="1">
      <c r="A93" s="654"/>
      <c r="B93" s="694"/>
      <c r="C93" s="694"/>
      <c r="D93" s="669"/>
      <c r="E93" s="684"/>
      <c r="F93" s="557" t="s">
        <v>94</v>
      </c>
      <c r="G93" s="107"/>
      <c r="H93" s="107"/>
      <c r="I93" s="108"/>
      <c r="J93" s="107"/>
    </row>
    <row r="94" spans="1:18" s="574" customFormat="1" ht="36">
      <c r="A94" s="654"/>
      <c r="B94" s="694"/>
      <c r="C94" s="694"/>
      <c r="D94" s="669"/>
      <c r="E94" s="685"/>
      <c r="F94" s="579" t="s">
        <v>59</v>
      </c>
      <c r="G94" s="120">
        <f t="shared" ref="G94:J94" si="35">G96</f>
        <v>-50000</v>
      </c>
      <c r="H94" s="120">
        <f t="shared" si="35"/>
        <v>-161948.29999999999</v>
      </c>
      <c r="I94" s="551">
        <f t="shared" si="35"/>
        <v>-293486</v>
      </c>
      <c r="J94" s="551">
        <f t="shared" si="35"/>
        <v>-223848.3</v>
      </c>
    </row>
    <row r="95" spans="1:18" s="566" customFormat="1" ht="54">
      <c r="A95" s="654"/>
      <c r="B95" s="694"/>
      <c r="C95" s="694"/>
      <c r="D95" s="669"/>
      <c r="E95" s="685"/>
      <c r="F95" s="557" t="s">
        <v>66</v>
      </c>
      <c r="G95" s="107"/>
      <c r="H95" s="107"/>
      <c r="I95" s="108"/>
      <c r="J95" s="107"/>
    </row>
    <row r="96" spans="1:18" s="566" customFormat="1" ht="16.8" customHeight="1">
      <c r="A96" s="654"/>
      <c r="B96" s="694"/>
      <c r="C96" s="694"/>
      <c r="D96" s="669"/>
      <c r="E96" s="685"/>
      <c r="F96" s="580" t="s">
        <v>67</v>
      </c>
      <c r="G96" s="107">
        <f t="shared" ref="G96:J97" si="36">G97</f>
        <v>-50000</v>
      </c>
      <c r="H96" s="107">
        <f t="shared" si="36"/>
        <v>-161948.29999999999</v>
      </c>
      <c r="I96" s="107">
        <f t="shared" si="36"/>
        <v>-293486</v>
      </c>
      <c r="J96" s="107">
        <f t="shared" si="36"/>
        <v>-223848.3</v>
      </c>
    </row>
    <row r="97" spans="1:18" s="566" customFormat="1" ht="16.8" customHeight="1">
      <c r="A97" s="654"/>
      <c r="B97" s="694"/>
      <c r="C97" s="694"/>
      <c r="D97" s="669"/>
      <c r="E97" s="685"/>
      <c r="F97" s="557" t="s">
        <v>29</v>
      </c>
      <c r="G97" s="124">
        <f t="shared" si="36"/>
        <v>-50000</v>
      </c>
      <c r="H97" s="124">
        <f t="shared" si="36"/>
        <v>-161948.29999999999</v>
      </c>
      <c r="I97" s="124">
        <f t="shared" si="36"/>
        <v>-293486</v>
      </c>
      <c r="J97" s="124">
        <f t="shared" si="36"/>
        <v>-223848.3</v>
      </c>
    </row>
    <row r="98" spans="1:18" s="566" customFormat="1" ht="16.8" customHeight="1">
      <c r="A98" s="654"/>
      <c r="B98" s="694"/>
      <c r="C98" s="694"/>
      <c r="D98" s="669"/>
      <c r="E98" s="685"/>
      <c r="F98" s="557" t="s">
        <v>497</v>
      </c>
      <c r="G98" s="124">
        <f>+G99</f>
        <v>-50000</v>
      </c>
      <c r="H98" s="124">
        <f t="shared" ref="H98:J99" si="37">+H99</f>
        <v>-161948.29999999999</v>
      </c>
      <c r="I98" s="124">
        <f t="shared" si="37"/>
        <v>-293486</v>
      </c>
      <c r="J98" s="124">
        <f t="shared" si="37"/>
        <v>-223848.3</v>
      </c>
    </row>
    <row r="99" spans="1:18" s="566" customFormat="1" ht="16.8" customHeight="1">
      <c r="A99" s="654"/>
      <c r="B99" s="694"/>
      <c r="C99" s="694"/>
      <c r="D99" s="669"/>
      <c r="E99" s="685"/>
      <c r="F99" s="557" t="s">
        <v>498</v>
      </c>
      <c r="G99" s="124">
        <f>+G100</f>
        <v>-50000</v>
      </c>
      <c r="H99" s="124">
        <f>+H100</f>
        <v>-161948.29999999999</v>
      </c>
      <c r="I99" s="124">
        <f t="shared" si="37"/>
        <v>-293486</v>
      </c>
      <c r="J99" s="124">
        <f t="shared" si="37"/>
        <v>-223848.3</v>
      </c>
      <c r="K99" s="575"/>
    </row>
    <row r="100" spans="1:18" s="566" customFormat="1" ht="16.8" customHeight="1">
      <c r="A100" s="654"/>
      <c r="B100" s="694"/>
      <c r="C100" s="694"/>
      <c r="D100" s="669"/>
      <c r="E100" s="686"/>
      <c r="F100" s="587" t="s">
        <v>499</v>
      </c>
      <c r="G100" s="124">
        <v>-50000</v>
      </c>
      <c r="H100" s="124">
        <v>-161948.29999999999</v>
      </c>
      <c r="I100" s="124">
        <v>-293486</v>
      </c>
      <c r="J100" s="124">
        <f>-150000-'Havelvats 4'!H62+6514</f>
        <v>-223848.3</v>
      </c>
      <c r="K100" s="576"/>
    </row>
    <row r="101" spans="1:18" s="566" customFormat="1">
      <c r="A101" s="654"/>
      <c r="B101" s="653" t="s">
        <v>41</v>
      </c>
      <c r="C101" s="503"/>
      <c r="D101" s="680"/>
      <c r="E101" s="503"/>
      <c r="F101" s="106" t="s">
        <v>500</v>
      </c>
      <c r="G101" s="108">
        <f>+G103</f>
        <v>-31178.2</v>
      </c>
      <c r="H101" s="108">
        <f t="shared" ref="H101:J101" si="38">+H103</f>
        <v>-52000</v>
      </c>
      <c r="I101" s="108">
        <f t="shared" si="38"/>
        <v>-90444.3</v>
      </c>
      <c r="J101" s="108">
        <f t="shared" si="38"/>
        <v>0</v>
      </c>
    </row>
    <row r="102" spans="1:18" s="566" customFormat="1" ht="16.8" customHeight="1">
      <c r="A102" s="654"/>
      <c r="B102" s="654"/>
      <c r="C102" s="503"/>
      <c r="D102" s="681"/>
      <c r="E102" s="503"/>
      <c r="F102" s="557" t="s">
        <v>25</v>
      </c>
      <c r="G102" s="108"/>
      <c r="H102" s="108"/>
      <c r="I102" s="108"/>
      <c r="J102" s="108"/>
    </row>
    <row r="103" spans="1:18" s="566" customFormat="1">
      <c r="A103" s="654"/>
      <c r="B103" s="654"/>
      <c r="C103" s="694" t="s">
        <v>149</v>
      </c>
      <c r="D103" s="681"/>
      <c r="E103" s="503"/>
      <c r="F103" s="106" t="s">
        <v>501</v>
      </c>
      <c r="G103" s="108">
        <f>+G105</f>
        <v>-31178.2</v>
      </c>
      <c r="H103" s="108">
        <f>+H105</f>
        <v>-52000</v>
      </c>
      <c r="I103" s="108">
        <f t="shared" ref="I103:J103" si="39">+I105</f>
        <v>-90444.3</v>
      </c>
      <c r="J103" s="108">
        <f t="shared" si="39"/>
        <v>0</v>
      </c>
      <c r="K103" s="568"/>
      <c r="L103" s="568"/>
      <c r="M103" s="568"/>
      <c r="N103" s="568"/>
      <c r="O103" s="568"/>
      <c r="P103" s="568"/>
      <c r="Q103" s="568"/>
      <c r="R103" s="568"/>
    </row>
    <row r="104" spans="1:18" s="566" customFormat="1" ht="16.8" customHeight="1">
      <c r="A104" s="654"/>
      <c r="B104" s="654"/>
      <c r="C104" s="694"/>
      <c r="D104" s="681"/>
      <c r="E104" s="503"/>
      <c r="F104" s="557" t="s">
        <v>25</v>
      </c>
      <c r="G104" s="569"/>
      <c r="H104" s="569"/>
      <c r="I104" s="108"/>
      <c r="J104" s="569"/>
      <c r="K104" s="568"/>
      <c r="L104" s="568"/>
      <c r="M104" s="568"/>
      <c r="N104" s="568"/>
      <c r="O104" s="568"/>
      <c r="P104" s="568"/>
      <c r="Q104" s="568"/>
      <c r="R104" s="568"/>
    </row>
    <row r="105" spans="1:18" s="566" customFormat="1" ht="36">
      <c r="A105" s="654"/>
      <c r="B105" s="654"/>
      <c r="C105" s="694"/>
      <c r="D105" s="681"/>
      <c r="E105" s="503"/>
      <c r="F105" s="556" t="s">
        <v>59</v>
      </c>
      <c r="G105" s="123">
        <f>+G107</f>
        <v>-31178.2</v>
      </c>
      <c r="H105" s="123">
        <f t="shared" ref="H105:J105" si="40">+H107</f>
        <v>-52000</v>
      </c>
      <c r="I105" s="123">
        <f t="shared" si="40"/>
        <v>-90444.3</v>
      </c>
      <c r="J105" s="567">
        <f t="shared" si="40"/>
        <v>0</v>
      </c>
      <c r="K105" s="568"/>
      <c r="L105" s="568"/>
      <c r="M105" s="568"/>
      <c r="N105" s="568"/>
      <c r="O105" s="568"/>
      <c r="P105" s="568"/>
      <c r="Q105" s="568"/>
      <c r="R105" s="568"/>
    </row>
    <row r="106" spans="1:18" s="566" customFormat="1" ht="16.8" customHeight="1">
      <c r="A106" s="654"/>
      <c r="B106" s="654"/>
      <c r="C106" s="694"/>
      <c r="D106" s="682"/>
      <c r="E106" s="503"/>
      <c r="F106" s="583" t="s">
        <v>100</v>
      </c>
      <c r="G106" s="567"/>
      <c r="H106" s="567"/>
      <c r="I106" s="127"/>
      <c r="J106" s="567"/>
      <c r="K106" s="568"/>
      <c r="L106" s="568"/>
      <c r="M106" s="568"/>
      <c r="N106" s="568"/>
      <c r="O106" s="568"/>
      <c r="P106" s="568"/>
      <c r="Q106" s="568"/>
      <c r="R106" s="568"/>
    </row>
    <row r="107" spans="1:18" s="566" customFormat="1">
      <c r="A107" s="654"/>
      <c r="B107" s="654"/>
      <c r="C107" s="694"/>
      <c r="D107" s="584">
        <v>1146</v>
      </c>
      <c r="E107" s="692" t="s">
        <v>435</v>
      </c>
      <c r="F107" s="693"/>
      <c r="G107" s="585">
        <f>+G109</f>
        <v>-31178.2</v>
      </c>
      <c r="H107" s="585">
        <f t="shared" ref="H107:J107" si="41">+H109</f>
        <v>-52000</v>
      </c>
      <c r="I107" s="585">
        <f t="shared" si="41"/>
        <v>-90444.3</v>
      </c>
      <c r="J107" s="585">
        <f t="shared" si="41"/>
        <v>0</v>
      </c>
      <c r="K107" s="568"/>
      <c r="L107" s="568"/>
      <c r="M107" s="568"/>
      <c r="N107" s="568"/>
      <c r="O107" s="568"/>
      <c r="P107" s="568"/>
      <c r="Q107" s="568"/>
      <c r="R107" s="568"/>
    </row>
    <row r="108" spans="1:18" s="566" customFormat="1" ht="16.8" customHeight="1">
      <c r="A108" s="654"/>
      <c r="B108" s="654"/>
      <c r="C108" s="694"/>
      <c r="D108" s="669"/>
      <c r="E108" s="506"/>
      <c r="F108" s="586" t="s">
        <v>25</v>
      </c>
      <c r="G108" s="569"/>
      <c r="H108" s="569"/>
      <c r="I108" s="108"/>
      <c r="J108" s="569"/>
      <c r="K108" s="568"/>
      <c r="L108" s="568"/>
      <c r="M108" s="568"/>
      <c r="N108" s="568"/>
      <c r="O108" s="568"/>
      <c r="P108" s="568"/>
      <c r="Q108" s="568"/>
      <c r="R108" s="568"/>
    </row>
    <row r="109" spans="1:18" s="566" customFormat="1" ht="17.350000000000001" customHeight="1">
      <c r="A109" s="654"/>
      <c r="B109" s="654"/>
      <c r="C109" s="694"/>
      <c r="D109" s="669"/>
      <c r="E109" s="507">
        <v>11002</v>
      </c>
      <c r="F109" s="106" t="s">
        <v>502</v>
      </c>
      <c r="G109" s="571">
        <f>+G111</f>
        <v>-31178.2</v>
      </c>
      <c r="H109" s="571">
        <f t="shared" ref="H109:J109" si="42">+H111</f>
        <v>-52000</v>
      </c>
      <c r="I109" s="571">
        <f t="shared" si="42"/>
        <v>-90444.3</v>
      </c>
      <c r="J109" s="572">
        <f t="shared" si="42"/>
        <v>0</v>
      </c>
      <c r="K109" s="568"/>
      <c r="L109" s="568"/>
      <c r="M109" s="568"/>
      <c r="N109" s="568"/>
      <c r="O109" s="568"/>
      <c r="P109" s="568"/>
      <c r="Q109" s="568"/>
      <c r="R109" s="568"/>
    </row>
    <row r="110" spans="1:18" s="566" customFormat="1" ht="16.8" customHeight="1">
      <c r="A110" s="654"/>
      <c r="B110" s="654"/>
      <c r="C110" s="694"/>
      <c r="D110" s="669"/>
      <c r="E110" s="684"/>
      <c r="F110" s="557" t="s">
        <v>94</v>
      </c>
      <c r="G110" s="107"/>
      <c r="H110" s="107"/>
      <c r="I110" s="108"/>
      <c r="J110" s="107"/>
    </row>
    <row r="111" spans="1:18" s="574" customFormat="1" ht="36">
      <c r="A111" s="654"/>
      <c r="B111" s="654"/>
      <c r="C111" s="694"/>
      <c r="D111" s="669"/>
      <c r="E111" s="685"/>
      <c r="F111" s="579" t="s">
        <v>59</v>
      </c>
      <c r="G111" s="120">
        <f t="shared" ref="G111:J111" si="43">G113</f>
        <v>-31178.2</v>
      </c>
      <c r="H111" s="120">
        <f t="shared" si="43"/>
        <v>-52000</v>
      </c>
      <c r="I111" s="120">
        <f t="shared" si="43"/>
        <v>-90444.3</v>
      </c>
      <c r="J111" s="120">
        <f t="shared" si="43"/>
        <v>0</v>
      </c>
    </row>
    <row r="112" spans="1:18" s="566" customFormat="1" ht="54">
      <c r="A112" s="654"/>
      <c r="B112" s="654"/>
      <c r="C112" s="694"/>
      <c r="D112" s="669"/>
      <c r="E112" s="685"/>
      <c r="F112" s="557" t="s">
        <v>66</v>
      </c>
      <c r="G112" s="107"/>
      <c r="H112" s="107"/>
      <c r="I112" s="108"/>
      <c r="J112" s="107"/>
    </row>
    <row r="113" spans="1:18" s="566" customFormat="1" ht="16.8" customHeight="1">
      <c r="A113" s="654"/>
      <c r="B113" s="654"/>
      <c r="C113" s="694"/>
      <c r="D113" s="669"/>
      <c r="E113" s="685"/>
      <c r="F113" s="580" t="s">
        <v>67</v>
      </c>
      <c r="G113" s="107">
        <f t="shared" ref="G113:J114" si="44">G114</f>
        <v>-31178.2</v>
      </c>
      <c r="H113" s="107">
        <f t="shared" si="44"/>
        <v>-52000</v>
      </c>
      <c r="I113" s="107">
        <f t="shared" si="44"/>
        <v>-90444.3</v>
      </c>
      <c r="J113" s="107">
        <f t="shared" si="44"/>
        <v>0</v>
      </c>
    </row>
    <row r="114" spans="1:18" s="566" customFormat="1" ht="16.8" customHeight="1">
      <c r="A114" s="654"/>
      <c r="B114" s="654"/>
      <c r="C114" s="694"/>
      <c r="D114" s="669"/>
      <c r="E114" s="685"/>
      <c r="F114" s="557" t="s">
        <v>29</v>
      </c>
      <c r="G114" s="124">
        <f t="shared" si="44"/>
        <v>-31178.2</v>
      </c>
      <c r="H114" s="124">
        <f t="shared" si="44"/>
        <v>-52000</v>
      </c>
      <c r="I114" s="124">
        <f t="shared" si="44"/>
        <v>-90444.3</v>
      </c>
      <c r="J114" s="124">
        <f t="shared" si="44"/>
        <v>0</v>
      </c>
    </row>
    <row r="115" spans="1:18" s="566" customFormat="1" ht="16.8" customHeight="1">
      <c r="A115" s="654"/>
      <c r="B115" s="654"/>
      <c r="C115" s="694"/>
      <c r="D115" s="669"/>
      <c r="E115" s="685"/>
      <c r="F115" s="557" t="s">
        <v>497</v>
      </c>
      <c r="G115" s="124">
        <f>+G116</f>
        <v>-31178.2</v>
      </c>
      <c r="H115" s="124">
        <f t="shared" ref="H115:J116" si="45">+H116</f>
        <v>-52000</v>
      </c>
      <c r="I115" s="124">
        <f t="shared" si="45"/>
        <v>-90444.3</v>
      </c>
      <c r="J115" s="124">
        <f t="shared" si="45"/>
        <v>0</v>
      </c>
    </row>
    <row r="116" spans="1:18" s="566" customFormat="1" ht="16.8" customHeight="1">
      <c r="A116" s="654"/>
      <c r="B116" s="654"/>
      <c r="C116" s="694"/>
      <c r="D116" s="669"/>
      <c r="E116" s="685"/>
      <c r="F116" s="557" t="s">
        <v>498</v>
      </c>
      <c r="G116" s="124">
        <f>+G117</f>
        <v>-31178.2</v>
      </c>
      <c r="H116" s="124">
        <f>+H117</f>
        <v>-52000</v>
      </c>
      <c r="I116" s="124">
        <f t="shared" si="45"/>
        <v>-90444.3</v>
      </c>
      <c r="J116" s="124">
        <f t="shared" si="45"/>
        <v>0</v>
      </c>
      <c r="K116" s="575"/>
    </row>
    <row r="117" spans="1:18" s="566" customFormat="1" ht="16.8" customHeight="1">
      <c r="A117" s="654"/>
      <c r="B117" s="654"/>
      <c r="C117" s="694"/>
      <c r="D117" s="669"/>
      <c r="E117" s="686"/>
      <c r="F117" s="587" t="s">
        <v>499</v>
      </c>
      <c r="G117" s="124">
        <v>-31178.2</v>
      </c>
      <c r="H117" s="124">
        <v>-52000</v>
      </c>
      <c r="I117" s="124">
        <v>-90444.3</v>
      </c>
      <c r="J117" s="124">
        <v>0</v>
      </c>
      <c r="K117" s="576"/>
    </row>
    <row r="118" spans="1:18" s="566" customFormat="1">
      <c r="A118" s="654"/>
      <c r="B118" s="653" t="s">
        <v>65</v>
      </c>
      <c r="C118" s="503"/>
      <c r="D118" s="680"/>
      <c r="E118" s="503"/>
      <c r="F118" s="106" t="s">
        <v>62</v>
      </c>
      <c r="G118" s="108">
        <f>+G120</f>
        <v>-4.7293724492192268E-11</v>
      </c>
      <c r="H118" s="108">
        <f>+H120</f>
        <v>177785.29999999993</v>
      </c>
      <c r="I118" s="108">
        <f t="shared" ref="I118:J118" si="46">+I120</f>
        <v>358147.99999999959</v>
      </c>
      <c r="J118" s="108">
        <f t="shared" si="46"/>
        <v>181412.6999999992</v>
      </c>
    </row>
    <row r="119" spans="1:18" s="566" customFormat="1" ht="16.8" customHeight="1">
      <c r="A119" s="654"/>
      <c r="B119" s="654"/>
      <c r="C119" s="504"/>
      <c r="D119" s="681"/>
      <c r="E119" s="503"/>
      <c r="F119" s="557" t="s">
        <v>25</v>
      </c>
      <c r="G119" s="108"/>
      <c r="H119" s="108"/>
      <c r="I119" s="108"/>
      <c r="J119" s="108"/>
    </row>
    <row r="120" spans="1:18" s="566" customFormat="1">
      <c r="A120" s="654"/>
      <c r="B120" s="654"/>
      <c r="C120" s="650" t="s">
        <v>39</v>
      </c>
      <c r="D120" s="681"/>
      <c r="E120" s="503"/>
      <c r="F120" s="106" t="s">
        <v>62</v>
      </c>
      <c r="G120" s="108">
        <f>+G122</f>
        <v>-4.7293724492192268E-11</v>
      </c>
      <c r="H120" s="108">
        <f>+H122</f>
        <v>177785.29999999993</v>
      </c>
      <c r="I120" s="108">
        <f t="shared" ref="I120:J120" si="47">+I122</f>
        <v>358147.99999999959</v>
      </c>
      <c r="J120" s="108">
        <f t="shared" si="47"/>
        <v>181412.6999999992</v>
      </c>
      <c r="K120" s="568"/>
      <c r="L120" s="568"/>
      <c r="M120" s="568"/>
      <c r="N120" s="568"/>
      <c r="O120" s="568"/>
      <c r="P120" s="568"/>
      <c r="Q120" s="568"/>
      <c r="R120" s="568"/>
    </row>
    <row r="121" spans="1:18" s="566" customFormat="1" ht="16.8" customHeight="1">
      <c r="A121" s="654"/>
      <c r="B121" s="654"/>
      <c r="C121" s="651"/>
      <c r="D121" s="681"/>
      <c r="E121" s="503"/>
      <c r="F121" s="557" t="s">
        <v>25</v>
      </c>
      <c r="G121" s="569"/>
      <c r="H121" s="569"/>
      <c r="I121" s="108"/>
      <c r="J121" s="569"/>
      <c r="K121" s="568"/>
      <c r="L121" s="568"/>
      <c r="M121" s="568"/>
      <c r="N121" s="568"/>
      <c r="O121" s="568"/>
      <c r="P121" s="568"/>
      <c r="Q121" s="568"/>
      <c r="R121" s="568"/>
    </row>
    <row r="122" spans="1:18" s="566" customFormat="1" ht="36">
      <c r="A122" s="654"/>
      <c r="B122" s="654"/>
      <c r="C122" s="651"/>
      <c r="D122" s="681"/>
      <c r="E122" s="503"/>
      <c r="F122" s="556" t="s">
        <v>59</v>
      </c>
      <c r="G122" s="567">
        <f>+G124+G144+G155+G168+G204</f>
        <v>-4.7293724492192268E-11</v>
      </c>
      <c r="H122" s="567">
        <f t="shared" ref="H122:J122" si="48">+H124+H144+H155+H168+H204</f>
        <v>177785.29999999993</v>
      </c>
      <c r="I122" s="567">
        <f t="shared" si="48"/>
        <v>358147.99999999959</v>
      </c>
      <c r="J122" s="567">
        <f t="shared" si="48"/>
        <v>181412.6999999992</v>
      </c>
      <c r="K122" s="568"/>
      <c r="L122" s="568"/>
      <c r="M122" s="568"/>
      <c r="N122" s="568"/>
      <c r="O122" s="568"/>
      <c r="P122" s="568"/>
      <c r="Q122" s="568"/>
      <c r="R122" s="568"/>
    </row>
    <row r="123" spans="1:18" s="566" customFormat="1" ht="16.8" customHeight="1">
      <c r="A123" s="654"/>
      <c r="B123" s="654"/>
      <c r="C123" s="651"/>
      <c r="D123" s="682"/>
      <c r="E123" s="504"/>
      <c r="F123" s="556" t="s">
        <v>100</v>
      </c>
      <c r="G123" s="567"/>
      <c r="H123" s="567"/>
      <c r="I123" s="127"/>
      <c r="J123" s="567"/>
      <c r="K123" s="568"/>
      <c r="L123" s="568"/>
      <c r="M123" s="568"/>
      <c r="N123" s="568"/>
      <c r="O123" s="568"/>
      <c r="P123" s="568"/>
      <c r="Q123" s="568"/>
      <c r="R123" s="568"/>
    </row>
    <row r="124" spans="1:18" s="566" customFormat="1">
      <c r="A124" s="654"/>
      <c r="B124" s="654"/>
      <c r="C124" s="651"/>
      <c r="D124" s="650">
        <v>1045</v>
      </c>
      <c r="E124" s="656" t="s">
        <v>150</v>
      </c>
      <c r="F124" s="657"/>
      <c r="G124" s="585">
        <f>+G126+G135</f>
        <v>-4953.9000000000015</v>
      </c>
      <c r="H124" s="585">
        <f t="shared" ref="H124:J124" si="49">+H126+H135</f>
        <v>44565.39999999998</v>
      </c>
      <c r="I124" s="585">
        <f t="shared" si="49"/>
        <v>235989.40000000002</v>
      </c>
      <c r="J124" s="585">
        <f t="shared" si="49"/>
        <v>156247.5</v>
      </c>
      <c r="K124" s="568"/>
      <c r="L124" s="568"/>
      <c r="M124" s="568"/>
      <c r="N124" s="568"/>
      <c r="O124" s="568"/>
      <c r="P124" s="568"/>
      <c r="Q124" s="568"/>
      <c r="R124" s="568"/>
    </row>
    <row r="125" spans="1:18" s="566" customFormat="1" ht="16.8" customHeight="1">
      <c r="A125" s="654"/>
      <c r="B125" s="654"/>
      <c r="C125" s="651"/>
      <c r="D125" s="651"/>
      <c r="E125" s="588"/>
      <c r="F125" s="557" t="s">
        <v>25</v>
      </c>
      <c r="G125" s="569"/>
      <c r="H125" s="569"/>
      <c r="I125" s="108"/>
      <c r="J125" s="569"/>
      <c r="K125" s="568"/>
      <c r="L125" s="568"/>
      <c r="M125" s="568"/>
      <c r="N125" s="568"/>
      <c r="O125" s="568"/>
      <c r="P125" s="568"/>
      <c r="Q125" s="568"/>
      <c r="R125" s="568"/>
    </row>
    <row r="126" spans="1:18" s="566" customFormat="1" ht="67.650000000000006">
      <c r="A126" s="654"/>
      <c r="B126" s="654"/>
      <c r="C126" s="651"/>
      <c r="D126" s="651"/>
      <c r="E126" s="589">
        <v>32001</v>
      </c>
      <c r="F126" s="106" t="s">
        <v>172</v>
      </c>
      <c r="G126" s="571">
        <f>+G128</f>
        <v>-4953.9000000000015</v>
      </c>
      <c r="H126" s="571">
        <f t="shared" ref="H126:J126" si="50">+H128</f>
        <v>44565.39999999998</v>
      </c>
      <c r="I126" s="571">
        <f t="shared" si="50"/>
        <v>114833.90000000002</v>
      </c>
      <c r="J126" s="572">
        <f t="shared" si="50"/>
        <v>35092</v>
      </c>
      <c r="K126" s="568"/>
      <c r="L126" s="568"/>
      <c r="M126" s="568"/>
      <c r="N126" s="568"/>
      <c r="O126" s="568"/>
      <c r="P126" s="568"/>
      <c r="Q126" s="568"/>
      <c r="R126" s="568"/>
    </row>
    <row r="127" spans="1:18" s="566" customFormat="1" ht="16.8" customHeight="1">
      <c r="A127" s="654"/>
      <c r="B127" s="654"/>
      <c r="C127" s="651"/>
      <c r="D127" s="651"/>
      <c r="E127" s="647"/>
      <c r="F127" s="557" t="s">
        <v>94</v>
      </c>
      <c r="G127" s="107"/>
      <c r="H127" s="107"/>
      <c r="I127" s="108"/>
      <c r="J127" s="107"/>
    </row>
    <row r="128" spans="1:18" s="574" customFormat="1" ht="16.8" customHeight="1">
      <c r="A128" s="654"/>
      <c r="B128" s="654"/>
      <c r="C128" s="651"/>
      <c r="D128" s="651"/>
      <c r="E128" s="648"/>
      <c r="F128" s="579" t="s">
        <v>110</v>
      </c>
      <c r="G128" s="120">
        <f t="shared" ref="G128" si="51">G130</f>
        <v>-4953.9000000000015</v>
      </c>
      <c r="H128" s="120">
        <f t="shared" ref="H128:J128" si="52">H130</f>
        <v>44565.39999999998</v>
      </c>
      <c r="I128" s="120">
        <f t="shared" si="52"/>
        <v>114833.90000000002</v>
      </c>
      <c r="J128" s="120">
        <f t="shared" si="52"/>
        <v>35092</v>
      </c>
    </row>
    <row r="129" spans="1:18" s="566" customFormat="1" ht="54">
      <c r="A129" s="654"/>
      <c r="B129" s="654"/>
      <c r="C129" s="651"/>
      <c r="D129" s="651"/>
      <c r="E129" s="648"/>
      <c r="F129" s="557" t="s">
        <v>66</v>
      </c>
      <c r="G129" s="107"/>
      <c r="H129" s="107"/>
      <c r="I129" s="108"/>
      <c r="J129" s="107"/>
    </row>
    <row r="130" spans="1:18" s="566" customFormat="1" ht="16.8" customHeight="1">
      <c r="A130" s="654"/>
      <c r="B130" s="654"/>
      <c r="C130" s="651"/>
      <c r="D130" s="651"/>
      <c r="E130" s="648"/>
      <c r="F130" s="580" t="s">
        <v>67</v>
      </c>
      <c r="G130" s="107">
        <f t="shared" ref="G130:J131" si="53">G131</f>
        <v>-4953.9000000000015</v>
      </c>
      <c r="H130" s="107">
        <f t="shared" si="53"/>
        <v>44565.39999999998</v>
      </c>
      <c r="I130" s="107">
        <f t="shared" si="53"/>
        <v>114833.90000000002</v>
      </c>
      <c r="J130" s="107">
        <f t="shared" si="53"/>
        <v>35092</v>
      </c>
    </row>
    <row r="131" spans="1:18" s="566" customFormat="1" ht="16.8" customHeight="1">
      <c r="A131" s="654"/>
      <c r="B131" s="654"/>
      <c r="C131" s="651"/>
      <c r="D131" s="651"/>
      <c r="E131" s="648"/>
      <c r="F131" s="557" t="s">
        <v>188</v>
      </c>
      <c r="G131" s="124">
        <f t="shared" si="53"/>
        <v>-4953.9000000000015</v>
      </c>
      <c r="H131" s="124">
        <f t="shared" si="53"/>
        <v>44565.39999999998</v>
      </c>
      <c r="I131" s="124">
        <f t="shared" si="53"/>
        <v>114833.90000000002</v>
      </c>
      <c r="J131" s="124">
        <f t="shared" si="53"/>
        <v>35092</v>
      </c>
    </row>
    <row r="132" spans="1:18" s="566" customFormat="1" ht="16.8" customHeight="1">
      <c r="A132" s="654"/>
      <c r="B132" s="654"/>
      <c r="C132" s="651"/>
      <c r="D132" s="651"/>
      <c r="E132" s="648"/>
      <c r="F132" s="557" t="s">
        <v>189</v>
      </c>
      <c r="G132" s="124">
        <f>+G133</f>
        <v>-4953.9000000000015</v>
      </c>
      <c r="H132" s="124">
        <f t="shared" ref="H132:J132" si="54">+H133</f>
        <v>44565.39999999998</v>
      </c>
      <c r="I132" s="124">
        <f t="shared" si="54"/>
        <v>114833.90000000002</v>
      </c>
      <c r="J132" s="124">
        <f t="shared" si="54"/>
        <v>35092</v>
      </c>
    </row>
    <row r="133" spans="1:18" s="566" customFormat="1" ht="16.8" customHeight="1">
      <c r="A133" s="654"/>
      <c r="B133" s="654"/>
      <c r="C133" s="651"/>
      <c r="D133" s="651"/>
      <c r="E133" s="648"/>
      <c r="F133" s="557" t="s">
        <v>190</v>
      </c>
      <c r="G133" s="124">
        <f>+G134</f>
        <v>-4953.9000000000015</v>
      </c>
      <c r="H133" s="124">
        <f>+H134</f>
        <v>44565.39999999998</v>
      </c>
      <c r="I133" s="124">
        <f t="shared" ref="I133:J133" si="55">+I134</f>
        <v>114833.90000000002</v>
      </c>
      <c r="J133" s="124">
        <f t="shared" si="55"/>
        <v>35092</v>
      </c>
      <c r="K133" s="575"/>
    </row>
    <row r="134" spans="1:18" s="566" customFormat="1" ht="16.8" customHeight="1">
      <c r="A134" s="654"/>
      <c r="B134" s="654"/>
      <c r="C134" s="651"/>
      <c r="D134" s="651"/>
      <c r="E134" s="648"/>
      <c r="F134" s="587" t="s">
        <v>191</v>
      </c>
      <c r="G134" s="124">
        <f>+'Havelvats 4'!E16</f>
        <v>-4953.9000000000015</v>
      </c>
      <c r="H134" s="124">
        <f>+'Havelvats 4'!F16</f>
        <v>44565.39999999998</v>
      </c>
      <c r="I134" s="124">
        <f>+'Havelvats 4'!G16</f>
        <v>114833.90000000002</v>
      </c>
      <c r="J134" s="124">
        <f>+ROUND('Havelvats 4'!H16,1)</f>
        <v>35092</v>
      </c>
      <c r="K134" s="576"/>
    </row>
    <row r="135" spans="1:18" s="566" customFormat="1" ht="67.650000000000006">
      <c r="A135" s="654"/>
      <c r="B135" s="654"/>
      <c r="C135" s="651"/>
      <c r="D135" s="651"/>
      <c r="E135" s="590">
        <v>32004</v>
      </c>
      <c r="F135" s="106" t="s">
        <v>276</v>
      </c>
      <c r="G135" s="571">
        <f>+G137</f>
        <v>0</v>
      </c>
      <c r="H135" s="571">
        <f t="shared" ref="H135:J135" si="56">+H137</f>
        <v>0</v>
      </c>
      <c r="I135" s="572">
        <f t="shared" si="56"/>
        <v>121155.5</v>
      </c>
      <c r="J135" s="572">
        <f t="shared" si="56"/>
        <v>121155.5</v>
      </c>
      <c r="K135" s="568"/>
      <c r="L135" s="568"/>
      <c r="M135" s="568"/>
      <c r="N135" s="568"/>
      <c r="O135" s="568"/>
      <c r="P135" s="568"/>
      <c r="Q135" s="568"/>
      <c r="R135" s="568"/>
    </row>
    <row r="136" spans="1:18" s="566" customFormat="1" ht="16.8" customHeight="1">
      <c r="A136" s="654"/>
      <c r="B136" s="654"/>
      <c r="C136" s="651"/>
      <c r="D136" s="651"/>
      <c r="E136" s="647"/>
      <c r="F136" s="557" t="s">
        <v>94</v>
      </c>
      <c r="G136" s="107"/>
      <c r="H136" s="107"/>
      <c r="I136" s="108"/>
      <c r="J136" s="107"/>
    </row>
    <row r="137" spans="1:18" s="574" customFormat="1" ht="36">
      <c r="A137" s="654"/>
      <c r="B137" s="654"/>
      <c r="C137" s="651"/>
      <c r="D137" s="651"/>
      <c r="E137" s="648"/>
      <c r="F137" s="579" t="s">
        <v>59</v>
      </c>
      <c r="G137" s="120">
        <f t="shared" ref="G137:J137" si="57">G139</f>
        <v>0</v>
      </c>
      <c r="H137" s="120">
        <f t="shared" si="57"/>
        <v>0</v>
      </c>
      <c r="I137" s="120">
        <f t="shared" si="57"/>
        <v>121155.5</v>
      </c>
      <c r="J137" s="120">
        <f t="shared" si="57"/>
        <v>121155.5</v>
      </c>
    </row>
    <row r="138" spans="1:18" s="566" customFormat="1" ht="54">
      <c r="A138" s="654"/>
      <c r="B138" s="654"/>
      <c r="C138" s="651"/>
      <c r="D138" s="651"/>
      <c r="E138" s="648"/>
      <c r="F138" s="557" t="s">
        <v>66</v>
      </c>
      <c r="G138" s="107"/>
      <c r="H138" s="107"/>
      <c r="I138" s="108"/>
      <c r="J138" s="107"/>
    </row>
    <row r="139" spans="1:18" s="566" customFormat="1" ht="16.8" customHeight="1">
      <c r="A139" s="654"/>
      <c r="B139" s="654"/>
      <c r="C139" s="651"/>
      <c r="D139" s="651"/>
      <c r="E139" s="648"/>
      <c r="F139" s="580" t="s">
        <v>67</v>
      </c>
      <c r="G139" s="107">
        <f t="shared" ref="G139:J140" si="58">G140</f>
        <v>0</v>
      </c>
      <c r="H139" s="107">
        <f t="shared" si="58"/>
        <v>0</v>
      </c>
      <c r="I139" s="107">
        <f t="shared" si="58"/>
        <v>121155.5</v>
      </c>
      <c r="J139" s="107">
        <f t="shared" si="58"/>
        <v>121155.5</v>
      </c>
    </row>
    <row r="140" spans="1:18" s="566" customFormat="1" ht="16.8" customHeight="1">
      <c r="A140" s="654"/>
      <c r="B140" s="654"/>
      <c r="C140" s="651"/>
      <c r="D140" s="651"/>
      <c r="E140" s="648"/>
      <c r="F140" s="557" t="s">
        <v>188</v>
      </c>
      <c r="G140" s="124">
        <f t="shared" si="58"/>
        <v>0</v>
      </c>
      <c r="H140" s="124">
        <f t="shared" si="58"/>
        <v>0</v>
      </c>
      <c r="I140" s="124">
        <f t="shared" si="58"/>
        <v>121155.5</v>
      </c>
      <c r="J140" s="124">
        <f t="shared" si="58"/>
        <v>121155.5</v>
      </c>
    </row>
    <row r="141" spans="1:18" s="566" customFormat="1" ht="16.8" customHeight="1">
      <c r="A141" s="654"/>
      <c r="B141" s="654"/>
      <c r="C141" s="651"/>
      <c r="D141" s="651"/>
      <c r="E141" s="648"/>
      <c r="F141" s="557" t="s">
        <v>189</v>
      </c>
      <c r="G141" s="124">
        <f>+G142</f>
        <v>0</v>
      </c>
      <c r="H141" s="124">
        <f t="shared" ref="H141" si="59">+H142</f>
        <v>0</v>
      </c>
      <c r="I141" s="124">
        <f t="shared" ref="I141:J142" si="60">+I142</f>
        <v>121155.5</v>
      </c>
      <c r="J141" s="124">
        <f t="shared" ref="J141" si="61">+J142</f>
        <v>121155.5</v>
      </c>
    </row>
    <row r="142" spans="1:18" s="566" customFormat="1" ht="17.350000000000001" customHeight="1">
      <c r="A142" s="654"/>
      <c r="B142" s="654"/>
      <c r="C142" s="651"/>
      <c r="D142" s="651"/>
      <c r="E142" s="648"/>
      <c r="F142" s="557" t="s">
        <v>397</v>
      </c>
      <c r="G142" s="124">
        <f>+G143</f>
        <v>0</v>
      </c>
      <c r="H142" s="124">
        <f>+H143</f>
        <v>0</v>
      </c>
      <c r="I142" s="124">
        <f t="shared" si="60"/>
        <v>121155.5</v>
      </c>
      <c r="J142" s="124">
        <f t="shared" si="60"/>
        <v>121155.5</v>
      </c>
      <c r="K142" s="575"/>
    </row>
    <row r="143" spans="1:18" s="566" customFormat="1" ht="17.350000000000001" customHeight="1">
      <c r="A143" s="654"/>
      <c r="B143" s="654"/>
      <c r="C143" s="651"/>
      <c r="D143" s="652"/>
      <c r="E143" s="648"/>
      <c r="F143" s="557" t="s">
        <v>398</v>
      </c>
      <c r="G143" s="124">
        <f>+'Havelvats 4'!E27</f>
        <v>0</v>
      </c>
      <c r="H143" s="124">
        <f>+'Havelvats 4'!F27</f>
        <v>0</v>
      </c>
      <c r="I143" s="124">
        <f>+'Havelvats 4'!G27</f>
        <v>121155.5</v>
      </c>
      <c r="J143" s="124">
        <f>+'Havelvats 4'!H27</f>
        <v>121155.5</v>
      </c>
      <c r="K143" s="576"/>
    </row>
    <row r="144" spans="1:18" s="566" customFormat="1">
      <c r="A144" s="654"/>
      <c r="B144" s="654"/>
      <c r="C144" s="651"/>
      <c r="D144" s="691">
        <v>1111</v>
      </c>
      <c r="E144" s="656" t="s">
        <v>151</v>
      </c>
      <c r="F144" s="657"/>
      <c r="G144" s="28">
        <f t="shared" ref="G144" si="62">+G146</f>
        <v>0</v>
      </c>
      <c r="H144" s="28">
        <f t="shared" ref="H144:J144" si="63">+H146</f>
        <v>0</v>
      </c>
      <c r="I144" s="28">
        <f t="shared" si="63"/>
        <v>0</v>
      </c>
      <c r="J144" s="585">
        <f t="shared" si="63"/>
        <v>-126342.90000000001</v>
      </c>
      <c r="K144" s="568"/>
      <c r="L144" s="568"/>
      <c r="M144" s="568"/>
      <c r="N144" s="568"/>
      <c r="O144" s="568"/>
      <c r="P144" s="568"/>
      <c r="Q144" s="568"/>
      <c r="R144" s="568"/>
    </row>
    <row r="145" spans="1:18" s="566" customFormat="1" ht="16.8" customHeight="1">
      <c r="A145" s="654"/>
      <c r="B145" s="654"/>
      <c r="C145" s="651"/>
      <c r="D145" s="691"/>
      <c r="E145" s="588"/>
      <c r="F145" s="557" t="s">
        <v>25</v>
      </c>
      <c r="G145" s="108"/>
      <c r="H145" s="108"/>
      <c r="I145" s="108"/>
      <c r="J145" s="569"/>
      <c r="K145" s="568"/>
      <c r="L145" s="568"/>
      <c r="M145" s="568"/>
      <c r="N145" s="568"/>
      <c r="O145" s="568"/>
      <c r="P145" s="568"/>
      <c r="Q145" s="568"/>
      <c r="R145" s="568"/>
    </row>
    <row r="146" spans="1:18" s="566" customFormat="1" ht="34.950000000000003" customHeight="1">
      <c r="A146" s="654"/>
      <c r="B146" s="654"/>
      <c r="C146" s="651"/>
      <c r="D146" s="691"/>
      <c r="E146" s="590">
        <v>32001</v>
      </c>
      <c r="F146" s="106" t="s">
        <v>277</v>
      </c>
      <c r="G146" s="571">
        <f t="shared" ref="G146:H146" si="64">G148</f>
        <v>0</v>
      </c>
      <c r="H146" s="571">
        <f t="shared" si="64"/>
        <v>0</v>
      </c>
      <c r="I146" s="571">
        <f t="shared" ref="I146:J146" si="65">I148</f>
        <v>0</v>
      </c>
      <c r="J146" s="572">
        <f t="shared" si="65"/>
        <v>-126342.90000000001</v>
      </c>
      <c r="K146" s="568"/>
      <c r="L146" s="568"/>
      <c r="M146" s="568"/>
      <c r="N146" s="568"/>
      <c r="O146" s="568"/>
      <c r="P146" s="568"/>
      <c r="Q146" s="568"/>
      <c r="R146" s="568"/>
    </row>
    <row r="147" spans="1:18" s="566" customFormat="1" ht="16.8" customHeight="1">
      <c r="A147" s="654"/>
      <c r="B147" s="654"/>
      <c r="C147" s="651"/>
      <c r="D147" s="691"/>
      <c r="E147" s="663"/>
      <c r="F147" s="557" t="s">
        <v>94</v>
      </c>
      <c r="G147" s="107"/>
      <c r="H147" s="107"/>
      <c r="I147" s="108"/>
      <c r="J147" s="107"/>
    </row>
    <row r="148" spans="1:18" s="574" customFormat="1" ht="16.8" customHeight="1">
      <c r="A148" s="654"/>
      <c r="B148" s="654"/>
      <c r="C148" s="651"/>
      <c r="D148" s="691"/>
      <c r="E148" s="664"/>
      <c r="F148" s="579" t="s">
        <v>110</v>
      </c>
      <c r="G148" s="120">
        <f t="shared" ref="G148:H148" si="66">G150</f>
        <v>0</v>
      </c>
      <c r="H148" s="120">
        <f t="shared" si="66"/>
        <v>0</v>
      </c>
      <c r="I148" s="120">
        <f t="shared" ref="I148:J148" si="67">I150</f>
        <v>0</v>
      </c>
      <c r="J148" s="120">
        <f t="shared" si="67"/>
        <v>-126342.90000000001</v>
      </c>
    </row>
    <row r="149" spans="1:18" s="566" customFormat="1" ht="54">
      <c r="A149" s="654"/>
      <c r="B149" s="654"/>
      <c r="C149" s="651"/>
      <c r="D149" s="691"/>
      <c r="E149" s="664"/>
      <c r="F149" s="557" t="s">
        <v>66</v>
      </c>
      <c r="G149" s="107"/>
      <c r="H149" s="107"/>
      <c r="I149" s="108"/>
      <c r="J149" s="107"/>
    </row>
    <row r="150" spans="1:18" s="566" customFormat="1" ht="16.8" customHeight="1">
      <c r="A150" s="654"/>
      <c r="B150" s="654"/>
      <c r="C150" s="651"/>
      <c r="D150" s="691"/>
      <c r="E150" s="664"/>
      <c r="F150" s="580" t="s">
        <v>67</v>
      </c>
      <c r="G150" s="107">
        <f t="shared" ref="G150:J152" si="68">G151</f>
        <v>0</v>
      </c>
      <c r="H150" s="107">
        <f t="shared" si="68"/>
        <v>0</v>
      </c>
      <c r="I150" s="107">
        <f t="shared" si="68"/>
        <v>0</v>
      </c>
      <c r="J150" s="107">
        <f t="shared" si="68"/>
        <v>-126342.90000000001</v>
      </c>
    </row>
    <row r="151" spans="1:18" s="566" customFormat="1" ht="16.8" customHeight="1">
      <c r="A151" s="654"/>
      <c r="B151" s="654"/>
      <c r="C151" s="651"/>
      <c r="D151" s="691"/>
      <c r="E151" s="664"/>
      <c r="F151" s="557" t="s">
        <v>188</v>
      </c>
      <c r="G151" s="124">
        <f t="shared" si="68"/>
        <v>0</v>
      </c>
      <c r="H151" s="124">
        <f t="shared" si="68"/>
        <v>0</v>
      </c>
      <c r="I151" s="124">
        <f t="shared" si="68"/>
        <v>0</v>
      </c>
      <c r="J151" s="124">
        <f t="shared" si="68"/>
        <v>-126342.90000000001</v>
      </c>
    </row>
    <row r="152" spans="1:18" s="566" customFormat="1" ht="16.8" customHeight="1">
      <c r="A152" s="654"/>
      <c r="B152" s="654"/>
      <c r="C152" s="651"/>
      <c r="D152" s="691"/>
      <c r="E152" s="664"/>
      <c r="F152" s="557" t="s">
        <v>189</v>
      </c>
      <c r="G152" s="124">
        <f t="shared" si="68"/>
        <v>0</v>
      </c>
      <c r="H152" s="124">
        <f t="shared" si="68"/>
        <v>0</v>
      </c>
      <c r="I152" s="124">
        <f t="shared" si="68"/>
        <v>0</v>
      </c>
      <c r="J152" s="124">
        <f t="shared" si="68"/>
        <v>-126342.90000000001</v>
      </c>
    </row>
    <row r="153" spans="1:18" s="566" customFormat="1" ht="16.8" customHeight="1">
      <c r="A153" s="654"/>
      <c r="B153" s="654"/>
      <c r="C153" s="651"/>
      <c r="D153" s="691"/>
      <c r="E153" s="664"/>
      <c r="F153" s="557" t="s">
        <v>190</v>
      </c>
      <c r="G153" s="124">
        <f>+G154</f>
        <v>0</v>
      </c>
      <c r="H153" s="124">
        <f>+H154</f>
        <v>0</v>
      </c>
      <c r="I153" s="124">
        <f t="shared" ref="I153:J153" si="69">+I154</f>
        <v>0</v>
      </c>
      <c r="J153" s="124">
        <f t="shared" si="69"/>
        <v>-126342.90000000001</v>
      </c>
      <c r="K153" s="575"/>
    </row>
    <row r="154" spans="1:18" s="566" customFormat="1" ht="16.8" customHeight="1">
      <c r="A154" s="654"/>
      <c r="B154" s="654"/>
      <c r="C154" s="651"/>
      <c r="D154" s="691"/>
      <c r="E154" s="664"/>
      <c r="F154" s="587" t="s">
        <v>191</v>
      </c>
      <c r="G154" s="124">
        <f>+'Havelvats 4'!E65</f>
        <v>0</v>
      </c>
      <c r="H154" s="124">
        <f>+'Havelvats 4'!F65</f>
        <v>0</v>
      </c>
      <c r="I154" s="124">
        <f>+'Havelvats 4'!G65</f>
        <v>0</v>
      </c>
      <c r="J154" s="124">
        <f>+'Havelvats 4'!H65</f>
        <v>-126342.90000000001</v>
      </c>
      <c r="K154" s="576"/>
    </row>
    <row r="155" spans="1:18" s="566" customFormat="1">
      <c r="A155" s="654"/>
      <c r="B155" s="654"/>
      <c r="C155" s="651"/>
      <c r="D155" s="650">
        <v>1146</v>
      </c>
      <c r="E155" s="656" t="s">
        <v>401</v>
      </c>
      <c r="F155" s="657"/>
      <c r="G155" s="28">
        <f t="shared" ref="G155:J155" si="70">+G157</f>
        <v>-2473.3999999999978</v>
      </c>
      <c r="H155" s="28">
        <f t="shared" si="70"/>
        <v>4939.9999999999127</v>
      </c>
      <c r="I155" s="28">
        <f t="shared" si="70"/>
        <v>4939.5999999996857</v>
      </c>
      <c r="J155" s="585">
        <f t="shared" si="70"/>
        <v>-39449.400000001246</v>
      </c>
      <c r="K155" s="568"/>
      <c r="L155" s="568"/>
      <c r="M155" s="568"/>
      <c r="N155" s="568"/>
      <c r="O155" s="568"/>
      <c r="P155" s="568"/>
      <c r="Q155" s="568"/>
      <c r="R155" s="568"/>
    </row>
    <row r="156" spans="1:18" s="566" customFormat="1" ht="16.8" customHeight="1">
      <c r="A156" s="654"/>
      <c r="B156" s="654"/>
      <c r="C156" s="651"/>
      <c r="D156" s="651"/>
      <c r="E156" s="588"/>
      <c r="F156" s="557" t="s">
        <v>25</v>
      </c>
      <c r="G156" s="108"/>
      <c r="H156" s="108"/>
      <c r="I156" s="108"/>
      <c r="J156" s="569"/>
      <c r="K156" s="568"/>
      <c r="L156" s="568"/>
      <c r="M156" s="568"/>
      <c r="N156" s="568"/>
      <c r="O156" s="568"/>
      <c r="P156" s="568"/>
      <c r="Q156" s="568"/>
      <c r="R156" s="568"/>
    </row>
    <row r="157" spans="1:18" s="566" customFormat="1" ht="34.950000000000003" customHeight="1">
      <c r="A157" s="654"/>
      <c r="B157" s="654"/>
      <c r="C157" s="651"/>
      <c r="D157" s="651"/>
      <c r="E157" s="590">
        <v>12010</v>
      </c>
      <c r="F157" s="106" t="s">
        <v>294</v>
      </c>
      <c r="G157" s="571">
        <f t="shared" ref="G157:J157" si="71">G159</f>
        <v>-2473.3999999999978</v>
      </c>
      <c r="H157" s="571">
        <f t="shared" si="71"/>
        <v>4939.9999999999127</v>
      </c>
      <c r="I157" s="571">
        <f t="shared" si="71"/>
        <v>4939.5999999996857</v>
      </c>
      <c r="J157" s="572">
        <f t="shared" si="71"/>
        <v>-39449.400000001246</v>
      </c>
      <c r="K157" s="591"/>
      <c r="L157" s="568"/>
      <c r="M157" s="568"/>
      <c r="N157" s="568"/>
      <c r="O157" s="568"/>
      <c r="P157" s="568"/>
      <c r="Q157" s="568"/>
      <c r="R157" s="568"/>
    </row>
    <row r="158" spans="1:18" s="566" customFormat="1" ht="16.8" customHeight="1">
      <c r="A158" s="654"/>
      <c r="B158" s="654"/>
      <c r="C158" s="651"/>
      <c r="D158" s="651"/>
      <c r="E158" s="647"/>
      <c r="F158" s="557" t="s">
        <v>94</v>
      </c>
      <c r="G158" s="107"/>
      <c r="H158" s="107"/>
      <c r="I158" s="108"/>
      <c r="J158" s="107"/>
    </row>
    <row r="159" spans="1:18" s="574" customFormat="1" ht="16.8" customHeight="1">
      <c r="A159" s="654"/>
      <c r="B159" s="654"/>
      <c r="C159" s="651"/>
      <c r="D159" s="651"/>
      <c r="E159" s="648"/>
      <c r="F159" s="579" t="s">
        <v>110</v>
      </c>
      <c r="G159" s="120">
        <f t="shared" ref="G159:J159" si="72">G161</f>
        <v>-2473.3999999999978</v>
      </c>
      <c r="H159" s="120">
        <f t="shared" si="72"/>
        <v>4939.9999999999127</v>
      </c>
      <c r="I159" s="120">
        <f t="shared" si="72"/>
        <v>4939.5999999996857</v>
      </c>
      <c r="J159" s="120">
        <f t="shared" si="72"/>
        <v>-39449.400000001246</v>
      </c>
    </row>
    <row r="160" spans="1:18" s="566" customFormat="1" ht="54">
      <c r="A160" s="654"/>
      <c r="B160" s="654"/>
      <c r="C160" s="651"/>
      <c r="D160" s="651"/>
      <c r="E160" s="648"/>
      <c r="F160" s="557" t="s">
        <v>66</v>
      </c>
      <c r="G160" s="107"/>
      <c r="H160" s="107"/>
      <c r="I160" s="108"/>
      <c r="J160" s="107"/>
    </row>
    <row r="161" spans="1:18" s="566" customFormat="1" ht="16.8" customHeight="1">
      <c r="A161" s="654"/>
      <c r="B161" s="654"/>
      <c r="C161" s="651"/>
      <c r="D161" s="651"/>
      <c r="E161" s="648"/>
      <c r="F161" s="580" t="s">
        <v>67</v>
      </c>
      <c r="G161" s="107">
        <f t="shared" ref="G161:J162" si="73">G162</f>
        <v>-2473.3999999999978</v>
      </c>
      <c r="H161" s="107">
        <f t="shared" si="73"/>
        <v>4939.9999999999127</v>
      </c>
      <c r="I161" s="107">
        <f t="shared" si="73"/>
        <v>4939.5999999996857</v>
      </c>
      <c r="J161" s="107">
        <f t="shared" si="73"/>
        <v>-39449.400000001246</v>
      </c>
    </row>
    <row r="162" spans="1:18" s="566" customFormat="1" ht="16.8" customHeight="1">
      <c r="A162" s="654"/>
      <c r="B162" s="654"/>
      <c r="C162" s="651"/>
      <c r="D162" s="651"/>
      <c r="E162" s="648"/>
      <c r="F162" s="557" t="s">
        <v>188</v>
      </c>
      <c r="G162" s="124">
        <f t="shared" si="73"/>
        <v>-2473.3999999999978</v>
      </c>
      <c r="H162" s="124">
        <f t="shared" si="73"/>
        <v>4939.9999999999127</v>
      </c>
      <c r="I162" s="124">
        <f t="shared" si="73"/>
        <v>4939.5999999996857</v>
      </c>
      <c r="J162" s="124">
        <f t="shared" si="73"/>
        <v>-39449.400000001246</v>
      </c>
    </row>
    <row r="163" spans="1:18" s="566" customFormat="1" ht="16.8" customHeight="1">
      <c r="A163" s="654"/>
      <c r="B163" s="654"/>
      <c r="C163" s="651"/>
      <c r="D163" s="651"/>
      <c r="E163" s="648"/>
      <c r="F163" s="557" t="s">
        <v>189</v>
      </c>
      <c r="G163" s="124">
        <f>+G164+G166</f>
        <v>-2473.3999999999978</v>
      </c>
      <c r="H163" s="124">
        <f t="shared" ref="H163:J163" si="74">+H164+H166</f>
        <v>4939.9999999999127</v>
      </c>
      <c r="I163" s="124">
        <f t="shared" si="74"/>
        <v>4939.5999999996857</v>
      </c>
      <c r="J163" s="124">
        <f t="shared" si="74"/>
        <v>-39449.400000001246</v>
      </c>
    </row>
    <row r="164" spans="1:18" s="566" customFormat="1" ht="16.8" customHeight="1">
      <c r="A164" s="654"/>
      <c r="B164" s="654"/>
      <c r="C164" s="651"/>
      <c r="D164" s="651"/>
      <c r="E164" s="648"/>
      <c r="F164" s="557" t="s">
        <v>190</v>
      </c>
      <c r="G164" s="124">
        <f>+G165</f>
        <v>-32113.399999999998</v>
      </c>
      <c r="H164" s="124">
        <f>+H165</f>
        <v>-54340.000000000087</v>
      </c>
      <c r="I164" s="124">
        <f t="shared" ref="I164:J166" si="75">+I165</f>
        <v>-54340.400000000314</v>
      </c>
      <c r="J164" s="124">
        <f t="shared" si="75"/>
        <v>-98729.400000001246</v>
      </c>
      <c r="K164" s="575"/>
    </row>
    <row r="165" spans="1:18" s="566" customFormat="1" ht="16.8" customHeight="1">
      <c r="A165" s="654"/>
      <c r="B165" s="654"/>
      <c r="C165" s="651"/>
      <c r="D165" s="651"/>
      <c r="E165" s="648"/>
      <c r="F165" s="587" t="s">
        <v>402</v>
      </c>
      <c r="G165" s="124">
        <f>+'Havelvats 4'!E71+'Havelvats 4'!E77+'Havelvats 4'!E79+'Havelvats 4'!E81+'Havelvats 4'!E82+'Havelvats 4'!E88+'Havelvats 4'!E90+'Havelvats 4'!E91+'Havelvats 4'!E95+29487.3+29487.3</f>
        <v>-32113.399999999998</v>
      </c>
      <c r="H165" s="124">
        <f>+'Havelvats 4'!F71+'Havelvats 4'!F77+'Havelvats 4'!F79+'Havelvats 4'!F81+'Havelvats 4'!F82+'Havelvats 4'!F88+'Havelvats 4'!F90+'Havelvats 4'!F91+'Havelvats 4'!F95+99581.9+99581.9</f>
        <v>-54340.000000000087</v>
      </c>
      <c r="I165" s="124">
        <f>+'Havelvats 4'!G71+'Havelvats 4'!G77+'Havelvats 4'!G79+'Havelvats 4'!G81+'Havelvats 4'!G82+'Havelvats 4'!G88+'Havelvats 4'!G90+'Havelvats 4'!G91+'Havelvats 4'!G95+194058.6+194058.4</f>
        <v>-54340.400000000314</v>
      </c>
      <c r="J165" s="124">
        <f>+'Havelvats 4'!H71+'Havelvats 4'!H77+'Havelvats 4'!H79+'Havelvats 4'!H81+'Havelvats 4'!H82+'Havelvats 4'!H88+'Havelvats 4'!H90+'Havelvats 4'!H91+'Havelvats 4'!H95+301067.9+301067.8</f>
        <v>-98729.400000001246</v>
      </c>
      <c r="K165" s="576"/>
    </row>
    <row r="166" spans="1:18" s="566" customFormat="1" ht="16.8" customHeight="1">
      <c r="A166" s="654"/>
      <c r="B166" s="654"/>
      <c r="C166" s="651"/>
      <c r="D166" s="651"/>
      <c r="E166" s="648"/>
      <c r="F166" s="557" t="s">
        <v>396</v>
      </c>
      <c r="G166" s="124">
        <f>+G167</f>
        <v>29640</v>
      </c>
      <c r="H166" s="124">
        <f>+H167</f>
        <v>59280</v>
      </c>
      <c r="I166" s="124">
        <f t="shared" si="75"/>
        <v>59280</v>
      </c>
      <c r="J166" s="124">
        <f t="shared" si="75"/>
        <v>59280</v>
      </c>
      <c r="K166" s="575"/>
    </row>
    <row r="167" spans="1:18" s="566" customFormat="1" ht="16.8" customHeight="1">
      <c r="A167" s="654"/>
      <c r="B167" s="654"/>
      <c r="C167" s="651"/>
      <c r="D167" s="652"/>
      <c r="E167" s="649"/>
      <c r="F167" s="557" t="s">
        <v>192</v>
      </c>
      <c r="G167" s="124">
        <f>+'Havelvats 4'!E83+'Havelvats 4'!E84+'Havelvats 4'!E85+'Havelvats 4'!E86+'Havelvats 4'!E92+'Havelvats 4'!E93+'Havelvats 4'!E96+'Havelvats 4'!E98+'Havelvats 4'!E99+4940+'Havelvats 4'!E103+4940</f>
        <v>29640</v>
      </c>
      <c r="H167" s="124">
        <f>+'Havelvats 4'!F83+'Havelvats 4'!F84+'Havelvats 4'!F85+'Havelvats 4'!F86+'Havelvats 4'!F92+'Havelvats 4'!F93+'Havelvats 4'!F96+'Havelvats 4'!F98+'Havelvats 4'!F99+4940+'Havelvats 4'!F103+4940</f>
        <v>59280</v>
      </c>
      <c r="I167" s="124">
        <f>+'Havelvats 4'!G83+'Havelvats 4'!G84+'Havelvats 4'!G85+'Havelvats 4'!G86+'Havelvats 4'!G92+'Havelvats 4'!G93+'Havelvats 4'!G96+'Havelvats 4'!G98+'Havelvats 4'!G99+4940+'Havelvats 4'!G103+4940</f>
        <v>59280</v>
      </c>
      <c r="J167" s="124">
        <f>+'Havelvats 4'!H83+'Havelvats 4'!H84+'Havelvats 4'!H85+'Havelvats 4'!H86+'Havelvats 4'!H92+'Havelvats 4'!H93+'Havelvats 4'!H96+'Havelvats 4'!H98+'Havelvats 4'!H99+4940+'Havelvats 4'!H103+4940</f>
        <v>59280</v>
      </c>
      <c r="K167" s="576"/>
    </row>
    <row r="168" spans="1:18" s="566" customFormat="1">
      <c r="A168" s="654"/>
      <c r="B168" s="654"/>
      <c r="C168" s="651"/>
      <c r="D168" s="650">
        <v>1163</v>
      </c>
      <c r="E168" s="656" t="s">
        <v>68</v>
      </c>
      <c r="F168" s="657"/>
      <c r="G168" s="28">
        <f>+G170+G179+G195</f>
        <v>-3244.4000000000015</v>
      </c>
      <c r="H168" s="28">
        <f t="shared" ref="H168:J168" si="76">+H170+H179+H195</f>
        <v>177532.5</v>
      </c>
      <c r="I168" s="28">
        <f t="shared" si="76"/>
        <v>329919.89999999997</v>
      </c>
      <c r="J168" s="28">
        <f t="shared" si="76"/>
        <v>-336508.69999999995</v>
      </c>
      <c r="K168" s="568"/>
      <c r="L168" s="568"/>
      <c r="M168" s="568"/>
      <c r="N168" s="568"/>
      <c r="O168" s="568"/>
      <c r="P168" s="568"/>
      <c r="Q168" s="568"/>
      <c r="R168" s="568"/>
    </row>
    <row r="169" spans="1:18" s="566" customFormat="1" ht="16.8" customHeight="1">
      <c r="A169" s="654"/>
      <c r="B169" s="654"/>
      <c r="C169" s="651"/>
      <c r="D169" s="651"/>
      <c r="E169" s="588"/>
      <c r="F169" s="557" t="s">
        <v>25</v>
      </c>
      <c r="G169" s="569"/>
      <c r="H169" s="569"/>
      <c r="I169" s="108"/>
      <c r="J169" s="569"/>
      <c r="K169" s="568"/>
      <c r="L169" s="568"/>
      <c r="M169" s="568"/>
      <c r="N169" s="568"/>
      <c r="O169" s="568"/>
      <c r="P169" s="568"/>
      <c r="Q169" s="568"/>
      <c r="R169" s="568"/>
    </row>
    <row r="170" spans="1:18" s="566" customFormat="1" ht="52.95" customHeight="1">
      <c r="A170" s="654"/>
      <c r="B170" s="654"/>
      <c r="C170" s="651"/>
      <c r="D170" s="651"/>
      <c r="E170" s="590">
        <v>12001</v>
      </c>
      <c r="F170" s="106" t="s">
        <v>152</v>
      </c>
      <c r="G170" s="571">
        <f t="shared" ref="G170" si="77">G172</f>
        <v>0</v>
      </c>
      <c r="H170" s="571">
        <f t="shared" ref="H170:J170" si="78">H172</f>
        <v>0</v>
      </c>
      <c r="I170" s="571">
        <f t="shared" si="78"/>
        <v>0</v>
      </c>
      <c r="J170" s="572">
        <f t="shared" si="78"/>
        <v>-43857.100000000006</v>
      </c>
      <c r="K170" s="591"/>
      <c r="L170" s="568"/>
      <c r="M170" s="568"/>
      <c r="N170" s="568"/>
      <c r="O170" s="568"/>
      <c r="P170" s="568"/>
      <c r="Q170" s="568"/>
      <c r="R170" s="568"/>
    </row>
    <row r="171" spans="1:18" s="566" customFormat="1" ht="16.8" customHeight="1">
      <c r="A171" s="654"/>
      <c r="B171" s="654"/>
      <c r="C171" s="651"/>
      <c r="D171" s="651"/>
      <c r="E171" s="663"/>
      <c r="F171" s="557" t="s">
        <v>94</v>
      </c>
      <c r="G171" s="107"/>
      <c r="H171" s="107"/>
      <c r="I171" s="108"/>
      <c r="J171" s="107"/>
    </row>
    <row r="172" spans="1:18" s="574" customFormat="1" ht="16.8" customHeight="1">
      <c r="A172" s="654"/>
      <c r="B172" s="654"/>
      <c r="C172" s="651"/>
      <c r="D172" s="651"/>
      <c r="E172" s="664"/>
      <c r="F172" s="579" t="s">
        <v>110</v>
      </c>
      <c r="G172" s="120">
        <f t="shared" ref="G172" si="79">G174</f>
        <v>0</v>
      </c>
      <c r="H172" s="120">
        <f t="shared" ref="H172:J172" si="80">H174</f>
        <v>0</v>
      </c>
      <c r="I172" s="120">
        <f t="shared" si="80"/>
        <v>0</v>
      </c>
      <c r="J172" s="120">
        <f t="shared" si="80"/>
        <v>-43857.100000000006</v>
      </c>
    </row>
    <row r="173" spans="1:18" s="566" customFormat="1" ht="54">
      <c r="A173" s="654"/>
      <c r="B173" s="654"/>
      <c r="C173" s="651"/>
      <c r="D173" s="651"/>
      <c r="E173" s="664"/>
      <c r="F173" s="557" t="s">
        <v>66</v>
      </c>
      <c r="G173" s="107"/>
      <c r="H173" s="107"/>
      <c r="I173" s="107"/>
      <c r="J173" s="107"/>
    </row>
    <row r="174" spans="1:18" s="566" customFormat="1" ht="16.8" customHeight="1">
      <c r="A174" s="654"/>
      <c r="B174" s="654"/>
      <c r="C174" s="651"/>
      <c r="D174" s="651"/>
      <c r="E174" s="664"/>
      <c r="F174" s="580" t="s">
        <v>67</v>
      </c>
      <c r="G174" s="107">
        <f t="shared" ref="G174:J176" si="81">G175</f>
        <v>0</v>
      </c>
      <c r="H174" s="107">
        <f t="shared" si="81"/>
        <v>0</v>
      </c>
      <c r="I174" s="107">
        <f t="shared" si="81"/>
        <v>0</v>
      </c>
      <c r="J174" s="107">
        <f t="shared" si="81"/>
        <v>-43857.100000000006</v>
      </c>
    </row>
    <row r="175" spans="1:18" s="566" customFormat="1" ht="16.8" customHeight="1">
      <c r="A175" s="654"/>
      <c r="B175" s="654"/>
      <c r="C175" s="651"/>
      <c r="D175" s="651"/>
      <c r="E175" s="664"/>
      <c r="F175" s="557" t="s">
        <v>69</v>
      </c>
      <c r="G175" s="124">
        <f t="shared" si="81"/>
        <v>0</v>
      </c>
      <c r="H175" s="124">
        <f t="shared" si="81"/>
        <v>0</v>
      </c>
      <c r="I175" s="124">
        <f t="shared" si="81"/>
        <v>0</v>
      </c>
      <c r="J175" s="124">
        <f t="shared" si="81"/>
        <v>-43857.100000000006</v>
      </c>
    </row>
    <row r="176" spans="1:18" s="566" customFormat="1" ht="16.8" customHeight="1">
      <c r="A176" s="654"/>
      <c r="B176" s="654"/>
      <c r="C176" s="651"/>
      <c r="D176" s="651"/>
      <c r="E176" s="664"/>
      <c r="F176" s="557" t="s">
        <v>70</v>
      </c>
      <c r="G176" s="124">
        <f t="shared" si="81"/>
        <v>0</v>
      </c>
      <c r="H176" s="124">
        <f t="shared" si="81"/>
        <v>0</v>
      </c>
      <c r="I176" s="124">
        <f t="shared" si="81"/>
        <v>0</v>
      </c>
      <c r="J176" s="124">
        <f t="shared" si="81"/>
        <v>-43857.100000000006</v>
      </c>
    </row>
    <row r="177" spans="1:18" s="566" customFormat="1" ht="16.8" customHeight="1">
      <c r="A177" s="654"/>
      <c r="B177" s="654"/>
      <c r="C177" s="651"/>
      <c r="D177" s="651"/>
      <c r="E177" s="664"/>
      <c r="F177" s="557" t="s">
        <v>71</v>
      </c>
      <c r="G177" s="124">
        <f>+G178</f>
        <v>0</v>
      </c>
      <c r="H177" s="124">
        <f>+H178</f>
        <v>0</v>
      </c>
      <c r="I177" s="124">
        <f t="shared" ref="I177:J177" si="82">+I178</f>
        <v>0</v>
      </c>
      <c r="J177" s="124">
        <f t="shared" si="82"/>
        <v>-43857.100000000006</v>
      </c>
      <c r="K177" s="575"/>
    </row>
    <row r="178" spans="1:18" s="566" customFormat="1" ht="16.8" customHeight="1">
      <c r="A178" s="654"/>
      <c r="B178" s="654"/>
      <c r="C178" s="651"/>
      <c r="D178" s="651"/>
      <c r="E178" s="664"/>
      <c r="F178" s="587" t="s">
        <v>72</v>
      </c>
      <c r="G178" s="124">
        <f>+'Havelvats 4'!E108</f>
        <v>0</v>
      </c>
      <c r="H178" s="124">
        <f>+'Havelvats 4'!F108</f>
        <v>0</v>
      </c>
      <c r="I178" s="124">
        <f>+'Havelvats 4'!G108</f>
        <v>0</v>
      </c>
      <c r="J178" s="124">
        <f>+'Havelvats 4'!H108</f>
        <v>-43857.100000000006</v>
      </c>
      <c r="K178" s="576"/>
    </row>
    <row r="179" spans="1:18" s="566" customFormat="1">
      <c r="A179" s="654"/>
      <c r="B179" s="654"/>
      <c r="C179" s="651"/>
      <c r="D179" s="651"/>
      <c r="E179" s="592">
        <v>32001</v>
      </c>
      <c r="F179" s="106" t="s">
        <v>109</v>
      </c>
      <c r="G179" s="571">
        <f>+G181+G188</f>
        <v>-3244.4000000000015</v>
      </c>
      <c r="H179" s="571">
        <f t="shared" ref="H179:J179" si="83">+H181+H188</f>
        <v>-252.80000000000291</v>
      </c>
      <c r="I179" s="571">
        <f t="shared" si="83"/>
        <v>-252.70000000001164</v>
      </c>
      <c r="J179" s="571">
        <f t="shared" si="83"/>
        <v>-800609.5</v>
      </c>
      <c r="K179" s="568"/>
      <c r="L179" s="568"/>
      <c r="M179" s="568"/>
      <c r="N179" s="568"/>
      <c r="O179" s="568"/>
      <c r="P179" s="568"/>
      <c r="Q179" s="568"/>
      <c r="R179" s="568"/>
    </row>
    <row r="180" spans="1:18" s="566" customFormat="1" ht="16.8" customHeight="1">
      <c r="A180" s="654"/>
      <c r="B180" s="654"/>
      <c r="C180" s="651"/>
      <c r="D180" s="651"/>
      <c r="E180" s="683"/>
      <c r="F180" s="557" t="s">
        <v>94</v>
      </c>
      <c r="G180" s="107"/>
      <c r="H180" s="107"/>
      <c r="I180" s="108"/>
      <c r="J180" s="107"/>
    </row>
    <row r="181" spans="1:18" s="574" customFormat="1" ht="36">
      <c r="A181" s="654"/>
      <c r="B181" s="654"/>
      <c r="C181" s="651"/>
      <c r="D181" s="651"/>
      <c r="E181" s="690"/>
      <c r="F181" s="579" t="s">
        <v>59</v>
      </c>
      <c r="G181" s="120">
        <f t="shared" ref="G181:J181" si="84">G183</f>
        <v>0</v>
      </c>
      <c r="H181" s="120">
        <f t="shared" si="84"/>
        <v>0</v>
      </c>
      <c r="I181" s="120">
        <f t="shared" si="84"/>
        <v>0</v>
      </c>
      <c r="J181" s="120">
        <f t="shared" si="84"/>
        <v>-507957.9</v>
      </c>
    </row>
    <row r="182" spans="1:18" s="566" customFormat="1" ht="54">
      <c r="A182" s="654"/>
      <c r="B182" s="654"/>
      <c r="C182" s="651"/>
      <c r="D182" s="651"/>
      <c r="E182" s="690"/>
      <c r="F182" s="557" t="s">
        <v>66</v>
      </c>
      <c r="G182" s="107"/>
      <c r="H182" s="107"/>
      <c r="I182" s="107"/>
      <c r="J182" s="107"/>
    </row>
    <row r="183" spans="1:18" s="566" customFormat="1" ht="16.8" customHeight="1">
      <c r="A183" s="654"/>
      <c r="B183" s="654"/>
      <c r="C183" s="651"/>
      <c r="D183" s="651"/>
      <c r="E183" s="690"/>
      <c r="F183" s="580" t="s">
        <v>67</v>
      </c>
      <c r="G183" s="107">
        <f t="shared" ref="G183:J184" si="85">G184</f>
        <v>0</v>
      </c>
      <c r="H183" s="107">
        <f t="shared" si="85"/>
        <v>0</v>
      </c>
      <c r="I183" s="107">
        <f t="shared" si="85"/>
        <v>0</v>
      </c>
      <c r="J183" s="107">
        <f t="shared" si="85"/>
        <v>-507957.9</v>
      </c>
    </row>
    <row r="184" spans="1:18" s="566" customFormat="1" ht="16.8" customHeight="1">
      <c r="A184" s="654"/>
      <c r="B184" s="654"/>
      <c r="C184" s="651"/>
      <c r="D184" s="651"/>
      <c r="E184" s="690"/>
      <c r="F184" s="557" t="s">
        <v>188</v>
      </c>
      <c r="G184" s="124">
        <f t="shared" si="85"/>
        <v>0</v>
      </c>
      <c r="H184" s="124">
        <f t="shared" si="85"/>
        <v>0</v>
      </c>
      <c r="I184" s="124">
        <f t="shared" si="85"/>
        <v>0</v>
      </c>
      <c r="J184" s="124">
        <f t="shared" si="85"/>
        <v>-507957.9</v>
      </c>
    </row>
    <row r="185" spans="1:18" s="566" customFormat="1" ht="16.8" customHeight="1">
      <c r="A185" s="654"/>
      <c r="B185" s="654"/>
      <c r="C185" s="651"/>
      <c r="D185" s="651"/>
      <c r="E185" s="690"/>
      <c r="F185" s="557" t="s">
        <v>189</v>
      </c>
      <c r="G185" s="124">
        <f>+G186</f>
        <v>0</v>
      </c>
      <c r="H185" s="124">
        <f t="shared" ref="H185:J185" si="86">+H186</f>
        <v>0</v>
      </c>
      <c r="I185" s="124">
        <f t="shared" si="86"/>
        <v>0</v>
      </c>
      <c r="J185" s="124">
        <f t="shared" si="86"/>
        <v>-507957.9</v>
      </c>
    </row>
    <row r="186" spans="1:18" s="566" customFormat="1" ht="16.8" customHeight="1">
      <c r="A186" s="654"/>
      <c r="B186" s="654"/>
      <c r="C186" s="651"/>
      <c r="D186" s="651"/>
      <c r="E186" s="690"/>
      <c r="F186" s="557" t="s">
        <v>190</v>
      </c>
      <c r="G186" s="124">
        <f>+G187</f>
        <v>0</v>
      </c>
      <c r="H186" s="124">
        <f>+H187</f>
        <v>0</v>
      </c>
      <c r="I186" s="124">
        <f t="shared" ref="I186:J186" si="87">+I187</f>
        <v>0</v>
      </c>
      <c r="J186" s="124">
        <f t="shared" si="87"/>
        <v>-507957.9</v>
      </c>
      <c r="K186" s="575"/>
    </row>
    <row r="187" spans="1:18" s="566" customFormat="1" ht="16.8" customHeight="1">
      <c r="A187" s="654"/>
      <c r="B187" s="654"/>
      <c r="C187" s="651"/>
      <c r="D187" s="651"/>
      <c r="E187" s="690"/>
      <c r="F187" s="587" t="s">
        <v>72</v>
      </c>
      <c r="G187" s="124">
        <f>+'Havelvats 4'!E114</f>
        <v>0</v>
      </c>
      <c r="H187" s="124">
        <f>+'Havelvats 4'!F114</f>
        <v>0</v>
      </c>
      <c r="I187" s="124">
        <f>+'Havelvats 4'!G114</f>
        <v>0</v>
      </c>
      <c r="J187" s="124">
        <f>+'Havelvats 4'!H114</f>
        <v>-507957.9</v>
      </c>
      <c r="K187" s="576"/>
    </row>
    <row r="188" spans="1:18" s="574" customFormat="1" ht="16.8" customHeight="1">
      <c r="A188" s="654"/>
      <c r="B188" s="654"/>
      <c r="C188" s="651"/>
      <c r="D188" s="651"/>
      <c r="E188" s="683"/>
      <c r="F188" s="579" t="s">
        <v>110</v>
      </c>
      <c r="G188" s="120">
        <f t="shared" ref="G188" si="88">G190</f>
        <v>-3244.4000000000015</v>
      </c>
      <c r="H188" s="120">
        <f t="shared" ref="H188:J188" si="89">H190</f>
        <v>-252.80000000000291</v>
      </c>
      <c r="I188" s="120">
        <f t="shared" si="89"/>
        <v>-252.70000000001164</v>
      </c>
      <c r="J188" s="120">
        <f t="shared" si="89"/>
        <v>-292651.59999999992</v>
      </c>
    </row>
    <row r="189" spans="1:18" s="566" customFormat="1" ht="54">
      <c r="A189" s="654"/>
      <c r="B189" s="654"/>
      <c r="C189" s="651"/>
      <c r="D189" s="651"/>
      <c r="E189" s="683"/>
      <c r="F189" s="557" t="s">
        <v>66</v>
      </c>
      <c r="G189" s="107"/>
      <c r="H189" s="107"/>
      <c r="I189" s="108"/>
      <c r="J189" s="107"/>
    </row>
    <row r="190" spans="1:18" s="566" customFormat="1" ht="16.8" customHeight="1">
      <c r="A190" s="654"/>
      <c r="B190" s="654"/>
      <c r="C190" s="651"/>
      <c r="D190" s="651"/>
      <c r="E190" s="683"/>
      <c r="F190" s="580" t="s">
        <v>67</v>
      </c>
      <c r="G190" s="107">
        <f t="shared" ref="G190:J191" si="90">G191</f>
        <v>-3244.4000000000015</v>
      </c>
      <c r="H190" s="107">
        <f t="shared" si="90"/>
        <v>-252.80000000000291</v>
      </c>
      <c r="I190" s="107">
        <f t="shared" si="90"/>
        <v>-252.70000000001164</v>
      </c>
      <c r="J190" s="107">
        <f t="shared" si="90"/>
        <v>-292651.59999999992</v>
      </c>
    </row>
    <row r="191" spans="1:18" s="566" customFormat="1" ht="16.8" customHeight="1">
      <c r="A191" s="654"/>
      <c r="B191" s="654"/>
      <c r="C191" s="651"/>
      <c r="D191" s="651"/>
      <c r="E191" s="683"/>
      <c r="F191" s="557" t="s">
        <v>188</v>
      </c>
      <c r="G191" s="124">
        <f t="shared" si="90"/>
        <v>-3244.4000000000015</v>
      </c>
      <c r="H191" s="124">
        <f t="shared" si="90"/>
        <v>-252.80000000000291</v>
      </c>
      <c r="I191" s="124">
        <f t="shared" si="90"/>
        <v>-252.70000000001164</v>
      </c>
      <c r="J191" s="124">
        <f t="shared" si="90"/>
        <v>-292651.59999999992</v>
      </c>
    </row>
    <row r="192" spans="1:18" s="566" customFormat="1" ht="16.8" customHeight="1">
      <c r="A192" s="654"/>
      <c r="B192" s="654"/>
      <c r="C192" s="651"/>
      <c r="D192" s="651"/>
      <c r="E192" s="683"/>
      <c r="F192" s="557" t="s">
        <v>189</v>
      </c>
      <c r="G192" s="124">
        <f>+G193</f>
        <v>-3244.4000000000015</v>
      </c>
      <c r="H192" s="124">
        <f t="shared" ref="H192:J192" si="91">+H193</f>
        <v>-252.80000000000291</v>
      </c>
      <c r="I192" s="124">
        <f t="shared" si="91"/>
        <v>-252.70000000001164</v>
      </c>
      <c r="J192" s="124">
        <f t="shared" si="91"/>
        <v>-292651.59999999992</v>
      </c>
    </row>
    <row r="193" spans="1:18" s="566" customFormat="1" ht="16.8" customHeight="1">
      <c r="A193" s="654"/>
      <c r="B193" s="654"/>
      <c r="C193" s="651"/>
      <c r="D193" s="651"/>
      <c r="E193" s="683"/>
      <c r="F193" s="557" t="s">
        <v>190</v>
      </c>
      <c r="G193" s="124">
        <f>+G194</f>
        <v>-3244.4000000000015</v>
      </c>
      <c r="H193" s="124">
        <f>+H194</f>
        <v>-252.80000000000291</v>
      </c>
      <c r="I193" s="124">
        <f t="shared" ref="I193:J193" si="92">+I194</f>
        <v>-252.70000000001164</v>
      </c>
      <c r="J193" s="124">
        <f t="shared" si="92"/>
        <v>-292651.59999999992</v>
      </c>
      <c r="K193" s="575"/>
    </row>
    <row r="194" spans="1:18" s="566" customFormat="1" ht="16.8" customHeight="1">
      <c r="A194" s="654"/>
      <c r="B194" s="654"/>
      <c r="C194" s="651"/>
      <c r="D194" s="651"/>
      <c r="E194" s="683"/>
      <c r="F194" s="587" t="s">
        <v>72</v>
      </c>
      <c r="G194" s="124">
        <f>+'Havelvats 4'!E118</f>
        <v>-3244.4000000000015</v>
      </c>
      <c r="H194" s="124">
        <f>+'Havelvats 4'!F118</f>
        <v>-252.80000000000291</v>
      </c>
      <c r="I194" s="124">
        <f>+'Havelvats 4'!G118</f>
        <v>-252.70000000001164</v>
      </c>
      <c r="J194" s="124">
        <f>+'Havelvats 4'!H118</f>
        <v>-292651.59999999992</v>
      </c>
      <c r="K194" s="576"/>
    </row>
    <row r="195" spans="1:18" s="566" customFormat="1">
      <c r="A195" s="654"/>
      <c r="B195" s="654"/>
      <c r="C195" s="651"/>
      <c r="D195" s="651"/>
      <c r="E195" s="592">
        <v>32002</v>
      </c>
      <c r="F195" s="106" t="s">
        <v>403</v>
      </c>
      <c r="G195" s="571">
        <f>+G197</f>
        <v>0</v>
      </c>
      <c r="H195" s="571">
        <f t="shared" ref="H195:J195" si="93">+H197</f>
        <v>177785.3</v>
      </c>
      <c r="I195" s="571">
        <f t="shared" si="93"/>
        <v>330172.59999999998</v>
      </c>
      <c r="J195" s="571">
        <f t="shared" si="93"/>
        <v>507957.9</v>
      </c>
      <c r="K195" s="568"/>
      <c r="L195" s="568"/>
      <c r="M195" s="568"/>
      <c r="N195" s="568"/>
      <c r="O195" s="568"/>
      <c r="P195" s="568"/>
      <c r="Q195" s="568"/>
      <c r="R195" s="568"/>
    </row>
    <row r="196" spans="1:18" s="566" customFormat="1" ht="17.350000000000001" customHeight="1">
      <c r="A196" s="654"/>
      <c r="B196" s="654"/>
      <c r="C196" s="651"/>
      <c r="D196" s="651"/>
      <c r="E196" s="647"/>
      <c r="F196" s="557" t="s">
        <v>94</v>
      </c>
      <c r="G196" s="107"/>
      <c r="H196" s="107"/>
      <c r="I196" s="108"/>
      <c r="J196" s="107"/>
    </row>
    <row r="197" spans="1:18" s="574" customFormat="1">
      <c r="A197" s="654"/>
      <c r="B197" s="654"/>
      <c r="C197" s="651"/>
      <c r="D197" s="651"/>
      <c r="E197" s="648"/>
      <c r="F197" s="579" t="s">
        <v>110</v>
      </c>
      <c r="G197" s="120">
        <f t="shared" ref="G197:J197" si="94">G199</f>
        <v>0</v>
      </c>
      <c r="H197" s="120">
        <f t="shared" si="94"/>
        <v>177785.3</v>
      </c>
      <c r="I197" s="120">
        <f t="shared" si="94"/>
        <v>330172.59999999998</v>
      </c>
      <c r="J197" s="120">
        <f t="shared" si="94"/>
        <v>507957.9</v>
      </c>
    </row>
    <row r="198" spans="1:18" s="566" customFormat="1" ht="36">
      <c r="A198" s="654"/>
      <c r="B198" s="654"/>
      <c r="C198" s="651"/>
      <c r="D198" s="651"/>
      <c r="E198" s="648"/>
      <c r="F198" s="557" t="s">
        <v>27</v>
      </c>
      <c r="G198" s="107"/>
      <c r="H198" s="107"/>
      <c r="I198" s="107"/>
      <c r="J198" s="107"/>
    </row>
    <row r="199" spans="1:18" s="566" customFormat="1" ht="17.350000000000001" customHeight="1">
      <c r="A199" s="654"/>
      <c r="B199" s="654"/>
      <c r="C199" s="651"/>
      <c r="D199" s="651"/>
      <c r="E199" s="648"/>
      <c r="F199" s="580" t="s">
        <v>67</v>
      </c>
      <c r="G199" s="107">
        <f t="shared" ref="G199:J200" si="95">G200</f>
        <v>0</v>
      </c>
      <c r="H199" s="107">
        <f t="shared" si="95"/>
        <v>177785.3</v>
      </c>
      <c r="I199" s="107">
        <f t="shared" si="95"/>
        <v>330172.59999999998</v>
      </c>
      <c r="J199" s="107">
        <f t="shared" si="95"/>
        <v>507957.9</v>
      </c>
    </row>
    <row r="200" spans="1:18" s="566" customFormat="1" ht="17.350000000000001" customHeight="1">
      <c r="A200" s="654"/>
      <c r="B200" s="654"/>
      <c r="C200" s="651"/>
      <c r="D200" s="651"/>
      <c r="E200" s="648"/>
      <c r="F200" s="557" t="s">
        <v>69</v>
      </c>
      <c r="G200" s="124">
        <f t="shared" si="95"/>
        <v>0</v>
      </c>
      <c r="H200" s="124">
        <f t="shared" si="95"/>
        <v>177785.3</v>
      </c>
      <c r="I200" s="124">
        <f t="shared" si="95"/>
        <v>330172.59999999998</v>
      </c>
      <c r="J200" s="124">
        <f t="shared" si="95"/>
        <v>507957.9</v>
      </c>
    </row>
    <row r="201" spans="1:18" s="566" customFormat="1" ht="17.350000000000001" customHeight="1">
      <c r="A201" s="654"/>
      <c r="B201" s="654"/>
      <c r="C201" s="651"/>
      <c r="D201" s="651"/>
      <c r="E201" s="648"/>
      <c r="F201" s="557" t="s">
        <v>70</v>
      </c>
      <c r="G201" s="124">
        <f>+G202</f>
        <v>0</v>
      </c>
      <c r="H201" s="124">
        <f t="shared" ref="H201" si="96">+H202</f>
        <v>177785.3</v>
      </c>
      <c r="I201" s="124">
        <f t="shared" ref="I201:J202" si="97">+I202</f>
        <v>330172.59999999998</v>
      </c>
      <c r="J201" s="124">
        <f t="shared" ref="J201" si="98">+J202</f>
        <v>507957.9</v>
      </c>
    </row>
    <row r="202" spans="1:18" s="566" customFormat="1">
      <c r="A202" s="654"/>
      <c r="B202" s="654"/>
      <c r="C202" s="651"/>
      <c r="D202" s="651"/>
      <c r="E202" s="648"/>
      <c r="F202" s="557" t="s">
        <v>71</v>
      </c>
      <c r="G202" s="124">
        <f>+G203</f>
        <v>0</v>
      </c>
      <c r="H202" s="124">
        <f>+H203</f>
        <v>177785.3</v>
      </c>
      <c r="I202" s="124">
        <f t="shared" si="97"/>
        <v>330172.59999999998</v>
      </c>
      <c r="J202" s="124">
        <f t="shared" si="97"/>
        <v>507957.9</v>
      </c>
      <c r="K202" s="575"/>
    </row>
    <row r="203" spans="1:18" s="566" customFormat="1">
      <c r="A203" s="654"/>
      <c r="B203" s="654"/>
      <c r="C203" s="651"/>
      <c r="D203" s="652"/>
      <c r="E203" s="649"/>
      <c r="F203" s="587" t="s">
        <v>191</v>
      </c>
      <c r="G203" s="124">
        <f>+'Havelvats 4'!E127</f>
        <v>0</v>
      </c>
      <c r="H203" s="124">
        <f>+'Havelvats 4'!F127</f>
        <v>177785.3</v>
      </c>
      <c r="I203" s="124">
        <f>+'Havelvats 4'!G127</f>
        <v>330172.59999999998</v>
      </c>
      <c r="J203" s="124">
        <f>+'Havelvats 4'!H127</f>
        <v>507957.9</v>
      </c>
      <c r="K203" s="576"/>
    </row>
    <row r="204" spans="1:18" s="566" customFormat="1">
      <c r="A204" s="654"/>
      <c r="B204" s="654"/>
      <c r="C204" s="651"/>
      <c r="D204" s="670">
        <v>1183</v>
      </c>
      <c r="E204" s="656" t="s">
        <v>193</v>
      </c>
      <c r="F204" s="657"/>
      <c r="G204" s="28">
        <f>+G206+G215+G224+G235+G244+G253</f>
        <v>10671.699999999953</v>
      </c>
      <c r="H204" s="28">
        <f t="shared" ref="H204:J204" si="99">+H206+H215+H224+H235+H244+H253</f>
        <v>-49252.599999999962</v>
      </c>
      <c r="I204" s="28">
        <f t="shared" si="99"/>
        <v>-212700.90000000008</v>
      </c>
      <c r="J204" s="28">
        <f t="shared" si="99"/>
        <v>527466.20000000042</v>
      </c>
      <c r="K204" s="568"/>
      <c r="L204" s="568"/>
      <c r="M204" s="568"/>
      <c r="N204" s="568"/>
      <c r="O204" s="568"/>
      <c r="P204" s="568"/>
      <c r="Q204" s="568"/>
      <c r="R204" s="568"/>
    </row>
    <row r="205" spans="1:18" s="566" customFormat="1" ht="16.8" customHeight="1">
      <c r="A205" s="654"/>
      <c r="B205" s="654"/>
      <c r="C205" s="651"/>
      <c r="D205" s="670"/>
      <c r="E205" s="588"/>
      <c r="F205" s="557" t="s">
        <v>25</v>
      </c>
      <c r="G205" s="569"/>
      <c r="H205" s="569"/>
      <c r="I205" s="107"/>
      <c r="J205" s="569"/>
      <c r="K205" s="568"/>
      <c r="L205" s="568"/>
      <c r="M205" s="568"/>
      <c r="N205" s="568"/>
      <c r="O205" s="568"/>
      <c r="P205" s="568"/>
      <c r="Q205" s="568"/>
      <c r="R205" s="568"/>
    </row>
    <row r="206" spans="1:18" s="460" customFormat="1" ht="33.85">
      <c r="A206" s="654"/>
      <c r="B206" s="654"/>
      <c r="C206" s="651"/>
      <c r="D206" s="670"/>
      <c r="E206" s="590">
        <v>32001</v>
      </c>
      <c r="F206" s="593" t="s">
        <v>183</v>
      </c>
      <c r="G206" s="571">
        <f>+G208</f>
        <v>0</v>
      </c>
      <c r="H206" s="571">
        <f t="shared" ref="H206:J206" si="100">+H208</f>
        <v>-49533.599999999991</v>
      </c>
      <c r="I206" s="571">
        <f t="shared" si="100"/>
        <v>-91847.5</v>
      </c>
      <c r="J206" s="572">
        <f t="shared" si="100"/>
        <v>-154319.40000000002</v>
      </c>
      <c r="K206" s="594"/>
      <c r="L206" s="594"/>
      <c r="M206" s="594"/>
      <c r="N206" s="594"/>
      <c r="O206" s="594"/>
      <c r="P206" s="594"/>
      <c r="Q206" s="594"/>
      <c r="R206" s="594"/>
    </row>
    <row r="207" spans="1:18" s="566" customFormat="1" ht="16.8" customHeight="1">
      <c r="A207" s="654"/>
      <c r="B207" s="654"/>
      <c r="C207" s="651"/>
      <c r="D207" s="670"/>
      <c r="E207" s="647"/>
      <c r="F207" s="557" t="s">
        <v>94</v>
      </c>
      <c r="G207" s="107"/>
      <c r="H207" s="107"/>
      <c r="I207" s="107"/>
      <c r="J207" s="107"/>
    </row>
    <row r="208" spans="1:18" s="574" customFormat="1">
      <c r="A208" s="654"/>
      <c r="B208" s="654"/>
      <c r="C208" s="651"/>
      <c r="D208" s="670"/>
      <c r="E208" s="648"/>
      <c r="F208" s="579" t="s">
        <v>110</v>
      </c>
      <c r="G208" s="120">
        <f t="shared" ref="G208" si="101">G210</f>
        <v>0</v>
      </c>
      <c r="H208" s="120">
        <f t="shared" ref="H208:J208" si="102">H210</f>
        <v>-49533.599999999991</v>
      </c>
      <c r="I208" s="120">
        <f t="shared" si="102"/>
        <v>-91847.5</v>
      </c>
      <c r="J208" s="120">
        <f t="shared" si="102"/>
        <v>-154319.40000000002</v>
      </c>
    </row>
    <row r="209" spans="1:18" s="566" customFormat="1" ht="54">
      <c r="A209" s="654"/>
      <c r="B209" s="654"/>
      <c r="C209" s="651"/>
      <c r="D209" s="670"/>
      <c r="E209" s="648"/>
      <c r="F209" s="557" t="s">
        <v>66</v>
      </c>
      <c r="G209" s="107"/>
      <c r="H209" s="107"/>
      <c r="I209" s="107"/>
      <c r="J209" s="107"/>
    </row>
    <row r="210" spans="1:18" s="566" customFormat="1" ht="16.8" customHeight="1">
      <c r="A210" s="654"/>
      <c r="B210" s="654"/>
      <c r="C210" s="651"/>
      <c r="D210" s="670"/>
      <c r="E210" s="648"/>
      <c r="F210" s="580" t="s">
        <v>67</v>
      </c>
      <c r="G210" s="107">
        <f t="shared" ref="G210:J211" si="103">G211</f>
        <v>0</v>
      </c>
      <c r="H210" s="107">
        <f t="shared" si="103"/>
        <v>-49533.599999999991</v>
      </c>
      <c r="I210" s="107">
        <f t="shared" si="103"/>
        <v>-91847.5</v>
      </c>
      <c r="J210" s="107">
        <f t="shared" si="103"/>
        <v>-154319.40000000002</v>
      </c>
    </row>
    <row r="211" spans="1:18" s="566" customFormat="1" ht="16.8" customHeight="1">
      <c r="A211" s="654"/>
      <c r="B211" s="654"/>
      <c r="C211" s="651"/>
      <c r="D211" s="670"/>
      <c r="E211" s="648"/>
      <c r="F211" s="557" t="s">
        <v>69</v>
      </c>
      <c r="G211" s="124">
        <f t="shared" si="103"/>
        <v>0</v>
      </c>
      <c r="H211" s="124">
        <f t="shared" si="103"/>
        <v>-49533.599999999991</v>
      </c>
      <c r="I211" s="124">
        <f t="shared" si="103"/>
        <v>-91847.5</v>
      </c>
      <c r="J211" s="124">
        <f t="shared" si="103"/>
        <v>-154319.40000000002</v>
      </c>
    </row>
    <row r="212" spans="1:18" s="566" customFormat="1" ht="16.8" customHeight="1">
      <c r="A212" s="654"/>
      <c r="B212" s="654"/>
      <c r="C212" s="651"/>
      <c r="D212" s="670"/>
      <c r="E212" s="648"/>
      <c r="F212" s="557" t="s">
        <v>70</v>
      </c>
      <c r="G212" s="124">
        <f>+G213</f>
        <v>0</v>
      </c>
      <c r="H212" s="124">
        <f t="shared" ref="H212:J212" si="104">+H213</f>
        <v>-49533.599999999991</v>
      </c>
      <c r="I212" s="124">
        <f t="shared" si="104"/>
        <v>-91847.5</v>
      </c>
      <c r="J212" s="124">
        <f t="shared" si="104"/>
        <v>-154319.40000000002</v>
      </c>
    </row>
    <row r="213" spans="1:18" s="566" customFormat="1" ht="16.8" customHeight="1">
      <c r="A213" s="654"/>
      <c r="B213" s="654"/>
      <c r="C213" s="651"/>
      <c r="D213" s="670"/>
      <c r="E213" s="648"/>
      <c r="F213" s="557" t="s">
        <v>71</v>
      </c>
      <c r="G213" s="124">
        <f>+G214</f>
        <v>0</v>
      </c>
      <c r="H213" s="124">
        <f>+H214</f>
        <v>-49533.599999999991</v>
      </c>
      <c r="I213" s="124">
        <f t="shared" ref="I213:J213" si="105">+I214</f>
        <v>-91847.5</v>
      </c>
      <c r="J213" s="124">
        <f t="shared" si="105"/>
        <v>-154319.40000000002</v>
      </c>
      <c r="K213" s="575"/>
    </row>
    <row r="214" spans="1:18" s="566" customFormat="1" ht="16.8" customHeight="1">
      <c r="A214" s="654"/>
      <c r="B214" s="654"/>
      <c r="C214" s="651"/>
      <c r="D214" s="670"/>
      <c r="E214" s="648"/>
      <c r="F214" s="587" t="s">
        <v>191</v>
      </c>
      <c r="G214" s="124">
        <f>+'Havelvats 4'!E151</f>
        <v>0</v>
      </c>
      <c r="H214" s="124">
        <f>+'Havelvats 4'!F151</f>
        <v>-49533.599999999991</v>
      </c>
      <c r="I214" s="124">
        <f>+'Havelvats 4'!G151</f>
        <v>-91847.5</v>
      </c>
      <c r="J214" s="124">
        <f>+'Havelvats 4'!H151</f>
        <v>-154319.40000000002</v>
      </c>
      <c r="K214" s="576"/>
    </row>
    <row r="215" spans="1:18" s="566" customFormat="1" ht="33.85">
      <c r="A215" s="654"/>
      <c r="B215" s="654"/>
      <c r="C215" s="651"/>
      <c r="D215" s="670"/>
      <c r="E215" s="595">
        <v>32002</v>
      </c>
      <c r="F215" s="106" t="s">
        <v>306</v>
      </c>
      <c r="G215" s="571">
        <f t="shared" ref="G215" si="106">G217</f>
        <v>46783</v>
      </c>
      <c r="H215" s="571">
        <f t="shared" ref="H215:J215" si="107">H217</f>
        <v>281.0000000000291</v>
      </c>
      <c r="I215" s="571">
        <f t="shared" si="107"/>
        <v>302.10000000003492</v>
      </c>
      <c r="J215" s="572">
        <f t="shared" si="107"/>
        <v>-192441.69999999995</v>
      </c>
      <c r="K215" s="568"/>
      <c r="L215" s="568"/>
      <c r="M215" s="568"/>
      <c r="N215" s="568"/>
      <c r="O215" s="568"/>
      <c r="P215" s="568"/>
      <c r="Q215" s="568"/>
      <c r="R215" s="568"/>
    </row>
    <row r="216" spans="1:18" s="566" customFormat="1" ht="16.8" customHeight="1">
      <c r="A216" s="654"/>
      <c r="B216" s="654"/>
      <c r="C216" s="651"/>
      <c r="D216" s="670"/>
      <c r="E216" s="683"/>
      <c r="F216" s="557" t="s">
        <v>94</v>
      </c>
      <c r="G216" s="107"/>
      <c r="H216" s="107"/>
      <c r="I216" s="107"/>
      <c r="J216" s="107"/>
    </row>
    <row r="217" spans="1:18" s="574" customFormat="1">
      <c r="A217" s="654"/>
      <c r="B217" s="654"/>
      <c r="C217" s="651"/>
      <c r="D217" s="670"/>
      <c r="E217" s="683"/>
      <c r="F217" s="579" t="s">
        <v>110</v>
      </c>
      <c r="G217" s="120">
        <f t="shared" ref="G217" si="108">G219</f>
        <v>46783</v>
      </c>
      <c r="H217" s="120">
        <f t="shared" ref="H217:J217" si="109">H219</f>
        <v>281.0000000000291</v>
      </c>
      <c r="I217" s="120">
        <f t="shared" si="109"/>
        <v>302.10000000003492</v>
      </c>
      <c r="J217" s="120">
        <f t="shared" si="109"/>
        <v>-192441.69999999995</v>
      </c>
    </row>
    <row r="218" spans="1:18" s="566" customFormat="1" ht="54">
      <c r="A218" s="654"/>
      <c r="B218" s="654"/>
      <c r="C218" s="651"/>
      <c r="D218" s="670"/>
      <c r="E218" s="683"/>
      <c r="F218" s="557" t="s">
        <v>66</v>
      </c>
      <c r="G218" s="107"/>
      <c r="H218" s="107"/>
      <c r="I218" s="107"/>
      <c r="J218" s="107"/>
    </row>
    <row r="219" spans="1:18" s="566" customFormat="1" ht="16.8" customHeight="1">
      <c r="A219" s="654"/>
      <c r="B219" s="654"/>
      <c r="C219" s="651"/>
      <c r="D219" s="670"/>
      <c r="E219" s="683"/>
      <c r="F219" s="580" t="s">
        <v>67</v>
      </c>
      <c r="G219" s="107">
        <f t="shared" ref="G219:J220" si="110">G220</f>
        <v>46783</v>
      </c>
      <c r="H219" s="107">
        <f t="shared" si="110"/>
        <v>281.0000000000291</v>
      </c>
      <c r="I219" s="107">
        <f t="shared" si="110"/>
        <v>302.10000000003492</v>
      </c>
      <c r="J219" s="107">
        <f t="shared" si="110"/>
        <v>-192441.69999999995</v>
      </c>
    </row>
    <row r="220" spans="1:18" s="566" customFormat="1" ht="16.8" customHeight="1">
      <c r="A220" s="654"/>
      <c r="B220" s="654"/>
      <c r="C220" s="651"/>
      <c r="D220" s="670"/>
      <c r="E220" s="683"/>
      <c r="F220" s="557" t="s">
        <v>188</v>
      </c>
      <c r="G220" s="124">
        <f t="shared" si="110"/>
        <v>46783</v>
      </c>
      <c r="H220" s="124">
        <f t="shared" si="110"/>
        <v>281.0000000000291</v>
      </c>
      <c r="I220" s="124">
        <f t="shared" si="110"/>
        <v>302.10000000003492</v>
      </c>
      <c r="J220" s="124">
        <f t="shared" si="110"/>
        <v>-192441.69999999995</v>
      </c>
    </row>
    <row r="221" spans="1:18" s="566" customFormat="1" ht="16.8" customHeight="1">
      <c r="A221" s="654"/>
      <c r="B221" s="654"/>
      <c r="C221" s="651"/>
      <c r="D221" s="670"/>
      <c r="E221" s="683"/>
      <c r="F221" s="557" t="s">
        <v>189</v>
      </c>
      <c r="G221" s="124">
        <f>+G222</f>
        <v>46783</v>
      </c>
      <c r="H221" s="124">
        <f>+H222</f>
        <v>281.0000000000291</v>
      </c>
      <c r="I221" s="124">
        <f t="shared" ref="I221:J221" si="111">+I222</f>
        <v>302.10000000003492</v>
      </c>
      <c r="J221" s="124">
        <f t="shared" si="111"/>
        <v>-192441.69999999995</v>
      </c>
    </row>
    <row r="222" spans="1:18" s="566" customFormat="1" ht="16.8" customHeight="1">
      <c r="A222" s="654"/>
      <c r="B222" s="654"/>
      <c r="C222" s="651"/>
      <c r="D222" s="670"/>
      <c r="E222" s="683"/>
      <c r="F222" s="557" t="s">
        <v>190</v>
      </c>
      <c r="G222" s="124">
        <f>+G223</f>
        <v>46783</v>
      </c>
      <c r="H222" s="124">
        <f>+H223</f>
        <v>281.0000000000291</v>
      </c>
      <c r="I222" s="124">
        <f t="shared" ref="I222:J222" si="112">+I223</f>
        <v>302.10000000003492</v>
      </c>
      <c r="J222" s="124">
        <f t="shared" si="112"/>
        <v>-192441.69999999995</v>
      </c>
      <c r="K222" s="575"/>
    </row>
    <row r="223" spans="1:18" s="566" customFormat="1" ht="16.8" customHeight="1">
      <c r="A223" s="654"/>
      <c r="B223" s="654"/>
      <c r="C223" s="651"/>
      <c r="D223" s="670"/>
      <c r="E223" s="683"/>
      <c r="F223" s="587" t="s">
        <v>402</v>
      </c>
      <c r="G223" s="124">
        <f>+'Havelvats 4'!E157</f>
        <v>46783</v>
      </c>
      <c r="H223" s="124">
        <f>+'Havelvats 4'!F157</f>
        <v>281.0000000000291</v>
      </c>
      <c r="I223" s="124">
        <f>+'Havelvats 4'!G157</f>
        <v>302.10000000003492</v>
      </c>
      <c r="J223" s="124">
        <f>+'Havelvats 4'!H157</f>
        <v>-192441.69999999995</v>
      </c>
      <c r="K223" s="576"/>
    </row>
    <row r="224" spans="1:18" s="566" customFormat="1" ht="50.75">
      <c r="A224" s="654"/>
      <c r="B224" s="654"/>
      <c r="C224" s="651"/>
      <c r="D224" s="670"/>
      <c r="E224" s="584">
        <v>32003</v>
      </c>
      <c r="F224" s="106" t="s">
        <v>337</v>
      </c>
      <c r="G224" s="571">
        <f t="shared" ref="G224:J224" si="113">G226</f>
        <v>-36111.300000000047</v>
      </c>
      <c r="H224" s="571">
        <f t="shared" si="113"/>
        <v>0</v>
      </c>
      <c r="I224" s="572">
        <f t="shared" si="113"/>
        <v>882692.4</v>
      </c>
      <c r="J224" s="572">
        <f t="shared" si="113"/>
        <v>2257855.6000000006</v>
      </c>
      <c r="K224" s="568"/>
      <c r="L224" s="568"/>
      <c r="M224" s="568"/>
      <c r="N224" s="568"/>
      <c r="O224" s="568"/>
      <c r="P224" s="568"/>
      <c r="Q224" s="568"/>
      <c r="R224" s="568"/>
    </row>
    <row r="225" spans="1:18" s="566" customFormat="1" ht="17.350000000000001" customHeight="1">
      <c r="A225" s="654"/>
      <c r="B225" s="654"/>
      <c r="C225" s="651"/>
      <c r="D225" s="670"/>
      <c r="E225" s="669"/>
      <c r="F225" s="557" t="s">
        <v>94</v>
      </c>
      <c r="G225" s="107"/>
      <c r="H225" s="107"/>
      <c r="I225" s="107"/>
      <c r="J225" s="107"/>
    </row>
    <row r="226" spans="1:18" s="574" customFormat="1">
      <c r="A226" s="654"/>
      <c r="B226" s="654"/>
      <c r="C226" s="651"/>
      <c r="D226" s="670"/>
      <c r="E226" s="669"/>
      <c r="F226" s="579" t="s">
        <v>110</v>
      </c>
      <c r="G226" s="120">
        <f t="shared" ref="G226:J226" si="114">G228</f>
        <v>-36111.300000000047</v>
      </c>
      <c r="H226" s="120">
        <f t="shared" si="114"/>
        <v>0</v>
      </c>
      <c r="I226" s="120">
        <f t="shared" si="114"/>
        <v>882692.4</v>
      </c>
      <c r="J226" s="120">
        <f t="shared" si="114"/>
        <v>2257855.6000000006</v>
      </c>
    </row>
    <row r="227" spans="1:18" s="566" customFormat="1" ht="54">
      <c r="A227" s="654"/>
      <c r="B227" s="654"/>
      <c r="C227" s="651"/>
      <c r="D227" s="670"/>
      <c r="E227" s="669"/>
      <c r="F227" s="557" t="s">
        <v>66</v>
      </c>
      <c r="G227" s="107"/>
      <c r="H227" s="107"/>
      <c r="I227" s="107"/>
      <c r="J227" s="107"/>
    </row>
    <row r="228" spans="1:18" s="566" customFormat="1" ht="17.350000000000001" customHeight="1">
      <c r="A228" s="654"/>
      <c r="B228" s="654"/>
      <c r="C228" s="651"/>
      <c r="D228" s="670"/>
      <c r="E228" s="669"/>
      <c r="F228" s="580" t="s">
        <v>67</v>
      </c>
      <c r="G228" s="107">
        <f t="shared" ref="G228:J229" si="115">G229</f>
        <v>-36111.300000000047</v>
      </c>
      <c r="H228" s="107">
        <f t="shared" si="115"/>
        <v>0</v>
      </c>
      <c r="I228" s="107">
        <f t="shared" si="115"/>
        <v>882692.4</v>
      </c>
      <c r="J228" s="107">
        <f t="shared" si="115"/>
        <v>2257855.6000000006</v>
      </c>
    </row>
    <row r="229" spans="1:18" s="566" customFormat="1" ht="17.350000000000001" customHeight="1">
      <c r="A229" s="654"/>
      <c r="B229" s="654"/>
      <c r="C229" s="651"/>
      <c r="D229" s="670"/>
      <c r="E229" s="669"/>
      <c r="F229" s="557" t="s">
        <v>188</v>
      </c>
      <c r="G229" s="124">
        <f t="shared" si="115"/>
        <v>-36111.300000000047</v>
      </c>
      <c r="H229" s="124">
        <f t="shared" si="115"/>
        <v>0</v>
      </c>
      <c r="I229" s="124">
        <f t="shared" si="115"/>
        <v>882692.4</v>
      </c>
      <c r="J229" s="124">
        <f t="shared" si="115"/>
        <v>2257855.6000000006</v>
      </c>
    </row>
    <row r="230" spans="1:18" s="566" customFormat="1" ht="17.350000000000001" customHeight="1">
      <c r="A230" s="654"/>
      <c r="B230" s="654"/>
      <c r="C230" s="651"/>
      <c r="D230" s="670"/>
      <c r="E230" s="669"/>
      <c r="F230" s="557" t="s">
        <v>189</v>
      </c>
      <c r="G230" s="124">
        <f>+G231+G233</f>
        <v>-36111.300000000047</v>
      </c>
      <c r="H230" s="124">
        <f>-25000+25000</f>
        <v>0</v>
      </c>
      <c r="I230" s="124">
        <f t="shared" ref="I230:J230" si="116">+I231+I233</f>
        <v>882692.4</v>
      </c>
      <c r="J230" s="124">
        <f t="shared" si="116"/>
        <v>2257855.6000000006</v>
      </c>
    </row>
    <row r="231" spans="1:18" s="566" customFormat="1" ht="17.350000000000001" customHeight="1">
      <c r="A231" s="654"/>
      <c r="B231" s="654"/>
      <c r="C231" s="651"/>
      <c r="D231" s="670"/>
      <c r="E231" s="669"/>
      <c r="F231" s="557" t="s">
        <v>190</v>
      </c>
      <c r="G231" s="124">
        <f>+G232</f>
        <v>-36111.300000000047</v>
      </c>
      <c r="H231" s="124">
        <f>+H232</f>
        <v>-24999.999999999534</v>
      </c>
      <c r="I231" s="124">
        <f t="shared" ref="I231:J231" si="117">+I232</f>
        <v>832692.4</v>
      </c>
      <c r="J231" s="124">
        <f t="shared" si="117"/>
        <v>2207855.6000000006</v>
      </c>
      <c r="K231" s="575"/>
    </row>
    <row r="232" spans="1:18" s="566" customFormat="1" ht="17.350000000000001" customHeight="1">
      <c r="A232" s="654"/>
      <c r="B232" s="654"/>
      <c r="C232" s="651"/>
      <c r="D232" s="670"/>
      <c r="E232" s="669"/>
      <c r="F232" s="587" t="s">
        <v>402</v>
      </c>
      <c r="G232" s="124">
        <f>+'Havelvats 4'!E166+'Havelvats 4'!E169-'Havelvats 4'!E171</f>
        <v>-36111.300000000047</v>
      </c>
      <c r="H232" s="124">
        <f>+'Havelvats 4'!F166+'Havelvats 4'!F169-'Havelvats 4'!F171</f>
        <v>-24999.999999999534</v>
      </c>
      <c r="I232" s="531">
        <f>+ROUND('Havelvats 4'!G166+'Havelvats 4'!G169-'Havelvats 4'!G171,1)</f>
        <v>832692.4</v>
      </c>
      <c r="J232" s="124">
        <f>+'Havelvats 4'!H166+'Havelvats 4'!H169-'Havelvats 4'!H171</f>
        <v>2207855.6000000006</v>
      </c>
      <c r="K232" s="576"/>
    </row>
    <row r="233" spans="1:18" s="566" customFormat="1" ht="16.8" customHeight="1">
      <c r="A233" s="654"/>
      <c r="B233" s="654"/>
      <c r="C233" s="651"/>
      <c r="D233" s="670"/>
      <c r="E233" s="669"/>
      <c r="F233" s="557" t="s">
        <v>396</v>
      </c>
      <c r="G233" s="124">
        <f>+G234</f>
        <v>0</v>
      </c>
      <c r="H233" s="124">
        <f>+H234</f>
        <v>25000</v>
      </c>
      <c r="I233" s="124">
        <f t="shared" ref="I233:J233" si="118">+I234</f>
        <v>50000</v>
      </c>
      <c r="J233" s="124">
        <f t="shared" si="118"/>
        <v>50000</v>
      </c>
      <c r="K233" s="575"/>
    </row>
    <row r="234" spans="1:18" s="566" customFormat="1" ht="16.8" customHeight="1">
      <c r="A234" s="654"/>
      <c r="B234" s="654"/>
      <c r="C234" s="651"/>
      <c r="D234" s="670"/>
      <c r="E234" s="669"/>
      <c r="F234" s="557" t="s">
        <v>192</v>
      </c>
      <c r="G234" s="124">
        <f>+'Havelvats 4'!E171</f>
        <v>0</v>
      </c>
      <c r="H234" s="124">
        <f>+'Havelvats 4'!F171</f>
        <v>25000</v>
      </c>
      <c r="I234" s="124">
        <f>+'Havelvats 4'!G171</f>
        <v>50000</v>
      </c>
      <c r="J234" s="124">
        <f>+'Havelvats 4'!H171</f>
        <v>50000</v>
      </c>
      <c r="K234" s="576"/>
    </row>
    <row r="235" spans="1:18" s="566" customFormat="1" ht="35.450000000000003" customHeight="1">
      <c r="A235" s="654"/>
      <c r="B235" s="654"/>
      <c r="C235" s="651"/>
      <c r="D235" s="670"/>
      <c r="E235" s="584">
        <v>32007</v>
      </c>
      <c r="F235" s="106" t="s">
        <v>338</v>
      </c>
      <c r="G235" s="571">
        <f t="shared" ref="G235:J235" si="119">G237</f>
        <v>0</v>
      </c>
      <c r="H235" s="571">
        <f t="shared" si="119"/>
        <v>0</v>
      </c>
      <c r="I235" s="571">
        <f t="shared" si="119"/>
        <v>-750652.10000000009</v>
      </c>
      <c r="J235" s="572">
        <f t="shared" si="119"/>
        <v>-853876.50000000012</v>
      </c>
      <c r="K235" s="568"/>
      <c r="L235" s="568"/>
      <c r="M235" s="568"/>
      <c r="N235" s="568"/>
      <c r="O235" s="568"/>
      <c r="P235" s="568"/>
      <c r="Q235" s="568"/>
      <c r="R235" s="568"/>
    </row>
    <row r="236" spans="1:18" s="566" customFormat="1" ht="17.350000000000001" customHeight="1">
      <c r="A236" s="654"/>
      <c r="B236" s="654"/>
      <c r="C236" s="651"/>
      <c r="D236" s="670"/>
      <c r="E236" s="690"/>
      <c r="F236" s="557" t="s">
        <v>94</v>
      </c>
      <c r="G236" s="107"/>
      <c r="H236" s="107"/>
      <c r="I236" s="107"/>
      <c r="J236" s="107"/>
    </row>
    <row r="237" spans="1:18" s="574" customFormat="1" ht="35.75" customHeight="1">
      <c r="A237" s="654"/>
      <c r="B237" s="654"/>
      <c r="C237" s="651"/>
      <c r="D237" s="670"/>
      <c r="E237" s="690"/>
      <c r="F237" s="579" t="s">
        <v>110</v>
      </c>
      <c r="G237" s="120">
        <f t="shared" ref="G237:J237" si="120">G239</f>
        <v>0</v>
      </c>
      <c r="H237" s="120">
        <f t="shared" si="120"/>
        <v>0</v>
      </c>
      <c r="I237" s="120">
        <f t="shared" si="120"/>
        <v>-750652.10000000009</v>
      </c>
      <c r="J237" s="120">
        <f t="shared" si="120"/>
        <v>-853876.50000000012</v>
      </c>
    </row>
    <row r="238" spans="1:18" s="566" customFormat="1" ht="54">
      <c r="A238" s="654"/>
      <c r="B238" s="654"/>
      <c r="C238" s="651"/>
      <c r="D238" s="670"/>
      <c r="E238" s="690"/>
      <c r="F238" s="557" t="s">
        <v>66</v>
      </c>
      <c r="G238" s="107"/>
      <c r="H238" s="107"/>
      <c r="I238" s="107"/>
      <c r="J238" s="107"/>
    </row>
    <row r="239" spans="1:18" s="566" customFormat="1" ht="17.350000000000001" customHeight="1">
      <c r="A239" s="654"/>
      <c r="B239" s="654"/>
      <c r="C239" s="651"/>
      <c r="D239" s="670"/>
      <c r="E239" s="690"/>
      <c r="F239" s="580" t="s">
        <v>67</v>
      </c>
      <c r="G239" s="107">
        <f t="shared" ref="G239:J240" si="121">G240</f>
        <v>0</v>
      </c>
      <c r="H239" s="107">
        <f t="shared" si="121"/>
        <v>0</v>
      </c>
      <c r="I239" s="107">
        <f t="shared" si="121"/>
        <v>-750652.10000000009</v>
      </c>
      <c r="J239" s="107">
        <f t="shared" si="121"/>
        <v>-853876.50000000012</v>
      </c>
    </row>
    <row r="240" spans="1:18" s="566" customFormat="1" ht="17.350000000000001" customHeight="1">
      <c r="A240" s="654"/>
      <c r="B240" s="654"/>
      <c r="C240" s="651"/>
      <c r="D240" s="670"/>
      <c r="E240" s="690"/>
      <c r="F240" s="557" t="s">
        <v>188</v>
      </c>
      <c r="G240" s="124">
        <f t="shared" si="121"/>
        <v>0</v>
      </c>
      <c r="H240" s="124">
        <f t="shared" si="121"/>
        <v>0</v>
      </c>
      <c r="I240" s="124">
        <f t="shared" si="121"/>
        <v>-750652.10000000009</v>
      </c>
      <c r="J240" s="124">
        <f t="shared" si="121"/>
        <v>-853876.50000000012</v>
      </c>
    </row>
    <row r="241" spans="1:18" s="566" customFormat="1" ht="17.350000000000001" customHeight="1">
      <c r="A241" s="654"/>
      <c r="B241" s="654"/>
      <c r="C241" s="651"/>
      <c r="D241" s="670"/>
      <c r="E241" s="690"/>
      <c r="F241" s="557" t="s">
        <v>189</v>
      </c>
      <c r="G241" s="124">
        <f>+G242</f>
        <v>0</v>
      </c>
      <c r="H241" s="124">
        <f t="shared" ref="H241:J241" si="122">+H242</f>
        <v>0</v>
      </c>
      <c r="I241" s="124">
        <f t="shared" si="122"/>
        <v>-750652.10000000009</v>
      </c>
      <c r="J241" s="124">
        <f t="shared" si="122"/>
        <v>-853876.50000000012</v>
      </c>
    </row>
    <row r="242" spans="1:18" s="566" customFormat="1" ht="17.350000000000001" customHeight="1">
      <c r="A242" s="654"/>
      <c r="B242" s="654"/>
      <c r="C242" s="651"/>
      <c r="D242" s="670"/>
      <c r="E242" s="690"/>
      <c r="F242" s="557" t="s">
        <v>190</v>
      </c>
      <c r="G242" s="124">
        <f>+G243</f>
        <v>0</v>
      </c>
      <c r="H242" s="124">
        <f>+H243</f>
        <v>0</v>
      </c>
      <c r="I242" s="124">
        <f t="shared" ref="I242:J242" si="123">+I243</f>
        <v>-750652.10000000009</v>
      </c>
      <c r="J242" s="124">
        <f t="shared" si="123"/>
        <v>-853876.50000000012</v>
      </c>
      <c r="K242" s="575"/>
    </row>
    <row r="243" spans="1:18" s="566" customFormat="1" ht="17.350000000000001" customHeight="1">
      <c r="A243" s="654"/>
      <c r="B243" s="654"/>
      <c r="C243" s="651"/>
      <c r="D243" s="670"/>
      <c r="E243" s="690"/>
      <c r="F243" s="587" t="s">
        <v>402</v>
      </c>
      <c r="G243" s="124">
        <f>+'Havelvats 4'!E205</f>
        <v>0</v>
      </c>
      <c r="H243" s="124">
        <f>+'Havelvats 4'!F205</f>
        <v>0</v>
      </c>
      <c r="I243" s="124">
        <f>+'Havelvats 4'!G205</f>
        <v>-750652.10000000009</v>
      </c>
      <c r="J243" s="124">
        <f>+'Havelvats 4'!H205</f>
        <v>-853876.50000000012</v>
      </c>
      <c r="K243" s="576"/>
    </row>
    <row r="244" spans="1:18" s="566" customFormat="1" ht="35.450000000000003" customHeight="1">
      <c r="A244" s="654"/>
      <c r="B244" s="654"/>
      <c r="C244" s="651"/>
      <c r="D244" s="670"/>
      <c r="E244" s="584">
        <v>32009</v>
      </c>
      <c r="F244" s="106" t="s">
        <v>358</v>
      </c>
      <c r="G244" s="571">
        <f t="shared" ref="G244:J244" si="124">G246</f>
        <v>0</v>
      </c>
      <c r="H244" s="571">
        <f t="shared" si="124"/>
        <v>0</v>
      </c>
      <c r="I244" s="571">
        <f t="shared" si="124"/>
        <v>-132040.29999999999</v>
      </c>
      <c r="J244" s="572">
        <f t="shared" si="124"/>
        <v>-108596.30000000006</v>
      </c>
      <c r="K244" s="568"/>
      <c r="L244" s="568"/>
      <c r="M244" s="568"/>
      <c r="N244" s="568"/>
      <c r="O244" s="568"/>
      <c r="P244" s="568"/>
      <c r="Q244" s="568"/>
      <c r="R244" s="568"/>
    </row>
    <row r="245" spans="1:18" s="566" customFormat="1" ht="17.350000000000001" customHeight="1">
      <c r="A245" s="654"/>
      <c r="B245" s="654"/>
      <c r="C245" s="651"/>
      <c r="D245" s="670"/>
      <c r="E245" s="690"/>
      <c r="F245" s="557" t="s">
        <v>94</v>
      </c>
      <c r="G245" s="107"/>
      <c r="H245" s="107"/>
      <c r="I245" s="107"/>
      <c r="J245" s="107"/>
    </row>
    <row r="246" spans="1:18" s="574" customFormat="1">
      <c r="A246" s="654"/>
      <c r="B246" s="654"/>
      <c r="C246" s="651"/>
      <c r="D246" s="670"/>
      <c r="E246" s="690"/>
      <c r="F246" s="579" t="s">
        <v>110</v>
      </c>
      <c r="G246" s="120">
        <f t="shared" ref="G246:J246" si="125">G248</f>
        <v>0</v>
      </c>
      <c r="H246" s="120">
        <f t="shared" si="125"/>
        <v>0</v>
      </c>
      <c r="I246" s="120">
        <f t="shared" si="125"/>
        <v>-132040.29999999999</v>
      </c>
      <c r="J246" s="120">
        <f t="shared" si="125"/>
        <v>-108596.30000000006</v>
      </c>
    </row>
    <row r="247" spans="1:18" s="566" customFormat="1" ht="54">
      <c r="A247" s="654"/>
      <c r="B247" s="654"/>
      <c r="C247" s="651"/>
      <c r="D247" s="670"/>
      <c r="E247" s="690"/>
      <c r="F247" s="557" t="s">
        <v>66</v>
      </c>
      <c r="G247" s="107"/>
      <c r="H247" s="107"/>
      <c r="I247" s="107"/>
      <c r="J247" s="107"/>
    </row>
    <row r="248" spans="1:18" s="566" customFormat="1" ht="17.350000000000001" customHeight="1">
      <c r="A248" s="654"/>
      <c r="B248" s="654"/>
      <c r="C248" s="651"/>
      <c r="D248" s="670"/>
      <c r="E248" s="690"/>
      <c r="F248" s="580" t="s">
        <v>67</v>
      </c>
      <c r="G248" s="107">
        <f t="shared" ref="G248:J249" si="126">G249</f>
        <v>0</v>
      </c>
      <c r="H248" s="107">
        <f t="shared" si="126"/>
        <v>0</v>
      </c>
      <c r="I248" s="107">
        <f t="shared" si="126"/>
        <v>-132040.29999999999</v>
      </c>
      <c r="J248" s="107">
        <f t="shared" si="126"/>
        <v>-108596.30000000006</v>
      </c>
    </row>
    <row r="249" spans="1:18" s="566" customFormat="1" ht="17.350000000000001" customHeight="1">
      <c r="A249" s="654"/>
      <c r="B249" s="654"/>
      <c r="C249" s="651"/>
      <c r="D249" s="670"/>
      <c r="E249" s="690"/>
      <c r="F249" s="557" t="s">
        <v>188</v>
      </c>
      <c r="G249" s="124">
        <f t="shared" si="126"/>
        <v>0</v>
      </c>
      <c r="H249" s="124">
        <f t="shared" si="126"/>
        <v>0</v>
      </c>
      <c r="I249" s="124">
        <f t="shared" si="126"/>
        <v>-132040.29999999999</v>
      </c>
      <c r="J249" s="124">
        <f t="shared" si="126"/>
        <v>-108596.30000000006</v>
      </c>
    </row>
    <row r="250" spans="1:18" s="566" customFormat="1" ht="17.350000000000001" customHeight="1">
      <c r="A250" s="654"/>
      <c r="B250" s="654"/>
      <c r="C250" s="651"/>
      <c r="D250" s="670"/>
      <c r="E250" s="690"/>
      <c r="F250" s="557" t="s">
        <v>189</v>
      </c>
      <c r="G250" s="124">
        <f>+G251</f>
        <v>0</v>
      </c>
      <c r="H250" s="124">
        <f t="shared" ref="H250" si="127">+H251</f>
        <v>0</v>
      </c>
      <c r="I250" s="124">
        <f t="shared" ref="I250:J251" si="128">+I251</f>
        <v>-132040.29999999999</v>
      </c>
      <c r="J250" s="124">
        <f t="shared" ref="J250" si="129">+J251</f>
        <v>-108596.30000000006</v>
      </c>
    </row>
    <row r="251" spans="1:18" s="566" customFormat="1" ht="17.350000000000001" customHeight="1">
      <c r="A251" s="654"/>
      <c r="B251" s="654"/>
      <c r="C251" s="651"/>
      <c r="D251" s="670"/>
      <c r="E251" s="690"/>
      <c r="F251" s="557" t="s">
        <v>190</v>
      </c>
      <c r="G251" s="124">
        <f>+G252</f>
        <v>0</v>
      </c>
      <c r="H251" s="124">
        <f>+H252</f>
        <v>0</v>
      </c>
      <c r="I251" s="124">
        <f t="shared" si="128"/>
        <v>-132040.29999999999</v>
      </c>
      <c r="J251" s="124">
        <f t="shared" si="128"/>
        <v>-108596.30000000006</v>
      </c>
      <c r="K251" s="575"/>
    </row>
    <row r="252" spans="1:18" s="566" customFormat="1" ht="17.350000000000001" customHeight="1">
      <c r="A252" s="654"/>
      <c r="B252" s="654"/>
      <c r="C252" s="651"/>
      <c r="D252" s="670"/>
      <c r="E252" s="690"/>
      <c r="F252" s="587" t="s">
        <v>191</v>
      </c>
      <c r="G252" s="124">
        <f>+'Havelvats 4'!E231</f>
        <v>0</v>
      </c>
      <c r="H252" s="124">
        <f>+'Havelvats 4'!F231</f>
        <v>0</v>
      </c>
      <c r="I252" s="124">
        <f>+'Havelvats 4'!G231</f>
        <v>-132040.29999999999</v>
      </c>
      <c r="J252" s="124">
        <f>+'Havelvats 4'!H231</f>
        <v>-108596.30000000006</v>
      </c>
      <c r="K252" s="576"/>
    </row>
    <row r="253" spans="1:18" s="566" customFormat="1" ht="35.450000000000003" customHeight="1">
      <c r="A253" s="654"/>
      <c r="B253" s="654"/>
      <c r="C253" s="651"/>
      <c r="D253" s="670"/>
      <c r="E253" s="584">
        <v>32012</v>
      </c>
      <c r="F253" s="106" t="s">
        <v>383</v>
      </c>
      <c r="G253" s="571">
        <f t="shared" ref="G253:J253" si="130">G255</f>
        <v>0</v>
      </c>
      <c r="H253" s="571">
        <f t="shared" si="130"/>
        <v>0</v>
      </c>
      <c r="I253" s="571">
        <f t="shared" si="130"/>
        <v>-121155.5</v>
      </c>
      <c r="J253" s="572">
        <f t="shared" si="130"/>
        <v>-421155.5</v>
      </c>
      <c r="K253" s="568"/>
      <c r="L253" s="568"/>
      <c r="M253" s="568"/>
      <c r="N253" s="568"/>
      <c r="O253" s="568"/>
      <c r="P253" s="568"/>
      <c r="Q253" s="568"/>
      <c r="R253" s="568"/>
    </row>
    <row r="254" spans="1:18" s="566" customFormat="1" ht="17.350000000000001" customHeight="1">
      <c r="A254" s="654"/>
      <c r="B254" s="654"/>
      <c r="C254" s="651"/>
      <c r="D254" s="670"/>
      <c r="E254" s="690"/>
      <c r="F254" s="557" t="s">
        <v>94</v>
      </c>
      <c r="G254" s="107"/>
      <c r="H254" s="107"/>
      <c r="I254" s="107"/>
      <c r="J254" s="107"/>
    </row>
    <row r="255" spans="1:18" s="574" customFormat="1" ht="35.75" customHeight="1">
      <c r="A255" s="654"/>
      <c r="B255" s="654"/>
      <c r="C255" s="651"/>
      <c r="D255" s="670"/>
      <c r="E255" s="690"/>
      <c r="F255" s="579" t="s">
        <v>59</v>
      </c>
      <c r="G255" s="120">
        <f t="shared" ref="G255:J255" si="131">G257</f>
        <v>0</v>
      </c>
      <c r="H255" s="120">
        <f t="shared" si="131"/>
        <v>0</v>
      </c>
      <c r="I255" s="120">
        <f t="shared" si="131"/>
        <v>-121155.5</v>
      </c>
      <c r="J255" s="120">
        <f t="shared" si="131"/>
        <v>-421155.5</v>
      </c>
    </row>
    <row r="256" spans="1:18" s="566" customFormat="1" ht="54">
      <c r="A256" s="654"/>
      <c r="B256" s="654"/>
      <c r="C256" s="651"/>
      <c r="D256" s="670"/>
      <c r="E256" s="690"/>
      <c r="F256" s="557" t="s">
        <v>66</v>
      </c>
      <c r="G256" s="107"/>
      <c r="H256" s="107"/>
      <c r="I256" s="107"/>
      <c r="J256" s="107"/>
    </row>
    <row r="257" spans="1:11" s="566" customFormat="1" ht="17.350000000000001" customHeight="1">
      <c r="A257" s="654"/>
      <c r="B257" s="654"/>
      <c r="C257" s="651"/>
      <c r="D257" s="670"/>
      <c r="E257" s="690"/>
      <c r="F257" s="580" t="s">
        <v>67</v>
      </c>
      <c r="G257" s="107">
        <f t="shared" ref="G257:J258" si="132">G258</f>
        <v>0</v>
      </c>
      <c r="H257" s="107">
        <f t="shared" si="132"/>
        <v>0</v>
      </c>
      <c r="I257" s="107">
        <f t="shared" si="132"/>
        <v>-121155.5</v>
      </c>
      <c r="J257" s="107">
        <f t="shared" si="132"/>
        <v>-421155.5</v>
      </c>
    </row>
    <row r="258" spans="1:11" s="566" customFormat="1" ht="17.350000000000001" customHeight="1">
      <c r="A258" s="654"/>
      <c r="B258" s="654"/>
      <c r="C258" s="651"/>
      <c r="D258" s="670"/>
      <c r="E258" s="690"/>
      <c r="F258" s="557" t="s">
        <v>188</v>
      </c>
      <c r="G258" s="124">
        <f t="shared" si="132"/>
        <v>0</v>
      </c>
      <c r="H258" s="124">
        <f t="shared" si="132"/>
        <v>0</v>
      </c>
      <c r="I258" s="124">
        <f t="shared" si="132"/>
        <v>-121155.5</v>
      </c>
      <c r="J258" s="124">
        <f t="shared" si="132"/>
        <v>-421155.5</v>
      </c>
    </row>
    <row r="259" spans="1:11" s="566" customFormat="1" ht="17.350000000000001" customHeight="1">
      <c r="A259" s="654"/>
      <c r="B259" s="654"/>
      <c r="C259" s="651"/>
      <c r="D259" s="670"/>
      <c r="E259" s="690"/>
      <c r="F259" s="557" t="s">
        <v>189</v>
      </c>
      <c r="G259" s="124">
        <f>+G260</f>
        <v>0</v>
      </c>
      <c r="H259" s="124">
        <f t="shared" ref="H259" si="133">+H260</f>
        <v>0</v>
      </c>
      <c r="I259" s="124">
        <f t="shared" ref="I259:I260" si="134">+I260</f>
        <v>-121155.5</v>
      </c>
      <c r="J259" s="124">
        <f t="shared" ref="J259:J260" si="135">+J260</f>
        <v>-421155.5</v>
      </c>
    </row>
    <row r="260" spans="1:11" s="566" customFormat="1" ht="17.350000000000001" customHeight="1">
      <c r="A260" s="654"/>
      <c r="B260" s="654"/>
      <c r="C260" s="651"/>
      <c r="D260" s="670"/>
      <c r="E260" s="690"/>
      <c r="F260" s="557" t="s">
        <v>397</v>
      </c>
      <c r="G260" s="124">
        <f>+G261</f>
        <v>0</v>
      </c>
      <c r="H260" s="124">
        <f>+H261</f>
        <v>0</v>
      </c>
      <c r="I260" s="124">
        <f t="shared" si="134"/>
        <v>-121155.5</v>
      </c>
      <c r="J260" s="124">
        <f t="shared" si="135"/>
        <v>-421155.5</v>
      </c>
      <c r="K260" s="575"/>
    </row>
    <row r="261" spans="1:11" s="566" customFormat="1" ht="17.350000000000001" customHeight="1">
      <c r="A261" s="655"/>
      <c r="B261" s="655"/>
      <c r="C261" s="652"/>
      <c r="D261" s="670"/>
      <c r="E261" s="690"/>
      <c r="F261" s="557" t="s">
        <v>398</v>
      </c>
      <c r="G261" s="124">
        <f>+'Havelvats 4'!E245+'Havelvats 4'!E249</f>
        <v>0</v>
      </c>
      <c r="H261" s="124">
        <f>+'Havelvats 4'!F245+'Havelvats 4'!F249</f>
        <v>0</v>
      </c>
      <c r="I261" s="124">
        <f>+'Havelvats 4'!G245+'Havelvats 4'!G249</f>
        <v>-121155.5</v>
      </c>
      <c r="J261" s="124">
        <f>+'Havelvats 4'!H245+'Havelvats 4'!H249</f>
        <v>-421155.5</v>
      </c>
      <c r="K261" s="576"/>
    </row>
    <row r="262" spans="1:11" s="566" customFormat="1">
      <c r="A262" s="135"/>
      <c r="B262" s="135"/>
      <c r="C262" s="136"/>
      <c r="D262" s="136"/>
      <c r="E262" s="596"/>
      <c r="F262" s="597"/>
      <c r="G262" s="137"/>
      <c r="H262" s="137"/>
      <c r="I262" s="137"/>
      <c r="J262" s="137"/>
      <c r="K262" s="576"/>
    </row>
    <row r="263" spans="1:11" s="566" customFormat="1" ht="34.950000000000003" customHeight="1">
      <c r="A263" s="557"/>
      <c r="B263" s="557"/>
      <c r="C263" s="557"/>
      <c r="D263" s="580"/>
      <c r="E263" s="580"/>
      <c r="F263" s="106" t="s">
        <v>171</v>
      </c>
      <c r="G263" s="444">
        <f>+G264</f>
        <v>69123.899999999994</v>
      </c>
      <c r="H263" s="444">
        <f>+H264</f>
        <v>0</v>
      </c>
      <c r="I263" s="444">
        <f t="shared" ref="I263:J263" si="136">+I264</f>
        <v>0</v>
      </c>
      <c r="J263" s="444">
        <f t="shared" si="136"/>
        <v>0</v>
      </c>
    </row>
    <row r="264" spans="1:11" ht="33.85">
      <c r="A264" s="666" t="s">
        <v>115</v>
      </c>
      <c r="B264" s="666"/>
      <c r="C264" s="666"/>
      <c r="D264" s="666"/>
      <c r="E264" s="666"/>
      <c r="F264" s="593" t="s">
        <v>38</v>
      </c>
      <c r="G264" s="598">
        <f t="shared" ref="G264" si="137">+G266</f>
        <v>69123.899999999994</v>
      </c>
      <c r="H264" s="28">
        <f t="shared" ref="H264:J264" si="138">+H266</f>
        <v>0</v>
      </c>
      <c r="I264" s="28">
        <f t="shared" si="138"/>
        <v>0</v>
      </c>
      <c r="J264" s="598">
        <f t="shared" si="138"/>
        <v>0</v>
      </c>
    </row>
    <row r="265" spans="1:11">
      <c r="A265" s="666"/>
      <c r="B265" s="666"/>
      <c r="C265" s="666"/>
      <c r="D265" s="666"/>
      <c r="E265" s="666"/>
      <c r="F265" s="557" t="s">
        <v>25</v>
      </c>
      <c r="G265" s="599"/>
      <c r="H265" s="28"/>
      <c r="I265" s="28"/>
      <c r="J265" s="599"/>
    </row>
    <row r="266" spans="1:11" ht="33.85">
      <c r="A266" s="666"/>
      <c r="B266" s="666" t="s">
        <v>39</v>
      </c>
      <c r="C266" s="666"/>
      <c r="D266" s="666"/>
      <c r="E266" s="666"/>
      <c r="F266" s="593" t="s">
        <v>40</v>
      </c>
      <c r="G266" s="600">
        <f t="shared" ref="G266" si="139">+G268</f>
        <v>69123.899999999994</v>
      </c>
      <c r="H266" s="108">
        <f t="shared" ref="H266:J266" si="140">+H268</f>
        <v>0</v>
      </c>
      <c r="I266" s="108">
        <f t="shared" si="140"/>
        <v>0</v>
      </c>
      <c r="J266" s="600">
        <f t="shared" si="140"/>
        <v>0</v>
      </c>
    </row>
    <row r="267" spans="1:11">
      <c r="A267" s="666"/>
      <c r="B267" s="666"/>
      <c r="C267" s="666"/>
      <c r="D267" s="666"/>
      <c r="E267" s="666"/>
      <c r="F267" s="557" t="s">
        <v>25</v>
      </c>
      <c r="G267" s="601"/>
      <c r="H267" s="108"/>
      <c r="I267" s="108"/>
      <c r="J267" s="601"/>
    </row>
    <row r="268" spans="1:11">
      <c r="A268" s="666"/>
      <c r="B268" s="666"/>
      <c r="C268" s="666" t="s">
        <v>39</v>
      </c>
      <c r="D268" s="666"/>
      <c r="E268" s="666"/>
      <c r="F268" s="106" t="s">
        <v>24</v>
      </c>
      <c r="G268" s="600">
        <f>+G281+G289</f>
        <v>69123.899999999994</v>
      </c>
      <c r="H268" s="108">
        <f>+H281+H289</f>
        <v>0</v>
      </c>
      <c r="I268" s="108">
        <f>+I281+I289</f>
        <v>0</v>
      </c>
      <c r="J268" s="600">
        <f>+J281+J289</f>
        <v>0</v>
      </c>
    </row>
    <row r="269" spans="1:11">
      <c r="A269" s="666"/>
      <c r="B269" s="666"/>
      <c r="C269" s="666"/>
      <c r="D269" s="666"/>
      <c r="E269" s="666"/>
      <c r="F269" s="557" t="s">
        <v>25</v>
      </c>
      <c r="G269" s="601"/>
      <c r="H269" s="601"/>
      <c r="I269" s="601"/>
      <c r="J269" s="601"/>
    </row>
    <row r="270" spans="1:11">
      <c r="A270" s="666"/>
      <c r="B270" s="666"/>
      <c r="C270" s="666"/>
      <c r="D270" s="666"/>
      <c r="E270" s="666"/>
      <c r="F270" s="557" t="s">
        <v>26</v>
      </c>
      <c r="G270" s="602">
        <f t="shared" ref="G270" si="141">+G272</f>
        <v>69123.899999999994</v>
      </c>
      <c r="H270" s="128">
        <f t="shared" ref="H270:J270" si="142">+H272</f>
        <v>0</v>
      </c>
      <c r="I270" s="128">
        <f t="shared" si="142"/>
        <v>0</v>
      </c>
      <c r="J270" s="602">
        <f t="shared" si="142"/>
        <v>0</v>
      </c>
    </row>
    <row r="271" spans="1:11">
      <c r="A271" s="666"/>
      <c r="B271" s="666"/>
      <c r="C271" s="666"/>
      <c r="D271" s="666"/>
      <c r="E271" s="666"/>
      <c r="F271" s="557" t="s">
        <v>25</v>
      </c>
      <c r="G271" s="598"/>
      <c r="H271" s="598"/>
      <c r="I271" s="598"/>
      <c r="J271" s="598"/>
    </row>
    <row r="272" spans="1:11">
      <c r="A272" s="666"/>
      <c r="B272" s="666"/>
      <c r="C272" s="666"/>
      <c r="D272" s="666" t="s">
        <v>111</v>
      </c>
      <c r="E272" s="667" t="s">
        <v>117</v>
      </c>
      <c r="F272" s="667" t="s">
        <v>24</v>
      </c>
      <c r="G272" s="28">
        <f>+G281+G289</f>
        <v>69123.899999999994</v>
      </c>
      <c r="H272" s="28">
        <f>+H281+H289</f>
        <v>0</v>
      </c>
      <c r="I272" s="28">
        <f>+I281+I289</f>
        <v>0</v>
      </c>
      <c r="J272" s="28">
        <f>+J281+J289</f>
        <v>0</v>
      </c>
    </row>
    <row r="273" spans="1:10">
      <c r="A273" s="666"/>
      <c r="B273" s="666"/>
      <c r="C273" s="666"/>
      <c r="D273" s="666"/>
      <c r="E273" s="603"/>
      <c r="F273" s="557" t="s">
        <v>25</v>
      </c>
      <c r="G273" s="604"/>
      <c r="H273" s="604"/>
      <c r="I273" s="604"/>
      <c r="J273" s="604"/>
    </row>
    <row r="274" spans="1:10">
      <c r="A274" s="666"/>
      <c r="B274" s="666"/>
      <c r="C274" s="666"/>
      <c r="D274" s="666"/>
      <c r="E274" s="605">
        <v>11001</v>
      </c>
      <c r="F274" s="106" t="s">
        <v>24</v>
      </c>
      <c r="G274" s="606">
        <f t="shared" ref="G274" si="143">+G276</f>
        <v>81178.2</v>
      </c>
      <c r="H274" s="606">
        <f t="shared" ref="H274:J274" si="144">+H276</f>
        <v>213948.3</v>
      </c>
      <c r="I274" s="606">
        <f t="shared" si="144"/>
        <v>511599.8</v>
      </c>
      <c r="J274" s="606">
        <f t="shared" si="144"/>
        <v>709475.70000000007</v>
      </c>
    </row>
    <row r="275" spans="1:10">
      <c r="A275" s="666"/>
      <c r="B275" s="666"/>
      <c r="C275" s="666"/>
      <c r="D275" s="666"/>
      <c r="E275" s="668"/>
      <c r="F275" s="557" t="s">
        <v>94</v>
      </c>
      <c r="G275" s="602"/>
      <c r="H275" s="602"/>
      <c r="I275" s="602"/>
      <c r="J275" s="602"/>
    </row>
    <row r="276" spans="1:10">
      <c r="A276" s="666"/>
      <c r="B276" s="666"/>
      <c r="C276" s="666"/>
      <c r="D276" s="666"/>
      <c r="E276" s="668"/>
      <c r="F276" s="607" t="s">
        <v>26</v>
      </c>
      <c r="G276" s="608">
        <f t="shared" ref="G276" si="145">+G278</f>
        <v>81178.2</v>
      </c>
      <c r="H276" s="608">
        <f t="shared" ref="H276:J276" si="146">+H278</f>
        <v>213948.3</v>
      </c>
      <c r="I276" s="608">
        <f t="shared" si="146"/>
        <v>511599.8</v>
      </c>
      <c r="J276" s="608">
        <f t="shared" si="146"/>
        <v>709475.70000000007</v>
      </c>
    </row>
    <row r="277" spans="1:10" ht="50.9" customHeight="1">
      <c r="A277" s="666"/>
      <c r="B277" s="666"/>
      <c r="C277" s="666"/>
      <c r="D277" s="666"/>
      <c r="E277" s="668"/>
      <c r="F277" s="557" t="s">
        <v>27</v>
      </c>
      <c r="G277" s="602"/>
      <c r="H277" s="602"/>
      <c r="I277" s="602"/>
      <c r="J277" s="602"/>
    </row>
    <row r="278" spans="1:10">
      <c r="A278" s="666"/>
      <c r="B278" s="666"/>
      <c r="C278" s="666"/>
      <c r="D278" s="666"/>
      <c r="E278" s="668"/>
      <c r="F278" s="580" t="s">
        <v>28</v>
      </c>
      <c r="G278" s="604">
        <f t="shared" ref="G278:J279" si="147">+G279</f>
        <v>81178.2</v>
      </c>
      <c r="H278" s="604">
        <f t="shared" si="147"/>
        <v>213948.3</v>
      </c>
      <c r="I278" s="604">
        <f t="shared" si="147"/>
        <v>511599.8</v>
      </c>
      <c r="J278" s="600">
        <f t="shared" si="147"/>
        <v>709475.70000000007</v>
      </c>
    </row>
    <row r="279" spans="1:10">
      <c r="A279" s="666"/>
      <c r="B279" s="666"/>
      <c r="C279" s="666"/>
      <c r="D279" s="666"/>
      <c r="E279" s="668"/>
      <c r="F279" s="557" t="s">
        <v>29</v>
      </c>
      <c r="G279" s="609">
        <f t="shared" si="147"/>
        <v>81178.2</v>
      </c>
      <c r="H279" s="609">
        <f t="shared" si="147"/>
        <v>213948.3</v>
      </c>
      <c r="I279" s="609">
        <f t="shared" si="147"/>
        <v>511599.8</v>
      </c>
      <c r="J279" s="602">
        <f t="shared" si="147"/>
        <v>709475.70000000007</v>
      </c>
    </row>
    <row r="280" spans="1:10">
      <c r="A280" s="666"/>
      <c r="B280" s="666"/>
      <c r="C280" s="666"/>
      <c r="D280" s="666"/>
      <c r="E280" s="668"/>
      <c r="F280" s="557" t="s">
        <v>116</v>
      </c>
      <c r="G280" s="609">
        <f>+G281</f>
        <v>81178.2</v>
      </c>
      <c r="H280" s="609">
        <f>+H281</f>
        <v>213948.3</v>
      </c>
      <c r="I280" s="609">
        <f t="shared" ref="I280:J280" si="148">+I281</f>
        <v>511599.8</v>
      </c>
      <c r="J280" s="602">
        <f t="shared" si="148"/>
        <v>709475.70000000007</v>
      </c>
    </row>
    <row r="281" spans="1:10">
      <c r="A281" s="666"/>
      <c r="B281" s="666"/>
      <c r="C281" s="666"/>
      <c r="D281" s="666"/>
      <c r="E281" s="668"/>
      <c r="F281" s="557" t="s">
        <v>30</v>
      </c>
      <c r="G281" s="609">
        <f>+G135+G195+G23+(-(G92+G109)-G23)</f>
        <v>81178.2</v>
      </c>
      <c r="H281" s="609">
        <f t="shared" ref="H281:J281" si="149">+H135+H195+H23</f>
        <v>213948.3</v>
      </c>
      <c r="I281" s="609">
        <f t="shared" si="149"/>
        <v>511599.8</v>
      </c>
      <c r="J281" s="609">
        <f t="shared" si="149"/>
        <v>709475.70000000007</v>
      </c>
    </row>
    <row r="282" spans="1:10">
      <c r="A282" s="666"/>
      <c r="B282" s="666"/>
      <c r="C282" s="666"/>
      <c r="D282" s="666"/>
      <c r="E282" s="605" t="s">
        <v>113</v>
      </c>
      <c r="F282" s="106" t="s">
        <v>24</v>
      </c>
      <c r="G282" s="610">
        <f t="shared" ref="G282" si="150">+G284</f>
        <v>-12054.3</v>
      </c>
      <c r="H282" s="610">
        <f t="shared" ref="H282:J282" si="151">+H284</f>
        <v>-213948.3</v>
      </c>
      <c r="I282" s="610">
        <f t="shared" si="151"/>
        <v>-511599.8</v>
      </c>
      <c r="J282" s="610">
        <f t="shared" si="151"/>
        <v>-709475.70000000007</v>
      </c>
    </row>
    <row r="283" spans="1:10">
      <c r="A283" s="666"/>
      <c r="B283" s="666"/>
      <c r="C283" s="666"/>
      <c r="D283" s="666"/>
      <c r="E283" s="668"/>
      <c r="F283" s="557" t="s">
        <v>94</v>
      </c>
      <c r="G283" s="609"/>
      <c r="H283" s="609"/>
      <c r="I283" s="609"/>
      <c r="J283" s="609"/>
    </row>
    <row r="284" spans="1:10">
      <c r="A284" s="666"/>
      <c r="B284" s="666"/>
      <c r="C284" s="666"/>
      <c r="D284" s="666"/>
      <c r="E284" s="668"/>
      <c r="F284" s="607" t="s">
        <v>26</v>
      </c>
      <c r="G284" s="608">
        <f t="shared" ref="G284" si="152">+G286</f>
        <v>-12054.3</v>
      </c>
      <c r="H284" s="608">
        <f t="shared" ref="H284:J284" si="153">+H286</f>
        <v>-213948.3</v>
      </c>
      <c r="I284" s="608">
        <f t="shared" si="153"/>
        <v>-511599.8</v>
      </c>
      <c r="J284" s="608">
        <f t="shared" si="153"/>
        <v>-709475.70000000007</v>
      </c>
    </row>
    <row r="285" spans="1:10" ht="50.45" customHeight="1">
      <c r="A285" s="666"/>
      <c r="B285" s="666"/>
      <c r="C285" s="666"/>
      <c r="D285" s="666"/>
      <c r="E285" s="668"/>
      <c r="F285" s="557" t="s">
        <v>27</v>
      </c>
      <c r="G285" s="609"/>
      <c r="H285" s="609"/>
      <c r="I285" s="609"/>
      <c r="J285" s="609"/>
    </row>
    <row r="286" spans="1:10">
      <c r="A286" s="666"/>
      <c r="B286" s="666"/>
      <c r="C286" s="666"/>
      <c r="D286" s="666"/>
      <c r="E286" s="668"/>
      <c r="F286" s="580" t="s">
        <v>28</v>
      </c>
      <c r="G286" s="604">
        <f t="shared" ref="G286:J288" si="154">+G287</f>
        <v>-12054.3</v>
      </c>
      <c r="H286" s="604">
        <f t="shared" si="154"/>
        <v>-213948.3</v>
      </c>
      <c r="I286" s="604">
        <f t="shared" si="154"/>
        <v>-511599.8</v>
      </c>
      <c r="J286" s="604">
        <f t="shared" si="154"/>
        <v>-709475.70000000007</v>
      </c>
    </row>
    <row r="287" spans="1:10">
      <c r="A287" s="666"/>
      <c r="B287" s="666"/>
      <c r="C287" s="666"/>
      <c r="D287" s="666"/>
      <c r="E287" s="668"/>
      <c r="F287" s="557" t="s">
        <v>29</v>
      </c>
      <c r="G287" s="609">
        <f t="shared" si="154"/>
        <v>-12054.3</v>
      </c>
      <c r="H287" s="609">
        <f t="shared" si="154"/>
        <v>-213948.3</v>
      </c>
      <c r="I287" s="609">
        <f t="shared" si="154"/>
        <v>-511599.8</v>
      </c>
      <c r="J287" s="609">
        <f t="shared" si="154"/>
        <v>-709475.70000000007</v>
      </c>
    </row>
    <row r="288" spans="1:10">
      <c r="A288" s="666"/>
      <c r="B288" s="666"/>
      <c r="C288" s="666"/>
      <c r="D288" s="666"/>
      <c r="E288" s="668"/>
      <c r="F288" s="557" t="s">
        <v>60</v>
      </c>
      <c r="G288" s="609">
        <f t="shared" si="154"/>
        <v>-12054.3</v>
      </c>
      <c r="H288" s="609">
        <f t="shared" si="154"/>
        <v>-213948.3</v>
      </c>
      <c r="I288" s="609">
        <f t="shared" si="154"/>
        <v>-511599.8</v>
      </c>
      <c r="J288" s="609">
        <f t="shared" si="154"/>
        <v>-709475.70000000007</v>
      </c>
    </row>
    <row r="289" spans="1:10">
      <c r="A289" s="666"/>
      <c r="B289" s="666"/>
      <c r="C289" s="666"/>
      <c r="D289" s="666"/>
      <c r="E289" s="668"/>
      <c r="F289" s="557" t="s">
        <v>30</v>
      </c>
      <c r="G289" s="609">
        <f>-G135-G195-G23</f>
        <v>-12054.3</v>
      </c>
      <c r="H289" s="609">
        <f>-H135-H195-H23</f>
        <v>-213948.3</v>
      </c>
      <c r="I289" s="609">
        <f>-I135-I195-I23</f>
        <v>-511599.8</v>
      </c>
      <c r="J289" s="609">
        <f>-J135-J195-J23</f>
        <v>-709475.70000000007</v>
      </c>
    </row>
  </sheetData>
  <mergeCells count="79">
    <mergeCell ref="B101:B117"/>
    <mergeCell ref="E90:F90"/>
    <mergeCell ref="C86:C100"/>
    <mergeCell ref="B84:B100"/>
    <mergeCell ref="D91:D100"/>
    <mergeCell ref="E93:E100"/>
    <mergeCell ref="D82:D89"/>
    <mergeCell ref="C103:C117"/>
    <mergeCell ref="E107:F107"/>
    <mergeCell ref="D108:D117"/>
    <mergeCell ref="E110:E117"/>
    <mergeCell ref="E204:F204"/>
    <mergeCell ref="E216:E223"/>
    <mergeCell ref="E207:E214"/>
    <mergeCell ref="E171:E178"/>
    <mergeCell ref="C13:C16"/>
    <mergeCell ref="E127:E134"/>
    <mergeCell ref="D65:D68"/>
    <mergeCell ref="E65:E68"/>
    <mergeCell ref="E69:F69"/>
    <mergeCell ref="C65:C81"/>
    <mergeCell ref="C120:C261"/>
    <mergeCell ref="E180:E194"/>
    <mergeCell ref="E236:E243"/>
    <mergeCell ref="E245:E252"/>
    <mergeCell ref="E254:E261"/>
    <mergeCell ref="D144:D154"/>
    <mergeCell ref="D32:D35"/>
    <mergeCell ref="E144:F144"/>
    <mergeCell ref="E36:F36"/>
    <mergeCell ref="E147:E154"/>
    <mergeCell ref="E136:E143"/>
    <mergeCell ref="E124:F124"/>
    <mergeCell ref="E39:E55"/>
    <mergeCell ref="D118:D123"/>
    <mergeCell ref="D101:D106"/>
    <mergeCell ref="E196:E203"/>
    <mergeCell ref="D168:D203"/>
    <mergeCell ref="E225:E234"/>
    <mergeCell ref="D204:D261"/>
    <mergeCell ref="H1:J1"/>
    <mergeCell ref="D8:E8"/>
    <mergeCell ref="F8:F9"/>
    <mergeCell ref="A5:J5"/>
    <mergeCell ref="A8:C8"/>
    <mergeCell ref="H3:J3"/>
    <mergeCell ref="H2:J2"/>
    <mergeCell ref="G8:J8"/>
    <mergeCell ref="E21:F21"/>
    <mergeCell ref="D21:D31"/>
    <mergeCell ref="E24:E31"/>
    <mergeCell ref="D13:D20"/>
    <mergeCell ref="A264:A289"/>
    <mergeCell ref="E264:E271"/>
    <mergeCell ref="D264:D271"/>
    <mergeCell ref="C264:C267"/>
    <mergeCell ref="B264:B265"/>
    <mergeCell ref="E272:F272"/>
    <mergeCell ref="E283:E289"/>
    <mergeCell ref="E275:E281"/>
    <mergeCell ref="D272:D289"/>
    <mergeCell ref="C268:C289"/>
    <mergeCell ref="B266:B289"/>
    <mergeCell ref="E158:E167"/>
    <mergeCell ref="D155:D167"/>
    <mergeCell ref="A13:A81"/>
    <mergeCell ref="D124:D143"/>
    <mergeCell ref="E155:F155"/>
    <mergeCell ref="B13:B14"/>
    <mergeCell ref="B82:B83"/>
    <mergeCell ref="C32:C64"/>
    <mergeCell ref="A82:A261"/>
    <mergeCell ref="E57:E64"/>
    <mergeCell ref="D36:D64"/>
    <mergeCell ref="B118:B261"/>
    <mergeCell ref="B15:B81"/>
    <mergeCell ref="E72:E81"/>
    <mergeCell ref="D69:D81"/>
    <mergeCell ref="E168:F168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2"/>
  <sheetViews>
    <sheetView zoomScale="85" zoomScaleNormal="85" workbookViewId="0">
      <selection activeCell="C1" sqref="C1:C1048576"/>
    </sheetView>
  </sheetViews>
  <sheetFormatPr defaultColWidth="9.296875" defaultRowHeight="18"/>
  <cols>
    <col min="1" max="2" width="9.296875" style="39"/>
    <col min="3" max="3" width="54.296875" style="39" customWidth="1"/>
    <col min="4" max="4" width="16.59765625" style="39" customWidth="1"/>
    <col min="5" max="8" width="18.8984375" style="39" customWidth="1"/>
    <col min="9" max="9" width="13.8984375" style="39" bestFit="1" customWidth="1"/>
    <col min="10" max="10" width="17.296875" style="39" customWidth="1"/>
    <col min="11" max="16384" width="9.296875" style="39"/>
  </cols>
  <sheetData>
    <row r="1" spans="1:10" ht="37.5" customHeight="1">
      <c r="B1" s="139"/>
      <c r="C1" s="139"/>
      <c r="D1" s="139"/>
      <c r="E1" s="139"/>
      <c r="F1" s="701" t="s">
        <v>142</v>
      </c>
      <c r="G1" s="701"/>
      <c r="H1" s="701"/>
    </row>
    <row r="2" spans="1:10" ht="17.350000000000001" customHeight="1">
      <c r="A2" s="139"/>
      <c r="B2" s="139"/>
      <c r="C2" s="139"/>
      <c r="D2" s="139"/>
      <c r="E2" s="139"/>
      <c r="F2" s="702" t="s">
        <v>534</v>
      </c>
      <c r="G2" s="702"/>
      <c r="H2" s="702"/>
    </row>
    <row r="3" spans="1:10" ht="17.350000000000001" customHeight="1">
      <c r="A3" s="139"/>
      <c r="B3" s="139"/>
      <c r="C3" s="139"/>
      <c r="D3" s="139"/>
      <c r="E3" s="139"/>
      <c r="F3" s="702" t="s">
        <v>141</v>
      </c>
      <c r="G3" s="702"/>
      <c r="H3" s="702"/>
    </row>
    <row r="4" spans="1:10" ht="14.35" customHeight="1">
      <c r="A4" s="140"/>
      <c r="B4" s="140"/>
      <c r="C4" s="314"/>
      <c r="E4" s="141"/>
      <c r="F4" s="141"/>
      <c r="G4" s="141"/>
      <c r="H4" s="141"/>
    </row>
    <row r="5" spans="1:10">
      <c r="A5" s="703" t="s">
        <v>527</v>
      </c>
      <c r="B5" s="704"/>
      <c r="C5" s="704"/>
      <c r="D5" s="704"/>
      <c r="E5" s="704"/>
      <c r="F5" s="704"/>
      <c r="G5" s="704"/>
      <c r="H5" s="704"/>
    </row>
    <row r="6" spans="1:10" ht="33.85" customHeight="1">
      <c r="A6" s="704"/>
      <c r="B6" s="704"/>
      <c r="C6" s="704"/>
      <c r="D6" s="704"/>
      <c r="E6" s="704"/>
      <c r="F6" s="704"/>
      <c r="G6" s="704"/>
      <c r="H6" s="704"/>
    </row>
    <row r="7" spans="1:10">
      <c r="D7" s="483"/>
      <c r="E7" s="484"/>
    </row>
    <row r="8" spans="1:10">
      <c r="D8" s="484"/>
      <c r="E8" s="484"/>
      <c r="G8" s="305"/>
      <c r="H8" s="305" t="s">
        <v>32</v>
      </c>
    </row>
    <row r="9" spans="1:10" ht="40.4" customHeight="1">
      <c r="A9" s="705" t="s">
        <v>85</v>
      </c>
      <c r="B9" s="706"/>
      <c r="C9" s="707" t="s">
        <v>98</v>
      </c>
      <c r="D9" s="709" t="s">
        <v>99</v>
      </c>
      <c r="E9" s="711" t="s">
        <v>253</v>
      </c>
      <c r="F9" s="712"/>
      <c r="G9" s="712"/>
      <c r="H9" s="713"/>
    </row>
    <row r="10" spans="1:10" ht="107.35" customHeight="1">
      <c r="A10" s="5" t="s">
        <v>90</v>
      </c>
      <c r="B10" s="5" t="s">
        <v>91</v>
      </c>
      <c r="C10" s="708"/>
      <c r="D10" s="710"/>
      <c r="E10" s="142" t="s">
        <v>101</v>
      </c>
      <c r="F10" s="142" t="s">
        <v>102</v>
      </c>
      <c r="G10" s="142" t="s">
        <v>103</v>
      </c>
      <c r="H10" s="142" t="s">
        <v>104</v>
      </c>
      <c r="I10" s="156"/>
    </row>
    <row r="11" spans="1:10">
      <c r="A11" s="5"/>
      <c r="B11" s="5"/>
      <c r="C11" s="6" t="s">
        <v>105</v>
      </c>
      <c r="D11" s="13">
        <f>SUM(E11:H11)</f>
        <v>223848.30000000005</v>
      </c>
      <c r="E11" s="13">
        <f t="shared" ref="E11:H11" si="0">+E13</f>
        <v>218341.40000000026</v>
      </c>
      <c r="F11" s="12">
        <f t="shared" si="0"/>
        <v>199706.19999999984</v>
      </c>
      <c r="G11" s="12">
        <f t="shared" si="0"/>
        <v>123106.7</v>
      </c>
      <c r="H11" s="12">
        <f t="shared" si="0"/>
        <v>-317306</v>
      </c>
      <c r="I11" s="157"/>
      <c r="J11" s="76"/>
    </row>
    <row r="12" spans="1:10">
      <c r="A12" s="5"/>
      <c r="B12" s="5"/>
      <c r="C12" s="6" t="s">
        <v>106</v>
      </c>
      <c r="D12" s="306"/>
      <c r="E12" s="7"/>
      <c r="F12" s="12"/>
      <c r="G12" s="12"/>
      <c r="H12" s="12"/>
    </row>
    <row r="13" spans="1:10" ht="33.85">
      <c r="A13" s="8"/>
      <c r="B13" s="9"/>
      <c r="C13" s="9" t="s">
        <v>96</v>
      </c>
      <c r="D13" s="13">
        <f>SUM(E13:H13)</f>
        <v>223848.30000000005</v>
      </c>
      <c r="E13" s="13">
        <f>+E15+E24+E28+E52+E56+E60+E61+E93+E97+E105+E109+E116+E120+E124+E131+E132+E166+E190+E202+E203</f>
        <v>218341.40000000026</v>
      </c>
      <c r="F13" s="13">
        <f t="shared" ref="F13:H13" si="1">+F15+F24+F28+F52+F56+F60+F61+F93+F97+F105+F109+F116+F120+F124+F131+F132+F166+F190+F202+F203</f>
        <v>199706.19999999984</v>
      </c>
      <c r="G13" s="13">
        <f t="shared" si="1"/>
        <v>123106.7</v>
      </c>
      <c r="H13" s="13">
        <f t="shared" si="1"/>
        <v>-317306</v>
      </c>
      <c r="I13" s="158"/>
    </row>
    <row r="14" spans="1:10">
      <c r="A14" s="8"/>
      <c r="B14" s="8"/>
      <c r="C14" s="8" t="s">
        <v>107</v>
      </c>
      <c r="D14" s="10"/>
      <c r="E14" s="10"/>
      <c r="F14" s="10"/>
      <c r="G14" s="10"/>
      <c r="H14" s="10"/>
    </row>
    <row r="15" spans="1:10" ht="84.55">
      <c r="A15" s="3">
        <v>1045</v>
      </c>
      <c r="B15" s="3">
        <v>32001</v>
      </c>
      <c r="C15" s="4" t="s">
        <v>172</v>
      </c>
      <c r="D15" s="12">
        <f>+E15+F15+G15+H15</f>
        <v>35091.999999999884</v>
      </c>
      <c r="E15" s="12">
        <f>+E17+E20+E22</f>
        <v>0</v>
      </c>
      <c r="F15" s="12">
        <f t="shared" ref="F15:H15" si="2">+F17+F20+F22</f>
        <v>35091.999999999884</v>
      </c>
      <c r="G15" s="12">
        <f t="shared" si="2"/>
        <v>0</v>
      </c>
      <c r="H15" s="12">
        <f t="shared" si="2"/>
        <v>0</v>
      </c>
    </row>
    <row r="16" spans="1:10">
      <c r="A16" s="27"/>
      <c r="B16" s="27"/>
      <c r="C16" s="143" t="s">
        <v>25</v>
      </c>
      <c r="D16" s="144"/>
      <c r="E16" s="144"/>
      <c r="F16" s="144"/>
      <c r="G16" s="144"/>
      <c r="H16" s="144"/>
    </row>
    <row r="17" spans="1:9">
      <c r="A17" s="700"/>
      <c r="B17" s="700"/>
      <c r="C17" s="26" t="s">
        <v>173</v>
      </c>
      <c r="D17" s="145">
        <f>SUM(E17:H17)</f>
        <v>216075.5</v>
      </c>
      <c r="E17" s="145">
        <f>+E18+E19</f>
        <v>0</v>
      </c>
      <c r="F17" s="145">
        <f t="shared" ref="F17:H17" si="3">+F18+F19</f>
        <v>216075.5</v>
      </c>
      <c r="G17" s="145">
        <f t="shared" si="3"/>
        <v>0</v>
      </c>
      <c r="H17" s="145">
        <f t="shared" si="3"/>
        <v>0</v>
      </c>
    </row>
    <row r="18" spans="1:9" ht="36">
      <c r="A18" s="700"/>
      <c r="B18" s="700"/>
      <c r="C18" s="146" t="s">
        <v>174</v>
      </c>
      <c r="D18" s="147">
        <f t="shared" ref="D18:D19" si="4">+E18+F18+G18+H18</f>
        <v>33402.199999999997</v>
      </c>
      <c r="E18" s="147"/>
      <c r="F18" s="147">
        <f>+'Havelvats 7'!I77+'Havelvats 7'!I82+'Havelvats 7'!I86</f>
        <v>33402.199999999997</v>
      </c>
      <c r="G18" s="147"/>
      <c r="H18" s="144"/>
    </row>
    <row r="19" spans="1:9" ht="36">
      <c r="A19" s="700"/>
      <c r="B19" s="700"/>
      <c r="C19" s="325" t="s">
        <v>249</v>
      </c>
      <c r="D19" s="147">
        <f t="shared" si="4"/>
        <v>182673.30000000002</v>
      </c>
      <c r="E19" s="323"/>
      <c r="F19" s="323">
        <f>+'Havelvats 7'!I78+'Havelvats 7'!I83+'Havelvats 7'!I87</f>
        <v>182673.30000000002</v>
      </c>
      <c r="G19" s="323"/>
      <c r="H19" s="324"/>
    </row>
    <row r="20" spans="1:9">
      <c r="A20" s="700"/>
      <c r="B20" s="700"/>
      <c r="C20" s="26" t="s">
        <v>180</v>
      </c>
      <c r="D20" s="145">
        <f>SUM(E20:H20)</f>
        <v>36846.399999999907</v>
      </c>
      <c r="E20" s="149">
        <f>+E21</f>
        <v>0</v>
      </c>
      <c r="F20" s="149">
        <f t="shared" ref="F20:H20" si="5">+F21</f>
        <v>36846.399999999907</v>
      </c>
      <c r="G20" s="149">
        <f t="shared" si="5"/>
        <v>0</v>
      </c>
      <c r="H20" s="149">
        <f t="shared" si="5"/>
        <v>0</v>
      </c>
    </row>
    <row r="21" spans="1:9" ht="36">
      <c r="A21" s="700"/>
      <c r="B21" s="700"/>
      <c r="C21" s="150" t="s">
        <v>179</v>
      </c>
      <c r="D21" s="147">
        <f t="shared" ref="D21" si="6">+E21+F21+G21+H21</f>
        <v>36846.399999999907</v>
      </c>
      <c r="E21" s="148"/>
      <c r="F21" s="148">
        <f>(423196+'Havelvats 7'!I76+'Havelvats 7'!I81+'Havelvats 7'!I85)-547195.8</f>
        <v>36846.399999999907</v>
      </c>
      <c r="G21" s="148"/>
      <c r="H21" s="96"/>
    </row>
    <row r="22" spans="1:9">
      <c r="A22" s="700"/>
      <c r="B22" s="700"/>
      <c r="C22" s="26" t="s">
        <v>177</v>
      </c>
      <c r="D22" s="145">
        <f>SUM(E22:H22)</f>
        <v>-217829.90000000002</v>
      </c>
      <c r="E22" s="149">
        <f>+E23</f>
        <v>0</v>
      </c>
      <c r="F22" s="149">
        <f t="shared" ref="F22:H22" si="7">+F23</f>
        <v>-217829.90000000002</v>
      </c>
      <c r="G22" s="149">
        <f t="shared" si="7"/>
        <v>0</v>
      </c>
      <c r="H22" s="149">
        <f t="shared" si="7"/>
        <v>0</v>
      </c>
    </row>
    <row r="23" spans="1:9" ht="36">
      <c r="A23" s="700"/>
      <c r="B23" s="700"/>
      <c r="C23" s="325" t="s">
        <v>250</v>
      </c>
      <c r="D23" s="147">
        <f t="shared" ref="D23" si="8">+E23+F23+G23+H23</f>
        <v>-217829.90000000002</v>
      </c>
      <c r="E23" s="148"/>
      <c r="F23" s="148">
        <f>+('Havelvats 7'!I75+'Havelvats 7'!I80+'Havelvats 7'!I84)-601128.8</f>
        <v>-217829.90000000002</v>
      </c>
      <c r="G23" s="148"/>
      <c r="H23" s="96"/>
      <c r="I23" s="331"/>
    </row>
    <row r="24" spans="1:9" ht="84.55">
      <c r="A24" s="3">
        <v>1045</v>
      </c>
      <c r="B24" s="3">
        <v>32004</v>
      </c>
      <c r="C24" s="346" t="s">
        <v>276</v>
      </c>
      <c r="D24" s="12">
        <f>+E24+F24+G24+H24</f>
        <v>121155.5</v>
      </c>
      <c r="E24" s="12">
        <f>+E26</f>
        <v>0</v>
      </c>
      <c r="F24" s="12">
        <f t="shared" ref="F24:H24" si="9">+F26</f>
        <v>0</v>
      </c>
      <c r="G24" s="12">
        <f t="shared" si="9"/>
        <v>0</v>
      </c>
      <c r="H24" s="12">
        <f t="shared" si="9"/>
        <v>121155.5</v>
      </c>
    </row>
    <row r="25" spans="1:9">
      <c r="A25" s="27"/>
      <c r="B25" s="27"/>
      <c r="C25" s="143" t="s">
        <v>25</v>
      </c>
      <c r="D25" s="144"/>
      <c r="E25" s="144"/>
      <c r="F25" s="144"/>
      <c r="G25" s="144"/>
      <c r="H25" s="144"/>
    </row>
    <row r="26" spans="1:9">
      <c r="A26" s="696"/>
      <c r="B26" s="696"/>
      <c r="C26" s="26" t="s">
        <v>173</v>
      </c>
      <c r="D26" s="145">
        <f>SUM(E26:H26)</f>
        <v>121155.5</v>
      </c>
      <c r="E26" s="145">
        <f>+E27</f>
        <v>0</v>
      </c>
      <c r="F26" s="145">
        <f t="shared" ref="F26:H26" si="10">+F27</f>
        <v>0</v>
      </c>
      <c r="G26" s="145">
        <f t="shared" si="10"/>
        <v>0</v>
      </c>
      <c r="H26" s="145">
        <f t="shared" si="10"/>
        <v>121155.5</v>
      </c>
    </row>
    <row r="27" spans="1:9" ht="36">
      <c r="A27" s="698"/>
      <c r="B27" s="698"/>
      <c r="C27" s="325" t="s">
        <v>249</v>
      </c>
      <c r="D27" s="147">
        <f t="shared" ref="D27" si="11">+E27+F27+G27+H27</f>
        <v>121155.5</v>
      </c>
      <c r="E27" s="323"/>
      <c r="F27" s="323"/>
      <c r="G27" s="323"/>
      <c r="H27" s="347">
        <v>121155.5</v>
      </c>
    </row>
    <row r="28" spans="1:9" ht="33.85">
      <c r="A28" s="25">
        <v>1075</v>
      </c>
      <c r="B28" s="25">
        <v>21001</v>
      </c>
      <c r="C28" s="4" t="s">
        <v>260</v>
      </c>
      <c r="D28" s="12">
        <f>+E28+F28+G28+H28</f>
        <v>0</v>
      </c>
      <c r="E28" s="12">
        <f>+E30+E42</f>
        <v>0</v>
      </c>
      <c r="F28" s="12">
        <f t="shared" ref="F28:H28" si="12">+F30+F42</f>
        <v>-17264</v>
      </c>
      <c r="G28" s="12">
        <f t="shared" si="12"/>
        <v>17264</v>
      </c>
      <c r="H28" s="12">
        <f t="shared" si="12"/>
        <v>0</v>
      </c>
    </row>
    <row r="29" spans="1:9">
      <c r="A29" s="15"/>
      <c r="B29" s="15"/>
      <c r="C29" s="151" t="s">
        <v>25</v>
      </c>
      <c r="D29" s="144"/>
      <c r="E29" s="144"/>
      <c r="F29" s="144"/>
      <c r="G29" s="144"/>
      <c r="H29" s="144"/>
    </row>
    <row r="30" spans="1:9">
      <c r="A30" s="696"/>
      <c r="B30" s="696"/>
      <c r="C30" s="341" t="s">
        <v>261</v>
      </c>
      <c r="D30" s="145">
        <f>SUM(E30:H30)</f>
        <v>-17264</v>
      </c>
      <c r="E30" s="343">
        <f>+E32+E34+E37+E39</f>
        <v>0</v>
      </c>
      <c r="F30" s="343">
        <f t="shared" ref="F30:H30" si="13">+F32+F34+F37+F39</f>
        <v>-17264</v>
      </c>
      <c r="G30" s="343">
        <f t="shared" si="13"/>
        <v>0</v>
      </c>
      <c r="H30" s="343">
        <f t="shared" si="13"/>
        <v>0</v>
      </c>
    </row>
    <row r="31" spans="1:9">
      <c r="A31" s="697"/>
      <c r="B31" s="697"/>
      <c r="C31" s="340" t="s">
        <v>262</v>
      </c>
      <c r="D31" s="342"/>
      <c r="E31" s="342"/>
      <c r="F31" s="342"/>
      <c r="G31" s="342"/>
      <c r="H31" s="342"/>
    </row>
    <row r="32" spans="1:9">
      <c r="A32" s="697"/>
      <c r="B32" s="697"/>
      <c r="C32" s="26" t="s">
        <v>182</v>
      </c>
      <c r="D32" s="145">
        <f>SUM(E32:H32)</f>
        <v>-18000</v>
      </c>
      <c r="E32" s="149">
        <f>+E33</f>
        <v>0</v>
      </c>
      <c r="F32" s="149">
        <f t="shared" ref="F32" si="14">+F33</f>
        <v>-18000</v>
      </c>
      <c r="G32" s="149">
        <f t="shared" ref="G32" si="15">+G33</f>
        <v>0</v>
      </c>
      <c r="H32" s="149">
        <f t="shared" ref="H32" si="16">+H33</f>
        <v>0</v>
      </c>
    </row>
    <row r="33" spans="1:9" ht="36">
      <c r="A33" s="697"/>
      <c r="B33" s="697"/>
      <c r="C33" s="325" t="s">
        <v>263</v>
      </c>
      <c r="D33" s="147">
        <f t="shared" ref="D33" si="17">+E33+F33+G33+H33</f>
        <v>-18000</v>
      </c>
      <c r="E33" s="148"/>
      <c r="F33" s="148">
        <v>-18000</v>
      </c>
      <c r="G33" s="148">
        <v>0</v>
      </c>
      <c r="H33" s="96"/>
      <c r="I33" s="331"/>
    </row>
    <row r="34" spans="1:9">
      <c r="A34" s="697"/>
      <c r="B34" s="697"/>
      <c r="C34" s="26" t="s">
        <v>173</v>
      </c>
      <c r="D34" s="145">
        <f>SUM(E34:H34)</f>
        <v>11612.2</v>
      </c>
      <c r="E34" s="149">
        <f>+E35+E36</f>
        <v>0</v>
      </c>
      <c r="F34" s="149">
        <f t="shared" ref="F34:H34" si="18">+F35+F36</f>
        <v>11612.2</v>
      </c>
      <c r="G34" s="149">
        <f t="shared" si="18"/>
        <v>0</v>
      </c>
      <c r="H34" s="149">
        <f t="shared" si="18"/>
        <v>0</v>
      </c>
    </row>
    <row r="35" spans="1:9" ht="54">
      <c r="A35" s="697"/>
      <c r="B35" s="697"/>
      <c r="C35" s="325" t="s">
        <v>264</v>
      </c>
      <c r="D35" s="147">
        <f t="shared" ref="D35" si="19">+E35+F35+G35+H35</f>
        <v>3972.3000000000029</v>
      </c>
      <c r="E35" s="148"/>
      <c r="F35" s="148">
        <f>('Havelvats 7'!I34+'Havelvats 7'!I39+'Havelvats 7'!I43)-30128.5</f>
        <v>3972.3000000000029</v>
      </c>
      <c r="G35" s="148">
        <v>0</v>
      </c>
      <c r="H35" s="96"/>
      <c r="I35" s="331"/>
    </row>
    <row r="36" spans="1:9" ht="36">
      <c r="A36" s="697"/>
      <c r="B36" s="697"/>
      <c r="C36" s="152" t="s">
        <v>265</v>
      </c>
      <c r="D36" s="147">
        <f t="shared" ref="D36" si="20">+E36+F36+G36+H36</f>
        <v>7639.8999999999978</v>
      </c>
      <c r="E36" s="147">
        <v>0</v>
      </c>
      <c r="F36" s="147">
        <f>('Havelvats 7'!I33+'Havelvats 7'!I38+'Havelvats 7'!I42)-14000</f>
        <v>7639.8999999999978</v>
      </c>
      <c r="G36" s="147"/>
      <c r="H36" s="144"/>
    </row>
    <row r="37" spans="1:9">
      <c r="A37" s="697"/>
      <c r="B37" s="697"/>
      <c r="C37" s="26" t="s">
        <v>177</v>
      </c>
      <c r="D37" s="145">
        <f>SUM(E37:H37)</f>
        <v>-13000</v>
      </c>
      <c r="E37" s="149">
        <f>+E38</f>
        <v>0</v>
      </c>
      <c r="F37" s="149">
        <f t="shared" ref="F37" si="21">+F38</f>
        <v>-13000</v>
      </c>
      <c r="G37" s="149">
        <f t="shared" ref="G37" si="22">+G38</f>
        <v>0</v>
      </c>
      <c r="H37" s="149">
        <f t="shared" ref="H37" si="23">+H38</f>
        <v>0</v>
      </c>
    </row>
    <row r="38" spans="1:9">
      <c r="A38" s="697"/>
      <c r="B38" s="697"/>
      <c r="C38" s="325" t="s">
        <v>266</v>
      </c>
      <c r="D38" s="147">
        <f t="shared" ref="D38" si="24">+E38+F38+G38+H38</f>
        <v>-13000</v>
      </c>
      <c r="E38" s="148"/>
      <c r="F38" s="148">
        <v>-13000</v>
      </c>
      <c r="G38" s="148">
        <v>0</v>
      </c>
      <c r="H38" s="96"/>
      <c r="I38" s="331"/>
    </row>
    <row r="39" spans="1:9">
      <c r="A39" s="697"/>
      <c r="B39" s="697"/>
      <c r="C39" s="26" t="s">
        <v>175</v>
      </c>
      <c r="D39" s="145">
        <f>SUM(E39:H39)</f>
        <v>2123.7999999999993</v>
      </c>
      <c r="E39" s="149">
        <f>+E40+E41</f>
        <v>0</v>
      </c>
      <c r="F39" s="149">
        <f t="shared" ref="F39:H39" si="25">+F40+F41</f>
        <v>2123.7999999999993</v>
      </c>
      <c r="G39" s="149">
        <f t="shared" si="25"/>
        <v>0</v>
      </c>
      <c r="H39" s="149">
        <f t="shared" si="25"/>
        <v>0</v>
      </c>
    </row>
    <row r="40" spans="1:9" ht="36">
      <c r="A40" s="697"/>
      <c r="B40" s="697"/>
      <c r="C40" s="325" t="s">
        <v>267</v>
      </c>
      <c r="D40" s="147">
        <f t="shared" ref="D40:D41" si="26">+E40+F40+G40+H40</f>
        <v>-7615</v>
      </c>
      <c r="E40" s="148"/>
      <c r="F40" s="148">
        <f>('Havelvats 7'!I36+'Havelvats 7'!I41+'Havelvats 7'!I45)-15002</f>
        <v>-7615</v>
      </c>
      <c r="G40" s="148"/>
      <c r="H40" s="96"/>
      <c r="I40" s="331"/>
    </row>
    <row r="41" spans="1:9" ht="54">
      <c r="A41" s="697"/>
      <c r="B41" s="697"/>
      <c r="C41" s="325" t="s">
        <v>268</v>
      </c>
      <c r="D41" s="147">
        <f t="shared" si="26"/>
        <v>9738.7999999999993</v>
      </c>
      <c r="E41" s="323"/>
      <c r="F41" s="323">
        <f>('Havelvats 7'!I35+'Havelvats 7'!I40+'Havelvats 7'!I44)-18000</f>
        <v>9738.7999999999993</v>
      </c>
      <c r="G41" s="323"/>
      <c r="H41" s="324"/>
      <c r="I41" s="331"/>
    </row>
    <row r="42" spans="1:9" s="208" customFormat="1" ht="67.650000000000006">
      <c r="A42" s="697"/>
      <c r="B42" s="697"/>
      <c r="C42" s="344" t="s">
        <v>269</v>
      </c>
      <c r="D42" s="155">
        <f>SUM(E42:H42)</f>
        <v>17264</v>
      </c>
      <c r="E42" s="345">
        <f>+E44+E46+E48+E50</f>
        <v>0</v>
      </c>
      <c r="F42" s="345">
        <f t="shared" ref="F42:H42" si="27">+F44+F46+F48+F50</f>
        <v>0</v>
      </c>
      <c r="G42" s="345">
        <f t="shared" si="27"/>
        <v>17264</v>
      </c>
      <c r="H42" s="345">
        <f t="shared" si="27"/>
        <v>0</v>
      </c>
    </row>
    <row r="43" spans="1:9">
      <c r="A43" s="697"/>
      <c r="B43" s="697"/>
      <c r="C43" s="340" t="s">
        <v>262</v>
      </c>
      <c r="D43" s="342"/>
      <c r="E43" s="342"/>
      <c r="F43" s="342"/>
      <c r="G43" s="342"/>
      <c r="H43" s="342"/>
    </row>
    <row r="44" spans="1:9">
      <c r="A44" s="697"/>
      <c r="B44" s="697"/>
      <c r="C44" s="26" t="s">
        <v>270</v>
      </c>
      <c r="D44" s="145">
        <f>SUM(E44:H44)</f>
        <v>1225</v>
      </c>
      <c r="E44" s="149">
        <f>+E45</f>
        <v>0</v>
      </c>
      <c r="F44" s="149">
        <f t="shared" ref="F44:H44" si="28">+F45</f>
        <v>0</v>
      </c>
      <c r="G44" s="149">
        <f t="shared" si="28"/>
        <v>1225</v>
      </c>
      <c r="H44" s="149">
        <f t="shared" si="28"/>
        <v>0</v>
      </c>
    </row>
    <row r="45" spans="1:9" ht="54">
      <c r="A45" s="697"/>
      <c r="B45" s="697"/>
      <c r="C45" s="325" t="s">
        <v>271</v>
      </c>
      <c r="D45" s="147">
        <f t="shared" ref="D45" si="29">+E45+F45+G45+H45</f>
        <v>1225</v>
      </c>
      <c r="E45" s="148"/>
      <c r="F45" s="148"/>
      <c r="G45" s="148">
        <f>+'Havelvats 7'!I48</f>
        <v>1225</v>
      </c>
      <c r="H45" s="96"/>
      <c r="I45" s="331"/>
    </row>
    <row r="46" spans="1:9">
      <c r="A46" s="697"/>
      <c r="B46" s="697"/>
      <c r="C46" s="26" t="s">
        <v>173</v>
      </c>
      <c r="D46" s="145">
        <f>SUM(E46:H46)</f>
        <v>14000</v>
      </c>
      <c r="E46" s="149">
        <f>+E47</f>
        <v>0</v>
      </c>
      <c r="F46" s="149">
        <f t="shared" ref="F46:H46" si="30">+F47</f>
        <v>0</v>
      </c>
      <c r="G46" s="149">
        <f t="shared" si="30"/>
        <v>14000</v>
      </c>
      <c r="H46" s="149">
        <f t="shared" si="30"/>
        <v>0</v>
      </c>
    </row>
    <row r="47" spans="1:9" ht="72">
      <c r="A47" s="697"/>
      <c r="B47" s="697"/>
      <c r="C47" s="325" t="s">
        <v>272</v>
      </c>
      <c r="D47" s="147">
        <f t="shared" ref="D47" si="31">+E47+F47+G47+H47</f>
        <v>14000</v>
      </c>
      <c r="E47" s="148"/>
      <c r="F47" s="148"/>
      <c r="G47" s="148">
        <f>+'Havelvats 7'!I46+'Havelvats 7'!I47</f>
        <v>14000</v>
      </c>
      <c r="H47" s="96"/>
      <c r="I47" s="331"/>
    </row>
    <row r="48" spans="1:9">
      <c r="A48" s="697"/>
      <c r="B48" s="697"/>
      <c r="C48" s="26" t="s">
        <v>146</v>
      </c>
      <c r="D48" s="145">
        <f>SUM(E48:H48)</f>
        <v>765</v>
      </c>
      <c r="E48" s="149">
        <f>+E49</f>
        <v>0</v>
      </c>
      <c r="F48" s="149">
        <f t="shared" ref="F48:H48" si="32">+F49</f>
        <v>0</v>
      </c>
      <c r="G48" s="149">
        <f t="shared" si="32"/>
        <v>765</v>
      </c>
      <c r="H48" s="149">
        <f t="shared" si="32"/>
        <v>0</v>
      </c>
    </row>
    <row r="49" spans="1:9" ht="53.35" customHeight="1">
      <c r="A49" s="697"/>
      <c r="B49" s="697"/>
      <c r="C49" s="325" t="s">
        <v>273</v>
      </c>
      <c r="D49" s="147">
        <f t="shared" ref="D49" si="33">+E49+F49+G49+H49</f>
        <v>765</v>
      </c>
      <c r="E49" s="148"/>
      <c r="F49" s="148"/>
      <c r="G49" s="148">
        <f>+'Havelvats 7'!I50</f>
        <v>765</v>
      </c>
      <c r="H49" s="96"/>
      <c r="I49" s="331"/>
    </row>
    <row r="50" spans="1:9">
      <c r="A50" s="697"/>
      <c r="B50" s="697"/>
      <c r="C50" s="26" t="s">
        <v>274</v>
      </c>
      <c r="D50" s="145">
        <f>SUM(E50:H50)</f>
        <v>1274</v>
      </c>
      <c r="E50" s="149">
        <f>+E51</f>
        <v>0</v>
      </c>
      <c r="F50" s="149">
        <f t="shared" ref="F50:H50" si="34">+F51</f>
        <v>0</v>
      </c>
      <c r="G50" s="149">
        <f t="shared" si="34"/>
        <v>1274</v>
      </c>
      <c r="H50" s="149">
        <f t="shared" si="34"/>
        <v>0</v>
      </c>
    </row>
    <row r="51" spans="1:9" ht="54">
      <c r="A51" s="698"/>
      <c r="B51" s="698"/>
      <c r="C51" s="325" t="s">
        <v>275</v>
      </c>
      <c r="D51" s="147">
        <f t="shared" ref="D51" si="35">+E51+F51+G51+H51</f>
        <v>1274</v>
      </c>
      <c r="E51" s="148"/>
      <c r="F51" s="148"/>
      <c r="G51" s="148">
        <f>+'Havelvats 7'!I49</f>
        <v>1274</v>
      </c>
      <c r="H51" s="96"/>
      <c r="I51" s="331"/>
    </row>
    <row r="52" spans="1:9" ht="33.85">
      <c r="A52" s="468">
        <v>1075</v>
      </c>
      <c r="B52" s="468">
        <v>32001</v>
      </c>
      <c r="C52" s="477" t="s">
        <v>484</v>
      </c>
      <c r="D52" s="478">
        <f>+E52+F52+G52+H52</f>
        <v>80362.3</v>
      </c>
      <c r="E52" s="478">
        <f>+E54</f>
        <v>0</v>
      </c>
      <c r="F52" s="478">
        <f t="shared" ref="F52:H52" si="36">+F54</f>
        <v>80362.3</v>
      </c>
      <c r="G52" s="478">
        <f t="shared" si="36"/>
        <v>0</v>
      </c>
      <c r="H52" s="478">
        <f t="shared" si="36"/>
        <v>0</v>
      </c>
    </row>
    <row r="53" spans="1:9">
      <c r="A53" s="467"/>
      <c r="B53" s="467"/>
      <c r="C53" s="479" t="s">
        <v>25</v>
      </c>
      <c r="D53" s="413"/>
      <c r="E53" s="413"/>
      <c r="F53" s="413"/>
      <c r="G53" s="413"/>
      <c r="H53" s="413"/>
    </row>
    <row r="54" spans="1:9">
      <c r="A54" s="696"/>
      <c r="B54" s="696"/>
      <c r="C54" s="480" t="s">
        <v>178</v>
      </c>
      <c r="D54" s="481">
        <f>SUM(E54:H54)</f>
        <v>80362.3</v>
      </c>
      <c r="E54" s="481">
        <f>+E55</f>
        <v>0</v>
      </c>
      <c r="F54" s="481">
        <f t="shared" ref="F54:H54" si="37">+F55</f>
        <v>80362.3</v>
      </c>
      <c r="G54" s="481">
        <f t="shared" si="37"/>
        <v>0</v>
      </c>
      <c r="H54" s="481">
        <f t="shared" si="37"/>
        <v>0</v>
      </c>
    </row>
    <row r="55" spans="1:9">
      <c r="A55" s="698"/>
      <c r="B55" s="698"/>
      <c r="C55" s="482" t="s">
        <v>485</v>
      </c>
      <c r="D55" s="415">
        <f t="shared" ref="D55" si="38">+E55+F55+G55+H55</f>
        <v>80362.3</v>
      </c>
      <c r="E55" s="415">
        <v>0</v>
      </c>
      <c r="F55" s="527">
        <f>+'Havelvats 7'!I14+'Havelvats 7'!I16+'Havelvats 7'!I17</f>
        <v>80362.3</v>
      </c>
      <c r="G55" s="415"/>
      <c r="H55" s="413"/>
    </row>
    <row r="56" spans="1:9" ht="67.650000000000006">
      <c r="A56" s="25">
        <v>1111</v>
      </c>
      <c r="B56" s="25">
        <v>32001</v>
      </c>
      <c r="C56" s="4" t="s">
        <v>277</v>
      </c>
      <c r="D56" s="13">
        <f>+E56+F56+G56+H56</f>
        <v>-126342.90000000001</v>
      </c>
      <c r="E56" s="12">
        <f>+E58</f>
        <v>0</v>
      </c>
      <c r="F56" s="12">
        <f t="shared" ref="F56:H56" si="39">+F58</f>
        <v>-126342.90000000001</v>
      </c>
      <c r="G56" s="12">
        <f t="shared" si="39"/>
        <v>0</v>
      </c>
      <c r="H56" s="12">
        <f t="shared" si="39"/>
        <v>0</v>
      </c>
    </row>
    <row r="57" spans="1:9">
      <c r="A57" s="15"/>
      <c r="B57" s="15"/>
      <c r="C57" s="151" t="s">
        <v>25</v>
      </c>
      <c r="D57" s="144"/>
      <c r="E57" s="144"/>
      <c r="F57" s="144"/>
      <c r="G57" s="144"/>
      <c r="H57" s="144"/>
    </row>
    <row r="58" spans="1:9">
      <c r="A58" s="696"/>
      <c r="B58" s="696"/>
      <c r="C58" s="14" t="s">
        <v>178</v>
      </c>
      <c r="D58" s="145">
        <f>SUM(E58:H58)</f>
        <v>-126342.90000000001</v>
      </c>
      <c r="E58" s="145">
        <f>+E59</f>
        <v>0</v>
      </c>
      <c r="F58" s="145">
        <f t="shared" ref="F58:H58" si="40">+F59</f>
        <v>-126342.90000000001</v>
      </c>
      <c r="G58" s="145">
        <f t="shared" si="40"/>
        <v>0</v>
      </c>
      <c r="H58" s="145">
        <f t="shared" si="40"/>
        <v>0</v>
      </c>
    </row>
    <row r="59" spans="1:9" ht="36">
      <c r="A59" s="698"/>
      <c r="B59" s="698"/>
      <c r="C59" s="153" t="s">
        <v>278</v>
      </c>
      <c r="D59" s="147">
        <f t="shared" ref="D59" si="41">+E59+F59+G59+H59</f>
        <v>-126342.90000000001</v>
      </c>
      <c r="E59" s="147">
        <v>0</v>
      </c>
      <c r="F59" s="147">
        <f>+'Havelvats 7'!I90+'Havelvats 7'!I92+'Havelvats 7'!I93</f>
        <v>-126342.90000000001</v>
      </c>
      <c r="G59" s="147"/>
      <c r="H59" s="144"/>
    </row>
    <row r="60" spans="1:9" ht="33.85">
      <c r="A60" s="25">
        <v>1146</v>
      </c>
      <c r="B60" s="25">
        <v>12010</v>
      </c>
      <c r="C60" s="4" t="s">
        <v>281</v>
      </c>
      <c r="D60" s="13">
        <f>+E60+F60+G60+H60</f>
        <v>-3275966</v>
      </c>
      <c r="E60" s="12">
        <v>-3275966</v>
      </c>
      <c r="F60" s="12">
        <v>0</v>
      </c>
      <c r="G60" s="12">
        <v>0</v>
      </c>
      <c r="H60" s="12">
        <v>0</v>
      </c>
      <c r="I60" s="545"/>
    </row>
    <row r="61" spans="1:9" ht="33.85">
      <c r="A61" s="25">
        <v>1146</v>
      </c>
      <c r="B61" s="25">
        <v>12010</v>
      </c>
      <c r="C61" s="4" t="s">
        <v>281</v>
      </c>
      <c r="D61" s="13">
        <f>+E61+F61+G61+H61</f>
        <v>3236516.5999999992</v>
      </c>
      <c r="E61" s="12">
        <f>+E63+E65+E67+E74+E76+E81+E84+E87+E89+E91</f>
        <v>3177236.5999999992</v>
      </c>
      <c r="F61" s="12">
        <f t="shared" ref="F61:H61" si="42">+F63+F65+F67+F74+F76+F81+F84+F87+F89+F91</f>
        <v>0</v>
      </c>
      <c r="G61" s="12">
        <f t="shared" si="42"/>
        <v>59280</v>
      </c>
      <c r="H61" s="12">
        <f t="shared" si="42"/>
        <v>0</v>
      </c>
      <c r="I61" s="158"/>
    </row>
    <row r="62" spans="1:9" s="159" customFormat="1">
      <c r="A62" s="354"/>
      <c r="B62" s="354"/>
      <c r="C62" s="316" t="s">
        <v>25</v>
      </c>
      <c r="D62" s="355"/>
      <c r="E62" s="356"/>
      <c r="F62" s="356"/>
      <c r="G62" s="356"/>
      <c r="H62" s="355"/>
      <c r="I62" s="357"/>
    </row>
    <row r="63" spans="1:9">
      <c r="A63" s="714"/>
      <c r="B63" s="714"/>
      <c r="C63" s="14" t="s">
        <v>282</v>
      </c>
      <c r="D63" s="145">
        <f>SUM(E63:H63)</f>
        <v>320092.30000000005</v>
      </c>
      <c r="E63" s="145">
        <f>+E64</f>
        <v>320092.30000000005</v>
      </c>
      <c r="F63" s="145">
        <f t="shared" ref="F63:H63" si="43">+F64</f>
        <v>0</v>
      </c>
      <c r="G63" s="145">
        <f t="shared" si="43"/>
        <v>0</v>
      </c>
      <c r="H63" s="145">
        <f t="shared" si="43"/>
        <v>0</v>
      </c>
    </row>
    <row r="64" spans="1:9" ht="54">
      <c r="A64" s="714"/>
      <c r="B64" s="714"/>
      <c r="C64" s="153" t="s">
        <v>283</v>
      </c>
      <c r="D64" s="147">
        <f t="shared" ref="D64" si="44">+E64+F64+G64+H64</f>
        <v>320092.30000000005</v>
      </c>
      <c r="E64" s="147">
        <f>2995053.5+'Havelvats 7'!I96+'Havelvats 7'!I108+'Havelvats 7'!I118</f>
        <v>320092.30000000005</v>
      </c>
      <c r="F64" s="147"/>
      <c r="G64" s="147"/>
      <c r="H64" s="144"/>
    </row>
    <row r="65" spans="1:8">
      <c r="A65" s="714"/>
      <c r="B65" s="714"/>
      <c r="C65" s="14" t="s">
        <v>176</v>
      </c>
      <c r="D65" s="145">
        <f>SUM(E65:H65)</f>
        <v>320092.29999999993</v>
      </c>
      <c r="E65" s="145">
        <f>+E66</f>
        <v>320092.29999999993</v>
      </c>
      <c r="F65" s="145">
        <f t="shared" ref="F65:H65" si="45">+F66</f>
        <v>0</v>
      </c>
      <c r="G65" s="145">
        <f t="shared" si="45"/>
        <v>0</v>
      </c>
      <c r="H65" s="145">
        <f t="shared" si="45"/>
        <v>0</v>
      </c>
    </row>
    <row r="66" spans="1:8" ht="54">
      <c r="A66" s="714"/>
      <c r="B66" s="714"/>
      <c r="C66" s="153" t="s">
        <v>284</v>
      </c>
      <c r="D66" s="147">
        <f t="shared" ref="D66" si="46">+E66+F66+G66+H66</f>
        <v>320092.29999999993</v>
      </c>
      <c r="E66" s="147">
        <f>+'Havelvats 7'!I98+'Havelvats 7'!I109+'Havelvats 7'!I119</f>
        <v>320092.29999999993</v>
      </c>
      <c r="F66" s="147"/>
      <c r="G66" s="147"/>
      <c r="H66" s="144"/>
    </row>
    <row r="67" spans="1:8">
      <c r="A67" s="714"/>
      <c r="B67" s="714"/>
      <c r="C67" s="14" t="s">
        <v>182</v>
      </c>
      <c r="D67" s="145">
        <f>SUM(E67:H67)</f>
        <v>674307.1</v>
      </c>
      <c r="E67" s="145">
        <f>SUM(E68:E73)</f>
        <v>654547.1</v>
      </c>
      <c r="F67" s="145">
        <f t="shared" ref="F67:H67" si="47">SUM(F68:F73)</f>
        <v>0</v>
      </c>
      <c r="G67" s="145">
        <f t="shared" si="47"/>
        <v>19760</v>
      </c>
      <c r="H67" s="145">
        <f t="shared" si="47"/>
        <v>0</v>
      </c>
    </row>
    <row r="68" spans="1:8" ht="54">
      <c r="A68" s="714"/>
      <c r="B68" s="714"/>
      <c r="C68" s="153" t="s">
        <v>285</v>
      </c>
      <c r="D68" s="147">
        <f t="shared" ref="D68:D69" si="48">+E68+F68+G68+H68</f>
        <v>334454.80000000005</v>
      </c>
      <c r="E68" s="147">
        <f>280912.5+'Havelvats 7'!I97+'Havelvats 7'!I107+'Havelvats 7'!I117</f>
        <v>334454.80000000005</v>
      </c>
      <c r="F68" s="147"/>
      <c r="G68" s="147"/>
      <c r="H68" s="144"/>
    </row>
    <row r="69" spans="1:8" ht="54">
      <c r="A69" s="714"/>
      <c r="B69" s="714"/>
      <c r="C69" s="153" t="s">
        <v>286</v>
      </c>
      <c r="D69" s="147">
        <f t="shared" si="48"/>
        <v>320092.29999999993</v>
      </c>
      <c r="E69" s="147">
        <f>+'Havelvats 7'!I99+'Havelvats 7'!I110+'Havelvats 7'!I120</f>
        <v>320092.29999999993</v>
      </c>
      <c r="F69" s="147"/>
      <c r="G69" s="147"/>
      <c r="H69" s="144"/>
    </row>
    <row r="70" spans="1:8" ht="54">
      <c r="A70" s="715"/>
      <c r="B70" s="715"/>
      <c r="C70" s="153" t="s">
        <v>467</v>
      </c>
      <c r="D70" s="147">
        <f t="shared" ref="D70" si="49">+E70+F70+G70+H70</f>
        <v>4940</v>
      </c>
      <c r="E70" s="147"/>
      <c r="F70" s="147"/>
      <c r="G70" s="147">
        <f>+'Havelvats 7'!I127+'Havelvats 7'!I139</f>
        <v>4940</v>
      </c>
      <c r="H70" s="144"/>
    </row>
    <row r="71" spans="1:8" ht="54">
      <c r="A71" s="715"/>
      <c r="B71" s="715"/>
      <c r="C71" s="153" t="s">
        <v>468</v>
      </c>
      <c r="D71" s="147">
        <f t="shared" ref="D71" si="50">+E71+F71+G71+H71</f>
        <v>4940</v>
      </c>
      <c r="E71" s="147"/>
      <c r="F71" s="147"/>
      <c r="G71" s="147">
        <f>+'Havelvats 7'!I128+'Havelvats 7'!I140</f>
        <v>4940</v>
      </c>
      <c r="H71" s="144"/>
    </row>
    <row r="72" spans="1:8" ht="54">
      <c r="A72" s="715"/>
      <c r="B72" s="715"/>
      <c r="C72" s="153" t="s">
        <v>469</v>
      </c>
      <c r="D72" s="147">
        <f t="shared" ref="D72" si="51">+E72+F72+G72+H72</f>
        <v>4940</v>
      </c>
      <c r="E72" s="147"/>
      <c r="F72" s="147"/>
      <c r="G72" s="147">
        <f>+'Havelvats 7'!I129+'Havelvats 7'!I141</f>
        <v>4940</v>
      </c>
      <c r="H72" s="144"/>
    </row>
    <row r="73" spans="1:8" ht="54">
      <c r="A73" s="715"/>
      <c r="B73" s="715"/>
      <c r="C73" s="153" t="s">
        <v>470</v>
      </c>
      <c r="D73" s="147">
        <f t="shared" ref="D73" si="52">+E73+F73+G73+H73</f>
        <v>4940</v>
      </c>
      <c r="E73" s="147"/>
      <c r="F73" s="147"/>
      <c r="G73" s="147">
        <f>+'Havelvats 7'!I130+'Havelvats 7'!I142</f>
        <v>4940</v>
      </c>
      <c r="H73" s="144"/>
    </row>
    <row r="74" spans="1:8">
      <c r="A74" s="714"/>
      <c r="B74" s="714"/>
      <c r="C74" s="14" t="s">
        <v>184</v>
      </c>
      <c r="D74" s="145">
        <f>SUM(E74:H74)</f>
        <v>320092.29999999993</v>
      </c>
      <c r="E74" s="145">
        <f>+E75</f>
        <v>320092.29999999993</v>
      </c>
      <c r="F74" s="145">
        <f t="shared" ref="F74:H74" si="53">+F75</f>
        <v>0</v>
      </c>
      <c r="G74" s="145">
        <f t="shared" si="53"/>
        <v>0</v>
      </c>
      <c r="H74" s="145">
        <f t="shared" si="53"/>
        <v>0</v>
      </c>
    </row>
    <row r="75" spans="1:8" ht="54">
      <c r="A75" s="714"/>
      <c r="B75" s="714"/>
      <c r="C75" s="153" t="s">
        <v>287</v>
      </c>
      <c r="D75" s="147">
        <f t="shared" ref="D75:D92" si="54">+E75+F75+G75+H75</f>
        <v>320092.29999999993</v>
      </c>
      <c r="E75" s="147">
        <f>+'Havelvats 7'!I100+'Havelvats 7'!I111+'Havelvats 7'!I121</f>
        <v>320092.29999999993</v>
      </c>
      <c r="F75" s="147"/>
      <c r="G75" s="147"/>
      <c r="H75" s="144"/>
    </row>
    <row r="76" spans="1:8">
      <c r="A76" s="714"/>
      <c r="B76" s="714"/>
      <c r="C76" s="14" t="s">
        <v>173</v>
      </c>
      <c r="D76" s="145">
        <f>SUM(E76:H76)</f>
        <v>650064.59999999986</v>
      </c>
      <c r="E76" s="145">
        <f>SUM(E77:E80)</f>
        <v>640184.59999999986</v>
      </c>
      <c r="F76" s="145">
        <f t="shared" ref="F76:H76" si="55">SUM(F77:F80)</f>
        <v>0</v>
      </c>
      <c r="G76" s="145">
        <f t="shared" si="55"/>
        <v>9880</v>
      </c>
      <c r="H76" s="145">
        <f t="shared" si="55"/>
        <v>0</v>
      </c>
    </row>
    <row r="77" spans="1:8" ht="54">
      <c r="A77" s="714"/>
      <c r="B77" s="714"/>
      <c r="C77" s="153" t="s">
        <v>288</v>
      </c>
      <c r="D77" s="147">
        <f t="shared" si="54"/>
        <v>320092.29999999993</v>
      </c>
      <c r="E77" s="147">
        <f>+'Havelvats 7'!I101+'Havelvats 7'!I112+'Havelvats 7'!I122</f>
        <v>320092.29999999993</v>
      </c>
      <c r="F77" s="147"/>
      <c r="G77" s="147"/>
      <c r="H77" s="144"/>
    </row>
    <row r="78" spans="1:8" ht="54">
      <c r="A78" s="714"/>
      <c r="B78" s="714"/>
      <c r="C78" s="153" t="s">
        <v>289</v>
      </c>
      <c r="D78" s="147">
        <f t="shared" si="54"/>
        <v>320092.29999999993</v>
      </c>
      <c r="E78" s="147">
        <f>+'Havelvats 7'!I102+'Havelvats 7'!I113+'Havelvats 7'!I123</f>
        <v>320092.29999999993</v>
      </c>
      <c r="F78" s="147"/>
      <c r="G78" s="147"/>
      <c r="H78" s="144"/>
    </row>
    <row r="79" spans="1:8" ht="54">
      <c r="A79" s="715"/>
      <c r="B79" s="715"/>
      <c r="C79" s="153" t="s">
        <v>471</v>
      </c>
      <c r="D79" s="147">
        <f t="shared" si="54"/>
        <v>4940</v>
      </c>
      <c r="E79" s="147"/>
      <c r="F79" s="147"/>
      <c r="G79" s="147">
        <f>+'Havelvats 7'!I131+'Havelvats 7'!I143</f>
        <v>4940</v>
      </c>
      <c r="H79" s="144"/>
    </row>
    <row r="80" spans="1:8" ht="54">
      <c r="A80" s="715"/>
      <c r="B80" s="715"/>
      <c r="C80" s="153" t="s">
        <v>472</v>
      </c>
      <c r="D80" s="147">
        <f t="shared" si="54"/>
        <v>4940</v>
      </c>
      <c r="E80" s="147"/>
      <c r="F80" s="147"/>
      <c r="G80" s="147">
        <f>+'Havelvats 7'!I132+'Havelvats 7'!I144</f>
        <v>4940</v>
      </c>
      <c r="H80" s="144"/>
    </row>
    <row r="81" spans="1:8">
      <c r="A81" s="714"/>
      <c r="B81" s="714"/>
      <c r="C81" s="14" t="s">
        <v>180</v>
      </c>
      <c r="D81" s="145">
        <f>SUM(E81:H81)</f>
        <v>325032.29999999993</v>
      </c>
      <c r="E81" s="145">
        <f>SUM(E82:E83)</f>
        <v>320092.29999999993</v>
      </c>
      <c r="F81" s="145">
        <f t="shared" ref="F81:H81" si="56">SUM(F82:F83)</f>
        <v>0</v>
      </c>
      <c r="G81" s="145">
        <f t="shared" si="56"/>
        <v>4940</v>
      </c>
      <c r="H81" s="145">
        <f t="shared" si="56"/>
        <v>0</v>
      </c>
    </row>
    <row r="82" spans="1:8" ht="54">
      <c r="A82" s="714"/>
      <c r="B82" s="714"/>
      <c r="C82" s="153" t="s">
        <v>290</v>
      </c>
      <c r="D82" s="147">
        <f t="shared" si="54"/>
        <v>320092.29999999993</v>
      </c>
      <c r="E82" s="147">
        <f>+'Havelvats 7'!I103+'Havelvats 7'!I114+'Havelvats 7'!I124</f>
        <v>320092.29999999993</v>
      </c>
      <c r="F82" s="147"/>
      <c r="G82" s="147"/>
      <c r="H82" s="144"/>
    </row>
    <row r="83" spans="1:8" ht="54">
      <c r="A83" s="715"/>
      <c r="B83" s="715"/>
      <c r="C83" s="153" t="s">
        <v>473</v>
      </c>
      <c r="D83" s="147">
        <f t="shared" ref="D83" si="57">+E83+F83+G83+H83</f>
        <v>4940</v>
      </c>
      <c r="E83" s="147"/>
      <c r="F83" s="147"/>
      <c r="G83" s="147">
        <f>+'Havelvats 7'!I133+'Havelvats 7'!I145</f>
        <v>4940</v>
      </c>
      <c r="H83" s="144"/>
    </row>
    <row r="84" spans="1:8">
      <c r="A84" s="715"/>
      <c r="B84" s="715"/>
      <c r="C84" s="14" t="s">
        <v>146</v>
      </c>
      <c r="D84" s="145">
        <f>SUM(E84:H84)</f>
        <v>9880</v>
      </c>
      <c r="E84" s="145">
        <f>SUM(E85:E86)</f>
        <v>0</v>
      </c>
      <c r="F84" s="145">
        <f t="shared" ref="F84" si="58">SUM(F85:F86)</f>
        <v>0</v>
      </c>
      <c r="G84" s="145">
        <f t="shared" ref="G84" si="59">SUM(G85:G86)</f>
        <v>9880</v>
      </c>
      <c r="H84" s="145">
        <f t="shared" ref="H84" si="60">SUM(H85:H86)</f>
        <v>0</v>
      </c>
    </row>
    <row r="85" spans="1:8" ht="54">
      <c r="A85" s="715"/>
      <c r="B85" s="715"/>
      <c r="C85" s="153" t="s">
        <v>474</v>
      </c>
      <c r="D85" s="147">
        <f t="shared" ref="D85:D86" si="61">+E85+F85+G85+H85</f>
        <v>4940</v>
      </c>
      <c r="E85" s="147"/>
      <c r="F85" s="147"/>
      <c r="G85" s="147">
        <f>+'Havelvats 7'!I134+'Havelvats 7'!I146</f>
        <v>4940</v>
      </c>
      <c r="H85" s="144"/>
    </row>
    <row r="86" spans="1:8" ht="54">
      <c r="A86" s="715"/>
      <c r="B86" s="715"/>
      <c r="C86" s="153" t="s">
        <v>475</v>
      </c>
      <c r="D86" s="147">
        <f t="shared" si="61"/>
        <v>4940</v>
      </c>
      <c r="E86" s="147"/>
      <c r="F86" s="147"/>
      <c r="G86" s="147">
        <f>+'Havelvats 7'!I135+'Havelvats 7'!I147</f>
        <v>4940</v>
      </c>
      <c r="H86" s="144"/>
    </row>
    <row r="87" spans="1:8">
      <c r="A87" s="714"/>
      <c r="B87" s="714"/>
      <c r="C87" s="14" t="s">
        <v>177</v>
      </c>
      <c r="D87" s="145">
        <f>SUM(E87:H87)</f>
        <v>306007.90000000002</v>
      </c>
      <c r="E87" s="145">
        <f>+E88</f>
        <v>301067.90000000002</v>
      </c>
      <c r="F87" s="145">
        <f t="shared" ref="F87:H87" si="62">+F88</f>
        <v>0</v>
      </c>
      <c r="G87" s="145">
        <f t="shared" si="62"/>
        <v>4940</v>
      </c>
      <c r="H87" s="145">
        <f t="shared" si="62"/>
        <v>0</v>
      </c>
    </row>
    <row r="88" spans="1:8" ht="54">
      <c r="A88" s="714"/>
      <c r="B88" s="714"/>
      <c r="C88" s="153" t="s">
        <v>291</v>
      </c>
      <c r="D88" s="147">
        <f>+E88+F88+G88+H88</f>
        <v>306007.90000000002</v>
      </c>
      <c r="E88" s="147">
        <f>+'Havelvats 7'!I104+'Havelvats 7'!I115+'Havelvats 7'!I125</f>
        <v>301067.90000000002</v>
      </c>
      <c r="F88" s="147"/>
      <c r="G88" s="147">
        <f>+'Havelvats 7'!I136+'Havelvats 7'!I148</f>
        <v>4940</v>
      </c>
      <c r="H88" s="144"/>
    </row>
    <row r="89" spans="1:8">
      <c r="A89" s="715"/>
      <c r="B89" s="715"/>
      <c r="C89" s="14" t="s">
        <v>274</v>
      </c>
      <c r="D89" s="145">
        <f>SUM(E89:H89)</f>
        <v>4940</v>
      </c>
      <c r="E89" s="145">
        <f>+E90</f>
        <v>0</v>
      </c>
      <c r="F89" s="145">
        <f t="shared" ref="F89:H89" si="63">+F90</f>
        <v>0</v>
      </c>
      <c r="G89" s="145">
        <f t="shared" si="63"/>
        <v>4940</v>
      </c>
      <c r="H89" s="145">
        <f t="shared" si="63"/>
        <v>0</v>
      </c>
    </row>
    <row r="90" spans="1:8" ht="54">
      <c r="A90" s="715"/>
      <c r="B90" s="715"/>
      <c r="C90" s="153" t="s">
        <v>476</v>
      </c>
      <c r="D90" s="147">
        <f t="shared" ref="D90" si="64">+E90+F90+G90+H90</f>
        <v>4940</v>
      </c>
      <c r="E90" s="147"/>
      <c r="F90" s="147"/>
      <c r="G90" s="147">
        <f>+'Havelvats 7'!I137+'Havelvats 7'!I149</f>
        <v>4940</v>
      </c>
      <c r="H90" s="144"/>
    </row>
    <row r="91" spans="1:8">
      <c r="A91" s="714"/>
      <c r="B91" s="714"/>
      <c r="C91" s="14" t="s">
        <v>175</v>
      </c>
      <c r="D91" s="145">
        <f>SUM(E91:H91)</f>
        <v>306007.8</v>
      </c>
      <c r="E91" s="145">
        <f>+E92</f>
        <v>301067.8</v>
      </c>
      <c r="F91" s="145">
        <f t="shared" ref="F91:H91" si="65">+F92</f>
        <v>0</v>
      </c>
      <c r="G91" s="145">
        <f t="shared" si="65"/>
        <v>4940</v>
      </c>
      <c r="H91" s="145">
        <f t="shared" si="65"/>
        <v>0</v>
      </c>
    </row>
    <row r="92" spans="1:8" ht="54">
      <c r="A92" s="714"/>
      <c r="B92" s="714"/>
      <c r="C92" s="153" t="s">
        <v>292</v>
      </c>
      <c r="D92" s="147">
        <f t="shared" si="54"/>
        <v>306007.8</v>
      </c>
      <c r="E92" s="147">
        <f>+'Havelvats 7'!I105+'Havelvats 7'!I116+'Havelvats 7'!I126</f>
        <v>301067.8</v>
      </c>
      <c r="F92" s="147"/>
      <c r="G92" s="147">
        <f>+'Havelvats 7'!I138+'Havelvats 7'!I150</f>
        <v>4940</v>
      </c>
      <c r="H92" s="144"/>
    </row>
    <row r="93" spans="1:8" ht="50.75">
      <c r="A93" s="25">
        <v>1163</v>
      </c>
      <c r="B93" s="25">
        <v>12001</v>
      </c>
      <c r="C93" s="4" t="s">
        <v>93</v>
      </c>
      <c r="D93" s="13">
        <f>+E93+F93+G93+H93</f>
        <v>-43857.100000000006</v>
      </c>
      <c r="E93" s="12">
        <f>+E95</f>
        <v>-43857.100000000006</v>
      </c>
      <c r="F93" s="12">
        <f t="shared" ref="F93:H93" si="66">+F95</f>
        <v>0</v>
      </c>
      <c r="G93" s="12">
        <f t="shared" si="66"/>
        <v>0</v>
      </c>
      <c r="H93" s="12">
        <f t="shared" si="66"/>
        <v>0</v>
      </c>
    </row>
    <row r="94" spans="1:8">
      <c r="A94" s="15"/>
      <c r="B94" s="15"/>
      <c r="C94" s="151" t="s">
        <v>25</v>
      </c>
      <c r="D94" s="144"/>
      <c r="E94" s="144"/>
      <c r="F94" s="144"/>
      <c r="G94" s="144"/>
      <c r="H94" s="144"/>
    </row>
    <row r="95" spans="1:8">
      <c r="A95" s="696"/>
      <c r="B95" s="696"/>
      <c r="C95" s="14" t="s">
        <v>146</v>
      </c>
      <c r="D95" s="145">
        <f>SUM(E95:H95)</f>
        <v>-43857.100000000006</v>
      </c>
      <c r="E95" s="145">
        <f>+E96</f>
        <v>-43857.100000000006</v>
      </c>
      <c r="F95" s="145">
        <f t="shared" ref="F95:H95" si="67">+F96</f>
        <v>0</v>
      </c>
      <c r="G95" s="145">
        <f t="shared" si="67"/>
        <v>0</v>
      </c>
      <c r="H95" s="145">
        <f t="shared" si="67"/>
        <v>0</v>
      </c>
    </row>
    <row r="96" spans="1:8" ht="54">
      <c r="A96" s="698"/>
      <c r="B96" s="698"/>
      <c r="C96" s="153" t="s">
        <v>147</v>
      </c>
      <c r="D96" s="147">
        <f t="shared" ref="D96" si="68">+E96+F96+G96+H96</f>
        <v>-43857.100000000006</v>
      </c>
      <c r="E96" s="147">
        <f>+'Havelvats 7'!I153+'Havelvats 7'!I155+'Havelvats 7'!I156</f>
        <v>-43857.100000000006</v>
      </c>
      <c r="F96" s="147"/>
      <c r="G96" s="147"/>
      <c r="H96" s="144"/>
    </row>
    <row r="97" spans="1:9">
      <c r="A97" s="15">
        <v>1163</v>
      </c>
      <c r="B97" s="15">
        <v>32001</v>
      </c>
      <c r="C97" s="4" t="s">
        <v>109</v>
      </c>
      <c r="D97" s="13">
        <f>+E97+F97+G97+H97</f>
        <v>-800609.5</v>
      </c>
      <c r="E97" s="12">
        <f>+E99+E103</f>
        <v>-800609.5</v>
      </c>
      <c r="F97" s="12">
        <f t="shared" ref="F97:H97" si="69">+F99+F103</f>
        <v>0</v>
      </c>
      <c r="G97" s="12">
        <f t="shared" si="69"/>
        <v>0</v>
      </c>
      <c r="H97" s="12">
        <f t="shared" si="69"/>
        <v>0</v>
      </c>
    </row>
    <row r="98" spans="1:9">
      <c r="A98" s="27"/>
      <c r="B98" s="27"/>
      <c r="C98" s="143" t="s">
        <v>25</v>
      </c>
      <c r="D98" s="144"/>
      <c r="E98" s="144"/>
      <c r="F98" s="144"/>
      <c r="G98" s="144"/>
      <c r="H98" s="144"/>
    </row>
    <row r="99" spans="1:9">
      <c r="A99" s="696"/>
      <c r="B99" s="696"/>
      <c r="C99" s="26" t="s">
        <v>178</v>
      </c>
      <c r="D99" s="145">
        <f>SUM(E99:H99)</f>
        <v>-682597.7</v>
      </c>
      <c r="E99" s="145">
        <f>+E100+E101+E102</f>
        <v>-682597.7</v>
      </c>
      <c r="F99" s="145">
        <f t="shared" ref="F99:H99" si="70">+F100+F101+F102</f>
        <v>0</v>
      </c>
      <c r="G99" s="145">
        <f t="shared" si="70"/>
        <v>0</v>
      </c>
      <c r="H99" s="145">
        <f t="shared" si="70"/>
        <v>0</v>
      </c>
    </row>
    <row r="100" spans="1:9" ht="36">
      <c r="A100" s="697"/>
      <c r="B100" s="697"/>
      <c r="C100" s="391" t="s">
        <v>296</v>
      </c>
      <c r="D100" s="147">
        <f t="shared" ref="D100:D104" si="71">+E100+F100+G100+H100</f>
        <v>-561274.19999999995</v>
      </c>
      <c r="E100" s="147">
        <v>-561274.19999999995</v>
      </c>
      <c r="F100" s="147"/>
      <c r="G100" s="147"/>
      <c r="H100" s="144"/>
    </row>
    <row r="101" spans="1:9" ht="72">
      <c r="A101" s="697"/>
      <c r="B101" s="697"/>
      <c r="C101" s="391" t="s">
        <v>364</v>
      </c>
      <c r="D101" s="147">
        <f t="shared" si="71"/>
        <v>386634.4</v>
      </c>
      <c r="E101" s="147">
        <f>+'Havelvats 7'!I159+'Havelvats 7'!I162+'Havelvats 7'!I164</f>
        <v>386634.4</v>
      </c>
      <c r="F101" s="147"/>
      <c r="G101" s="147"/>
      <c r="H101" s="144"/>
    </row>
    <row r="102" spans="1:9" s="40" customFormat="1" ht="36">
      <c r="A102" s="697"/>
      <c r="B102" s="697"/>
      <c r="C102" s="391" t="s">
        <v>365</v>
      </c>
      <c r="D102" s="492">
        <f t="shared" si="71"/>
        <v>-507957.9</v>
      </c>
      <c r="E102" s="493">
        <v>-507957.9</v>
      </c>
      <c r="F102" s="493"/>
      <c r="G102" s="493"/>
      <c r="H102" s="494"/>
    </row>
    <row r="103" spans="1:9">
      <c r="A103" s="697"/>
      <c r="B103" s="697"/>
      <c r="C103" s="26" t="s">
        <v>182</v>
      </c>
      <c r="D103" s="145">
        <f>SUM(E103:H103)</f>
        <v>-118011.79999999999</v>
      </c>
      <c r="E103" s="145">
        <f>+E104</f>
        <v>-118011.79999999999</v>
      </c>
      <c r="F103" s="145">
        <f t="shared" ref="F103:H103" si="72">+F104</f>
        <v>0</v>
      </c>
      <c r="G103" s="145">
        <f t="shared" si="72"/>
        <v>0</v>
      </c>
      <c r="H103" s="145">
        <f t="shared" si="72"/>
        <v>0</v>
      </c>
    </row>
    <row r="104" spans="1:9" ht="54">
      <c r="A104" s="698"/>
      <c r="B104" s="698"/>
      <c r="C104" s="154" t="s">
        <v>297</v>
      </c>
      <c r="D104" s="147">
        <f t="shared" si="71"/>
        <v>-118011.79999999999</v>
      </c>
      <c r="E104" s="147">
        <f>+(1073634.2+'Havelvats 7'!I160+'Havelvats 7'!I163+'Havelvats 7'!I165)-512360</f>
        <v>-118011.79999999999</v>
      </c>
      <c r="F104" s="147"/>
      <c r="G104" s="147"/>
      <c r="H104" s="144"/>
      <c r="I104" s="331"/>
    </row>
    <row r="105" spans="1:9">
      <c r="A105" s="561">
        <v>1163</v>
      </c>
      <c r="B105" s="561">
        <v>32002</v>
      </c>
      <c r="C105" s="4" t="s">
        <v>403</v>
      </c>
      <c r="D105" s="13">
        <f>+E105+F105+G105+H105</f>
        <v>507957.9</v>
      </c>
      <c r="E105" s="12">
        <f>+E107</f>
        <v>0</v>
      </c>
      <c r="F105" s="12">
        <f t="shared" ref="F105:H105" si="73">+F107</f>
        <v>507957.9</v>
      </c>
      <c r="G105" s="12">
        <f t="shared" si="73"/>
        <v>0</v>
      </c>
      <c r="H105" s="12">
        <f t="shared" si="73"/>
        <v>0</v>
      </c>
    </row>
    <row r="106" spans="1:9">
      <c r="A106" s="560"/>
      <c r="B106" s="560"/>
      <c r="C106" s="143" t="s">
        <v>25</v>
      </c>
      <c r="D106" s="144"/>
      <c r="E106" s="144"/>
      <c r="F106" s="144"/>
      <c r="G106" s="144"/>
      <c r="H106" s="144"/>
    </row>
    <row r="107" spans="1:9">
      <c r="A107" s="695"/>
      <c r="B107" s="695"/>
      <c r="C107" s="26" t="s">
        <v>178</v>
      </c>
      <c r="D107" s="145">
        <f>SUM(E107:H107)</f>
        <v>507957.9</v>
      </c>
      <c r="E107" s="145">
        <f>+E108</f>
        <v>0</v>
      </c>
      <c r="F107" s="145">
        <f t="shared" ref="F107:H107" si="74">+F108</f>
        <v>507957.9</v>
      </c>
      <c r="G107" s="145">
        <f t="shared" si="74"/>
        <v>0</v>
      </c>
      <c r="H107" s="145">
        <f t="shared" si="74"/>
        <v>0</v>
      </c>
    </row>
    <row r="108" spans="1:9" ht="36">
      <c r="A108" s="695"/>
      <c r="B108" s="695"/>
      <c r="C108" s="391" t="s">
        <v>365</v>
      </c>
      <c r="D108" s="147">
        <f t="shared" ref="D108" si="75">+E108+F108+G108+H108</f>
        <v>507957.9</v>
      </c>
      <c r="E108" s="147"/>
      <c r="F108" s="147">
        <f>+'Havelvats 7'!I168+'Havelvats 7'!I170+'Havelvats 7'!I171</f>
        <v>507957.9</v>
      </c>
      <c r="G108" s="147"/>
      <c r="H108" s="144"/>
    </row>
    <row r="109" spans="1:9" ht="33.85">
      <c r="A109" s="25">
        <v>1168</v>
      </c>
      <c r="B109" s="25">
        <v>32001</v>
      </c>
      <c r="C109" s="423" t="s">
        <v>392</v>
      </c>
      <c r="D109" s="13">
        <f>+E109+F109+G109+H109</f>
        <v>-20620.700000000026</v>
      </c>
      <c r="E109" s="12">
        <f>+E111</f>
        <v>0</v>
      </c>
      <c r="F109" s="12">
        <f t="shared" ref="F109:H109" si="76">+F111</f>
        <v>-17183.400000000023</v>
      </c>
      <c r="G109" s="12">
        <f t="shared" si="76"/>
        <v>-3437.3000000000029</v>
      </c>
      <c r="H109" s="13">
        <f t="shared" si="76"/>
        <v>0</v>
      </c>
    </row>
    <row r="110" spans="1:9">
      <c r="A110" s="15"/>
      <c r="B110" s="15"/>
      <c r="C110" s="151" t="s">
        <v>25</v>
      </c>
      <c r="D110" s="144"/>
      <c r="E110" s="144"/>
      <c r="F110" s="144"/>
      <c r="G110" s="144"/>
      <c r="H110" s="144"/>
    </row>
    <row r="111" spans="1:9">
      <c r="A111" s="696"/>
      <c r="B111" s="696"/>
      <c r="C111" s="14" t="s">
        <v>178</v>
      </c>
      <c r="D111" s="145">
        <f>SUM(E111:H111)</f>
        <v>-20620.700000000026</v>
      </c>
      <c r="E111" s="145">
        <f>SUM(E112:E115)</f>
        <v>0</v>
      </c>
      <c r="F111" s="145">
        <f t="shared" ref="F111:H111" si="77">SUM(F112:F115)</f>
        <v>-17183.400000000023</v>
      </c>
      <c r="G111" s="145">
        <f t="shared" si="77"/>
        <v>-3437.3000000000029</v>
      </c>
      <c r="H111" s="145">
        <f t="shared" si="77"/>
        <v>0</v>
      </c>
    </row>
    <row r="112" spans="1:9" ht="54">
      <c r="A112" s="697"/>
      <c r="B112" s="697"/>
      <c r="C112" s="409" t="s">
        <v>391</v>
      </c>
      <c r="D112" s="147">
        <f t="shared" ref="D112:D115" si="78">+E112+F112+G112+H112</f>
        <v>-3437.3000000000029</v>
      </c>
      <c r="E112" s="147"/>
      <c r="F112" s="147"/>
      <c r="G112" s="147">
        <v>-3437.3000000000029</v>
      </c>
      <c r="H112" s="147"/>
    </row>
    <row r="113" spans="1:8" s="40" customFormat="1" ht="36">
      <c r="A113" s="697"/>
      <c r="B113" s="697"/>
      <c r="C113" s="409" t="s">
        <v>300</v>
      </c>
      <c r="D113" s="492">
        <f t="shared" si="78"/>
        <v>10792</v>
      </c>
      <c r="E113" s="527"/>
      <c r="F113" s="527">
        <f>+'Havelvats 7'!I21+'Havelvats 7'!I23+'Havelvats 7'!I24</f>
        <v>10792</v>
      </c>
      <c r="G113" s="527"/>
      <c r="H113" s="527"/>
    </row>
    <row r="114" spans="1:8">
      <c r="A114" s="697"/>
      <c r="B114" s="697"/>
      <c r="C114" s="409" t="s">
        <v>477</v>
      </c>
      <c r="D114" s="147">
        <f t="shared" si="78"/>
        <v>-138116.70000000001</v>
      </c>
      <c r="E114" s="415"/>
      <c r="F114" s="415">
        <v>-138116.70000000001</v>
      </c>
      <c r="G114" s="415"/>
      <c r="H114" s="415"/>
    </row>
    <row r="115" spans="1:8" ht="36">
      <c r="A115" s="698"/>
      <c r="B115" s="698"/>
      <c r="C115" s="409" t="s">
        <v>478</v>
      </c>
      <c r="D115" s="147">
        <f t="shared" si="78"/>
        <v>110141.29999999999</v>
      </c>
      <c r="E115" s="415"/>
      <c r="F115" s="415">
        <f>135544.4+'Havelvats 7'!I67+1698.2+'Havelvats 7'!I69+874.1+'Havelvats 7'!I70</f>
        <v>110141.29999999999</v>
      </c>
      <c r="G115" s="415"/>
      <c r="H115" s="415"/>
    </row>
    <row r="116" spans="1:8" ht="33.85">
      <c r="A116" s="25">
        <v>1168</v>
      </c>
      <c r="B116" s="25">
        <v>32007</v>
      </c>
      <c r="C116" s="4" t="s">
        <v>299</v>
      </c>
      <c r="D116" s="13">
        <f>+E116+F116+G116+H116</f>
        <v>-17306</v>
      </c>
      <c r="E116" s="12">
        <f>+E118</f>
        <v>0</v>
      </c>
      <c r="F116" s="12">
        <f t="shared" ref="F116:H116" si="79">+F118</f>
        <v>0</v>
      </c>
      <c r="G116" s="12">
        <f t="shared" si="79"/>
        <v>0</v>
      </c>
      <c r="H116" s="13">
        <f t="shared" si="79"/>
        <v>-17306</v>
      </c>
    </row>
    <row r="117" spans="1:8">
      <c r="A117" s="15"/>
      <c r="B117" s="15"/>
      <c r="C117" s="151" t="s">
        <v>25</v>
      </c>
      <c r="D117" s="144"/>
      <c r="E117" s="144"/>
      <c r="F117" s="144"/>
      <c r="G117" s="144"/>
      <c r="H117" s="144"/>
    </row>
    <row r="118" spans="1:8">
      <c r="A118" s="696"/>
      <c r="B118" s="696"/>
      <c r="C118" s="14" t="s">
        <v>178</v>
      </c>
      <c r="D118" s="145">
        <f>SUM(E118:H118)</f>
        <v>-17306</v>
      </c>
      <c r="E118" s="145">
        <f>+E119</f>
        <v>0</v>
      </c>
      <c r="F118" s="145">
        <f t="shared" ref="F118:H118" si="80">+F119</f>
        <v>0</v>
      </c>
      <c r="G118" s="145">
        <f t="shared" si="80"/>
        <v>0</v>
      </c>
      <c r="H118" s="145">
        <f t="shared" si="80"/>
        <v>-17306</v>
      </c>
    </row>
    <row r="119" spans="1:8" ht="35.75" customHeight="1">
      <c r="A119" s="698"/>
      <c r="B119" s="698"/>
      <c r="C119" s="153" t="s">
        <v>300</v>
      </c>
      <c r="D119" s="147">
        <f t="shared" ref="D119" si="81">+E119+F119+G119+H119</f>
        <v>-17306</v>
      </c>
      <c r="E119" s="147"/>
      <c r="F119" s="147"/>
      <c r="G119" s="147"/>
      <c r="H119" s="147">
        <v>-17306</v>
      </c>
    </row>
    <row r="120" spans="1:8" ht="33.85">
      <c r="A120" s="15">
        <v>1183</v>
      </c>
      <c r="B120" s="15">
        <v>32001</v>
      </c>
      <c r="C120" s="4" t="s">
        <v>183</v>
      </c>
      <c r="D120" s="13">
        <f>+E120+F120+G120+H120</f>
        <v>-154319.40000000002</v>
      </c>
      <c r="E120" s="12">
        <f>+E122</f>
        <v>0</v>
      </c>
      <c r="F120" s="12">
        <f t="shared" ref="F120:H120" si="82">+F122</f>
        <v>-154319.40000000002</v>
      </c>
      <c r="G120" s="12">
        <f t="shared" si="82"/>
        <v>0</v>
      </c>
      <c r="H120" s="12">
        <f t="shared" si="82"/>
        <v>0</v>
      </c>
    </row>
    <row r="121" spans="1:8">
      <c r="A121" s="27"/>
      <c r="B121" s="27"/>
      <c r="C121" s="143" t="s">
        <v>25</v>
      </c>
      <c r="D121" s="144"/>
      <c r="E121" s="144"/>
      <c r="F121" s="144"/>
      <c r="G121" s="144"/>
      <c r="H121" s="144"/>
    </row>
    <row r="122" spans="1:8">
      <c r="A122" s="700"/>
      <c r="B122" s="700"/>
      <c r="C122" s="26" t="s">
        <v>178</v>
      </c>
      <c r="D122" s="145">
        <f>SUM(E122:H122)</f>
        <v>-154319.40000000002</v>
      </c>
      <c r="E122" s="145">
        <f>SUM(E123:E123)</f>
        <v>0</v>
      </c>
      <c r="F122" s="145">
        <f>SUM(F123:F123)</f>
        <v>-154319.40000000002</v>
      </c>
      <c r="G122" s="145">
        <f>SUM(G123:G123)</f>
        <v>0</v>
      </c>
      <c r="H122" s="145">
        <f>SUM(H123:H123)</f>
        <v>0</v>
      </c>
    </row>
    <row r="123" spans="1:8">
      <c r="A123" s="700"/>
      <c r="B123" s="700"/>
      <c r="C123" s="154" t="s">
        <v>301</v>
      </c>
      <c r="D123" s="147">
        <f t="shared" ref="D123" si="83">+E123+F123+G123+H123</f>
        <v>-154319.40000000002</v>
      </c>
      <c r="E123" s="148"/>
      <c r="F123" s="148">
        <f>+'Havelvats 7'!I174+'Havelvats 7'!I176+'Havelvats 7'!I177</f>
        <v>-154319.40000000002</v>
      </c>
      <c r="G123" s="148"/>
      <c r="H123" s="96"/>
    </row>
    <row r="124" spans="1:8" ht="33.85">
      <c r="A124" s="15">
        <v>1183</v>
      </c>
      <c r="B124" s="15">
        <v>32002</v>
      </c>
      <c r="C124" s="4" t="s">
        <v>306</v>
      </c>
      <c r="D124" s="13">
        <f>+E124+F124+G124+H124</f>
        <v>-192441.69999999995</v>
      </c>
      <c r="E124" s="13">
        <f>+E126+E128</f>
        <v>-192441.69999999995</v>
      </c>
      <c r="F124" s="12">
        <f t="shared" ref="F124:H124" si="84">+F126+F128</f>
        <v>0</v>
      </c>
      <c r="G124" s="12">
        <f t="shared" si="84"/>
        <v>0</v>
      </c>
      <c r="H124" s="12">
        <f t="shared" si="84"/>
        <v>0</v>
      </c>
    </row>
    <row r="125" spans="1:8">
      <c r="A125" s="27"/>
      <c r="B125" s="27"/>
      <c r="C125" s="143" t="s">
        <v>25</v>
      </c>
      <c r="D125" s="144"/>
      <c r="E125" s="144"/>
      <c r="F125" s="144"/>
      <c r="G125" s="144"/>
      <c r="H125" s="144"/>
    </row>
    <row r="126" spans="1:8">
      <c r="A126" s="700"/>
      <c r="B126" s="700"/>
      <c r="C126" s="26" t="s">
        <v>176</v>
      </c>
      <c r="D126" s="145">
        <f>SUM(E126:H126)</f>
        <v>-192441.69999999995</v>
      </c>
      <c r="E126" s="145">
        <f>+E127</f>
        <v>-192441.69999999995</v>
      </c>
      <c r="F126" s="145">
        <f t="shared" ref="F126:H126" si="85">+F127</f>
        <v>0</v>
      </c>
      <c r="G126" s="145">
        <f t="shared" si="85"/>
        <v>0</v>
      </c>
      <c r="H126" s="145">
        <f t="shared" si="85"/>
        <v>0</v>
      </c>
    </row>
    <row r="127" spans="1:8">
      <c r="A127" s="700"/>
      <c r="B127" s="700"/>
      <c r="C127" s="152" t="s">
        <v>307</v>
      </c>
      <c r="D127" s="147">
        <f t="shared" ref="D127:D130" si="86">+E127+F127+G127+H127</f>
        <v>-192441.69999999995</v>
      </c>
      <c r="E127" s="147">
        <f>(1033837.2+'Havelvats 7'!I180+'Havelvats 7'!I183+'Havelvats 7'!I185)-551074.9</f>
        <v>-192441.69999999995</v>
      </c>
      <c r="F127" s="147"/>
      <c r="G127" s="147">
        <v>0</v>
      </c>
      <c r="H127" s="144"/>
    </row>
    <row r="128" spans="1:8">
      <c r="A128" s="700"/>
      <c r="B128" s="700"/>
      <c r="C128" s="26" t="s">
        <v>184</v>
      </c>
      <c r="D128" s="155">
        <f t="shared" si="86"/>
        <v>0</v>
      </c>
      <c r="E128" s="145">
        <f>+E129+E130</f>
        <v>0</v>
      </c>
      <c r="F128" s="145">
        <f t="shared" ref="F128:H128" si="87">+F129+F130</f>
        <v>0</v>
      </c>
      <c r="G128" s="145">
        <f t="shared" si="87"/>
        <v>0</v>
      </c>
      <c r="H128" s="145">
        <f t="shared" si="87"/>
        <v>0</v>
      </c>
    </row>
    <row r="129" spans="1:8">
      <c r="A129" s="700"/>
      <c r="B129" s="700"/>
      <c r="C129" s="152" t="s">
        <v>308</v>
      </c>
      <c r="D129" s="147">
        <f t="shared" si="86"/>
        <v>-482762.3</v>
      </c>
      <c r="E129" s="148">
        <v>-482762.3</v>
      </c>
      <c r="F129" s="148"/>
      <c r="G129" s="148"/>
      <c r="H129" s="96"/>
    </row>
    <row r="130" spans="1:8" ht="17.350000000000001" customHeight="1">
      <c r="A130" s="700"/>
      <c r="B130" s="700"/>
      <c r="C130" s="152" t="s">
        <v>309</v>
      </c>
      <c r="D130" s="147">
        <f t="shared" si="86"/>
        <v>482762.30000000005</v>
      </c>
      <c r="E130" s="148">
        <f>+'Havelvats 7'!I181+'Havelvats 7'!I184+'Havelvats 7'!I186</f>
        <v>482762.30000000005</v>
      </c>
      <c r="F130" s="148"/>
      <c r="G130" s="148"/>
      <c r="H130" s="96"/>
    </row>
    <row r="131" spans="1:8" s="16" customFormat="1" ht="50.75">
      <c r="A131" s="366">
        <v>1183</v>
      </c>
      <c r="B131" s="366">
        <v>32003</v>
      </c>
      <c r="C131" s="346" t="s">
        <v>312</v>
      </c>
      <c r="D131" s="353">
        <f>SUM(E131:H131)</f>
        <v>-8085579.2999999998</v>
      </c>
      <c r="E131" s="353">
        <v>-8085579.2999999998</v>
      </c>
      <c r="F131" s="367">
        <f>+F135+F138+F140+F142+F145+F153+F157+F151+F148+F159</f>
        <v>0</v>
      </c>
      <c r="G131" s="367">
        <f>+G135+G138+G140+G142+G145+G153+G157+G151+G148+G159</f>
        <v>0</v>
      </c>
      <c r="H131" s="367">
        <f>+H135+H138+H140+H142+H145+H153+H157+H151+H148+H159</f>
        <v>0</v>
      </c>
    </row>
    <row r="132" spans="1:8" s="16" customFormat="1" ht="50.75">
      <c r="A132" s="366">
        <v>1183</v>
      </c>
      <c r="B132" s="366">
        <v>32003</v>
      </c>
      <c r="C132" s="346" t="s">
        <v>312</v>
      </c>
      <c r="D132" s="353">
        <f>SUM(E132:H132)</f>
        <v>10343434.9</v>
      </c>
      <c r="E132" s="353">
        <f>+E134+E135+E138+E140+E142+E146+E149+E152+E156+E160+E164</f>
        <v>10293434.9</v>
      </c>
      <c r="F132" s="367">
        <f t="shared" ref="F132:H132" si="88">+F134+F135+F138+F140+F142+F146+F149+F152+F156+F160+F164</f>
        <v>0</v>
      </c>
      <c r="G132" s="367">
        <f t="shared" si="88"/>
        <v>50000</v>
      </c>
      <c r="H132" s="367">
        <f t="shared" si="88"/>
        <v>0</v>
      </c>
    </row>
    <row r="133" spans="1:8" s="159" customFormat="1">
      <c r="A133" s="354"/>
      <c r="B133" s="354"/>
      <c r="C133" s="316" t="s">
        <v>25</v>
      </c>
      <c r="D133" s="355"/>
      <c r="E133" s="368"/>
      <c r="F133" s="369"/>
      <c r="G133" s="356"/>
      <c r="H133" s="355"/>
    </row>
    <row r="134" spans="1:8" s="159" customFormat="1" ht="105.85" customHeight="1">
      <c r="A134" s="714"/>
      <c r="B134" s="714"/>
      <c r="C134" s="326" t="s">
        <v>327</v>
      </c>
      <c r="D134" s="379">
        <f t="shared" ref="D134:D165" si="89">SUM(E134:H134)</f>
        <v>50000</v>
      </c>
      <c r="E134" s="155">
        <v>0</v>
      </c>
      <c r="F134" s="155">
        <v>0</v>
      </c>
      <c r="G134" s="155">
        <v>50000</v>
      </c>
      <c r="H134" s="155">
        <v>0</v>
      </c>
    </row>
    <row r="135" spans="1:8" s="372" customFormat="1">
      <c r="A135" s="714"/>
      <c r="B135" s="714"/>
      <c r="C135" s="329" t="s">
        <v>282</v>
      </c>
      <c r="D135" s="370">
        <f t="shared" si="89"/>
        <v>974161.00000000012</v>
      </c>
      <c r="E135" s="371">
        <f>+E136+E137</f>
        <v>974161.00000000012</v>
      </c>
      <c r="F135" s="371">
        <f t="shared" ref="F135:H135" si="90">+F136+F137</f>
        <v>0</v>
      </c>
      <c r="G135" s="371">
        <f t="shared" si="90"/>
        <v>0</v>
      </c>
      <c r="H135" s="371">
        <f t="shared" si="90"/>
        <v>0</v>
      </c>
    </row>
    <row r="136" spans="1:8" s="159" customFormat="1">
      <c r="A136" s="714"/>
      <c r="B136" s="714"/>
      <c r="C136" s="328" t="s">
        <v>313</v>
      </c>
      <c r="D136" s="373">
        <f>SUM(E136:H136)</f>
        <v>523207.00000000017</v>
      </c>
      <c r="E136" s="374">
        <f>8085579.3+'Havelvats 7'!I189+20814.8+2809.5</f>
        <v>523207.00000000017</v>
      </c>
      <c r="F136" s="375"/>
      <c r="G136" s="356"/>
      <c r="H136" s="355"/>
    </row>
    <row r="137" spans="1:8" s="372" customFormat="1">
      <c r="A137" s="714"/>
      <c r="B137" s="714"/>
      <c r="C137" s="328" t="s">
        <v>463</v>
      </c>
      <c r="D137" s="373">
        <f>SUM(E137:H137)</f>
        <v>450953.99999999994</v>
      </c>
      <c r="E137" s="374">
        <f>+'Havelvats 7'!I190+23473.8+2607.6</f>
        <v>450953.99999999994</v>
      </c>
      <c r="F137" s="375"/>
      <c r="G137" s="371"/>
      <c r="H137" s="376"/>
    </row>
    <row r="138" spans="1:8" s="372" customFormat="1">
      <c r="A138" s="714"/>
      <c r="B138" s="714"/>
      <c r="C138" s="381" t="s">
        <v>176</v>
      </c>
      <c r="D138" s="370">
        <f t="shared" si="89"/>
        <v>489623</v>
      </c>
      <c r="E138" s="371">
        <f>+E139</f>
        <v>489623</v>
      </c>
      <c r="F138" s="371"/>
      <c r="G138" s="371"/>
      <c r="H138" s="370"/>
    </row>
    <row r="139" spans="1:8" s="372" customFormat="1">
      <c r="A139" s="714"/>
      <c r="B139" s="714"/>
      <c r="C139" s="328" t="s">
        <v>314</v>
      </c>
      <c r="D139" s="373">
        <f t="shared" si="89"/>
        <v>489623</v>
      </c>
      <c r="E139" s="374">
        <f>+'Havelvats 7'!I191+'Havelvats 7'!I212+2878.7</f>
        <v>489623</v>
      </c>
      <c r="F139" s="375"/>
      <c r="G139" s="374"/>
      <c r="H139" s="373"/>
    </row>
    <row r="140" spans="1:8" s="372" customFormat="1">
      <c r="A140" s="714"/>
      <c r="B140" s="714"/>
      <c r="C140" s="329" t="s">
        <v>182</v>
      </c>
      <c r="D140" s="370">
        <f t="shared" si="89"/>
        <v>338331.5</v>
      </c>
      <c r="E140" s="371">
        <f>+E141</f>
        <v>338331.5</v>
      </c>
      <c r="F140" s="371"/>
      <c r="G140" s="371"/>
      <c r="H140" s="370"/>
    </row>
    <row r="141" spans="1:8" s="378" customFormat="1">
      <c r="A141" s="714"/>
      <c r="B141" s="714"/>
      <c r="C141" s="328" t="s">
        <v>315</v>
      </c>
      <c r="D141" s="373">
        <f t="shared" si="89"/>
        <v>338331.5</v>
      </c>
      <c r="E141" s="374">
        <f>+'Havelvats 7'!I192+'Havelvats 7'!I213+1986.6</f>
        <v>338331.5</v>
      </c>
      <c r="F141" s="375"/>
      <c r="G141" s="374"/>
      <c r="H141" s="377"/>
    </row>
    <row r="142" spans="1:8" s="372" customFormat="1">
      <c r="A142" s="714"/>
      <c r="B142" s="714"/>
      <c r="C142" s="329" t="s">
        <v>184</v>
      </c>
      <c r="D142" s="370">
        <f t="shared" si="89"/>
        <v>1491056.5</v>
      </c>
      <c r="E142" s="371">
        <f>+E143+E144+E145</f>
        <v>1491056.5</v>
      </c>
      <c r="F142" s="371">
        <f t="shared" ref="F142:H142" si="91">+F143+F144+F145</f>
        <v>0</v>
      </c>
      <c r="G142" s="371">
        <f t="shared" si="91"/>
        <v>0</v>
      </c>
      <c r="H142" s="371">
        <f t="shared" si="91"/>
        <v>0</v>
      </c>
    </row>
    <row r="143" spans="1:8" s="159" customFormat="1" ht="36">
      <c r="A143" s="714"/>
      <c r="B143" s="714"/>
      <c r="C143" s="328" t="s">
        <v>316</v>
      </c>
      <c r="D143" s="373">
        <f t="shared" si="89"/>
        <v>465163.60000000003</v>
      </c>
      <c r="E143" s="374">
        <f>+'Havelvats 7'!I193+19165+2663.7</f>
        <v>465163.60000000003</v>
      </c>
      <c r="F143" s="375"/>
      <c r="G143" s="356"/>
      <c r="H143" s="355"/>
    </row>
    <row r="144" spans="1:8" s="159" customFormat="1">
      <c r="A144" s="714"/>
      <c r="B144" s="714"/>
      <c r="C144" s="328" t="s">
        <v>317</v>
      </c>
      <c r="D144" s="373">
        <f t="shared" si="89"/>
        <v>474310.3</v>
      </c>
      <c r="E144" s="374">
        <f>+'Havelvats 7'!I194+22693.4+2684.3</f>
        <v>474310.3</v>
      </c>
      <c r="F144" s="375"/>
      <c r="G144" s="356"/>
      <c r="H144" s="355"/>
    </row>
    <row r="145" spans="1:8" s="372" customFormat="1">
      <c r="A145" s="714"/>
      <c r="B145" s="714"/>
      <c r="C145" s="328" t="s">
        <v>331</v>
      </c>
      <c r="D145" s="373">
        <f t="shared" si="89"/>
        <v>551582.60000000009</v>
      </c>
      <c r="E145" s="374">
        <f>+'Havelvats 7'!I195+17939.8+2870.4</f>
        <v>551582.60000000009</v>
      </c>
      <c r="F145" s="375"/>
      <c r="G145" s="356"/>
      <c r="H145" s="355"/>
    </row>
    <row r="146" spans="1:8" s="159" customFormat="1">
      <c r="A146" s="714"/>
      <c r="B146" s="714"/>
      <c r="C146" s="381" t="s">
        <v>173</v>
      </c>
      <c r="D146" s="370">
        <f t="shared" si="89"/>
        <v>966784.5</v>
      </c>
      <c r="E146" s="371">
        <f>+E147+E148</f>
        <v>966784.5</v>
      </c>
      <c r="F146" s="371">
        <f t="shared" ref="F146:H146" si="92">+F147+F148</f>
        <v>0</v>
      </c>
      <c r="G146" s="371">
        <f t="shared" si="92"/>
        <v>0</v>
      </c>
      <c r="H146" s="371">
        <f t="shared" si="92"/>
        <v>0</v>
      </c>
    </row>
    <row r="147" spans="1:8" s="159" customFormat="1">
      <c r="A147" s="714"/>
      <c r="B147" s="714"/>
      <c r="C147" s="328" t="s">
        <v>319</v>
      </c>
      <c r="D147" s="373">
        <f t="shared" si="89"/>
        <v>400318.2</v>
      </c>
      <c r="E147" s="374">
        <f>+'Havelvats 7'!I196+15461.2+2329.7</f>
        <v>400318.2</v>
      </c>
      <c r="F147" s="375"/>
      <c r="G147" s="356"/>
      <c r="H147" s="355"/>
    </row>
    <row r="148" spans="1:8" s="372" customFormat="1">
      <c r="A148" s="714"/>
      <c r="B148" s="714"/>
      <c r="C148" s="328" t="s">
        <v>318</v>
      </c>
      <c r="D148" s="373">
        <f t="shared" ref="D148:D152" si="93">SUM(E148:H148)</f>
        <v>566466.30000000005</v>
      </c>
      <c r="E148" s="374">
        <f>+'Havelvats 7'!I197+20322.6+2889.8</f>
        <v>566466.30000000005</v>
      </c>
      <c r="F148" s="375"/>
      <c r="G148" s="356"/>
      <c r="H148" s="355"/>
    </row>
    <row r="149" spans="1:8" s="159" customFormat="1">
      <c r="A149" s="714"/>
      <c r="B149" s="714"/>
      <c r="C149" s="381" t="s">
        <v>180</v>
      </c>
      <c r="D149" s="370">
        <f t="shared" si="93"/>
        <v>865160.3</v>
      </c>
      <c r="E149" s="371">
        <f>+E150+E151</f>
        <v>865160.3</v>
      </c>
      <c r="F149" s="371">
        <f t="shared" ref="F149:H149" si="94">+F150+F151</f>
        <v>0</v>
      </c>
      <c r="G149" s="371">
        <f t="shared" si="94"/>
        <v>0</v>
      </c>
      <c r="H149" s="371">
        <f t="shared" si="94"/>
        <v>0</v>
      </c>
    </row>
    <row r="150" spans="1:8" s="159" customFormat="1">
      <c r="A150" s="714"/>
      <c r="B150" s="714"/>
      <c r="C150" s="328" t="s">
        <v>320</v>
      </c>
      <c r="D150" s="373">
        <f t="shared" si="93"/>
        <v>453665.5</v>
      </c>
      <c r="E150" s="374">
        <f>+'Havelvats 7'!I198+16125.9+2677.5</f>
        <v>453665.5</v>
      </c>
      <c r="F150" s="375"/>
      <c r="G150" s="356"/>
      <c r="H150" s="355"/>
    </row>
    <row r="151" spans="1:8" s="372" customFormat="1">
      <c r="A151" s="714"/>
      <c r="B151" s="714"/>
      <c r="C151" s="328" t="s">
        <v>321</v>
      </c>
      <c r="D151" s="373">
        <f t="shared" si="93"/>
        <v>411494.8</v>
      </c>
      <c r="E151" s="374">
        <f>+'Havelvats 7'!I199+16023.5+2543.8</f>
        <v>411494.8</v>
      </c>
      <c r="F151" s="375"/>
      <c r="G151" s="356"/>
      <c r="H151" s="355"/>
    </row>
    <row r="152" spans="1:8" s="159" customFormat="1">
      <c r="A152" s="714"/>
      <c r="B152" s="714"/>
      <c r="C152" s="381" t="s">
        <v>146</v>
      </c>
      <c r="D152" s="370">
        <f t="shared" si="93"/>
        <v>1619426.7999999998</v>
      </c>
      <c r="E152" s="371">
        <f>+E153+E154+E155</f>
        <v>1619426.7999999998</v>
      </c>
      <c r="F152" s="371">
        <f t="shared" ref="F152:H152" si="95">+F153+F154+F155</f>
        <v>0</v>
      </c>
      <c r="G152" s="371">
        <f t="shared" si="95"/>
        <v>0</v>
      </c>
      <c r="H152" s="371">
        <f t="shared" si="95"/>
        <v>0</v>
      </c>
    </row>
    <row r="153" spans="1:8" s="372" customFormat="1">
      <c r="A153" s="714"/>
      <c r="B153" s="714"/>
      <c r="C153" s="328" t="s">
        <v>322</v>
      </c>
      <c r="D153" s="373">
        <f t="shared" si="89"/>
        <v>636211.19999999995</v>
      </c>
      <c r="E153" s="374">
        <f>+'Havelvats 7'!I200+26521+3516</f>
        <v>636211.19999999995</v>
      </c>
      <c r="F153" s="375"/>
      <c r="G153" s="356"/>
      <c r="H153" s="355"/>
    </row>
    <row r="154" spans="1:8" s="159" customFormat="1">
      <c r="A154" s="714"/>
      <c r="B154" s="714"/>
      <c r="C154" s="328" t="s">
        <v>332</v>
      </c>
      <c r="D154" s="373">
        <f t="shared" si="89"/>
        <v>493230.2</v>
      </c>
      <c r="E154" s="374">
        <f>+'Havelvats 7'!I201+20469.1+2729.2</f>
        <v>493230.2</v>
      </c>
      <c r="F154" s="375"/>
      <c r="G154" s="356"/>
      <c r="H154" s="355"/>
    </row>
    <row r="155" spans="1:8" s="159" customFormat="1">
      <c r="A155" s="714"/>
      <c r="B155" s="714"/>
      <c r="C155" s="328" t="s">
        <v>333</v>
      </c>
      <c r="D155" s="373">
        <f t="shared" si="89"/>
        <v>489985.39999999997</v>
      </c>
      <c r="E155" s="374">
        <f>+'Havelvats 7'!I202+20521.8+2781.8</f>
        <v>489985.39999999997</v>
      </c>
      <c r="F155" s="375"/>
      <c r="G155" s="356"/>
      <c r="H155" s="355"/>
    </row>
    <row r="156" spans="1:8" s="159" customFormat="1">
      <c r="A156" s="714"/>
      <c r="B156" s="714"/>
      <c r="C156" s="381" t="s">
        <v>177</v>
      </c>
      <c r="D156" s="370">
        <f t="shared" si="89"/>
        <v>1586613.5</v>
      </c>
      <c r="E156" s="371">
        <f>+E157+E158+E159</f>
        <v>1586613.5</v>
      </c>
      <c r="F156" s="371">
        <f t="shared" ref="F156:H156" si="96">+F157+F158+F159</f>
        <v>0</v>
      </c>
      <c r="G156" s="371">
        <f t="shared" si="96"/>
        <v>0</v>
      </c>
      <c r="H156" s="371">
        <f t="shared" si="96"/>
        <v>0</v>
      </c>
    </row>
    <row r="157" spans="1:8" s="372" customFormat="1" ht="36">
      <c r="A157" s="714"/>
      <c r="B157" s="714"/>
      <c r="C157" s="328" t="s">
        <v>323</v>
      </c>
      <c r="D157" s="373">
        <f t="shared" si="89"/>
        <v>561454.4</v>
      </c>
      <c r="E157" s="374">
        <f>+'Havelvats 7'!I203+19641.9+3589</f>
        <v>561454.4</v>
      </c>
      <c r="F157" s="375"/>
      <c r="G157" s="356"/>
      <c r="H157" s="355"/>
    </row>
    <row r="158" spans="1:8" s="159" customFormat="1">
      <c r="A158" s="714"/>
      <c r="B158" s="714"/>
      <c r="C158" s="328" t="s">
        <v>324</v>
      </c>
      <c r="D158" s="373">
        <f t="shared" si="89"/>
        <v>513323.1</v>
      </c>
      <c r="E158" s="374">
        <f>+'Havelvats 7'!I204+18961.1+3131.3</f>
        <v>513323.1</v>
      </c>
      <c r="F158" s="375"/>
      <c r="G158" s="356"/>
      <c r="H158" s="355"/>
    </row>
    <row r="159" spans="1:8" s="372" customFormat="1">
      <c r="A159" s="714"/>
      <c r="B159" s="714"/>
      <c r="C159" s="328" t="s">
        <v>325</v>
      </c>
      <c r="D159" s="373">
        <f t="shared" si="89"/>
        <v>511836</v>
      </c>
      <c r="E159" s="374">
        <f>+'Havelvats 7'!I205+17586.4+3238.3</f>
        <v>511836</v>
      </c>
      <c r="F159" s="375"/>
      <c r="G159" s="356"/>
      <c r="H159" s="355"/>
    </row>
    <row r="160" spans="1:8" s="159" customFormat="1">
      <c r="A160" s="714"/>
      <c r="B160" s="714"/>
      <c r="C160" s="381" t="s">
        <v>274</v>
      </c>
      <c r="D160" s="370">
        <f t="shared" si="89"/>
        <v>1467225.3</v>
      </c>
      <c r="E160" s="371">
        <f>+E161+E162+E163</f>
        <v>1467225.3</v>
      </c>
      <c r="F160" s="371">
        <f t="shared" ref="F160:H160" si="97">+F161+F162+F163</f>
        <v>0</v>
      </c>
      <c r="G160" s="371">
        <f t="shared" si="97"/>
        <v>0</v>
      </c>
      <c r="H160" s="371">
        <f t="shared" si="97"/>
        <v>0</v>
      </c>
    </row>
    <row r="161" spans="1:8">
      <c r="A161" s="714"/>
      <c r="B161" s="714"/>
      <c r="C161" s="328" t="s">
        <v>326</v>
      </c>
      <c r="D161" s="373">
        <f t="shared" si="89"/>
        <v>394698</v>
      </c>
      <c r="E161" s="374">
        <f>+'Havelvats 7'!I206+16960.4+2300.1</f>
        <v>394698</v>
      </c>
      <c r="F161" s="375"/>
      <c r="G161" s="356"/>
      <c r="H161" s="355"/>
    </row>
    <row r="162" spans="1:8">
      <c r="A162" s="714"/>
      <c r="B162" s="714"/>
      <c r="C162" s="328" t="s">
        <v>334</v>
      </c>
      <c r="D162" s="373">
        <f t="shared" si="89"/>
        <v>484839.70000000007</v>
      </c>
      <c r="E162" s="374">
        <f>+'Havelvats 7'!I207+19628.9+2902.9</f>
        <v>484839.70000000007</v>
      </c>
      <c r="F162" s="375"/>
      <c r="G162" s="356"/>
      <c r="H162" s="355"/>
    </row>
    <row r="163" spans="1:8">
      <c r="A163" s="714"/>
      <c r="B163" s="714"/>
      <c r="C163" s="328" t="s">
        <v>335</v>
      </c>
      <c r="D163" s="373">
        <f t="shared" si="89"/>
        <v>587687.6</v>
      </c>
      <c r="E163" s="374">
        <f>+'Havelvats 7'!I208+26622.9+3637.7</f>
        <v>587687.6</v>
      </c>
      <c r="F163" s="375"/>
      <c r="G163" s="356"/>
      <c r="H163" s="355"/>
    </row>
    <row r="164" spans="1:8">
      <c r="A164" s="714"/>
      <c r="B164" s="714"/>
      <c r="C164" s="381" t="s">
        <v>175</v>
      </c>
      <c r="D164" s="358">
        <f t="shared" si="89"/>
        <v>495052.5</v>
      </c>
      <c r="E164" s="371">
        <f>+E165</f>
        <v>495052.5</v>
      </c>
      <c r="F164" s="371">
        <f t="shared" ref="F164:H164" si="98">+F165</f>
        <v>0</v>
      </c>
      <c r="G164" s="371">
        <f t="shared" si="98"/>
        <v>0</v>
      </c>
      <c r="H164" s="371">
        <f t="shared" si="98"/>
        <v>0</v>
      </c>
    </row>
    <row r="165" spans="1:8" ht="36">
      <c r="A165" s="714"/>
      <c r="B165" s="714"/>
      <c r="C165" s="328" t="s">
        <v>336</v>
      </c>
      <c r="D165" s="373">
        <f t="shared" si="89"/>
        <v>495052.5</v>
      </c>
      <c r="E165" s="374">
        <f>+'Havelvats 7'!I209+'Havelvats 7'!I220+3279.5</f>
        <v>495052.5</v>
      </c>
      <c r="F165" s="375"/>
      <c r="G165" s="356"/>
      <c r="H165" s="355"/>
    </row>
    <row r="166" spans="1:8" s="16" customFormat="1" ht="50.75">
      <c r="A166" s="366">
        <v>1183</v>
      </c>
      <c r="B166" s="366">
        <v>32007</v>
      </c>
      <c r="C166" s="346" t="s">
        <v>338</v>
      </c>
      <c r="D166" s="367">
        <f>SUM(E166:H166)</f>
        <v>-853876.50000000012</v>
      </c>
      <c r="E166" s="367">
        <f>+E168+E173+E176+E182+E184</f>
        <v>-853876.50000000012</v>
      </c>
      <c r="F166" s="367">
        <f t="shared" ref="F166:H166" si="99">+F168+F173+F176+F182+F184</f>
        <v>0</v>
      </c>
      <c r="G166" s="367">
        <f t="shared" si="99"/>
        <v>0</v>
      </c>
      <c r="H166" s="367">
        <f t="shared" si="99"/>
        <v>0</v>
      </c>
    </row>
    <row r="167" spans="1:8">
      <c r="A167" s="324"/>
      <c r="B167" s="324"/>
      <c r="C167" s="316" t="s">
        <v>25</v>
      </c>
      <c r="D167" s="324"/>
      <c r="E167" s="324"/>
      <c r="F167" s="324"/>
      <c r="G167" s="324"/>
      <c r="H167" s="324"/>
    </row>
    <row r="168" spans="1:8" s="159" customFormat="1">
      <c r="A168" s="696"/>
      <c r="B168" s="696"/>
      <c r="C168" s="380" t="s">
        <v>178</v>
      </c>
      <c r="D168" s="358">
        <f>SUM(E168:H168)</f>
        <v>-183861.1</v>
      </c>
      <c r="E168" s="371">
        <f>+E169+E170+E171+E172</f>
        <v>-183861.1</v>
      </c>
      <c r="F168" s="371">
        <f t="shared" ref="F168:H168" si="100">+F169+F170+F171+F172</f>
        <v>0</v>
      </c>
      <c r="G168" s="371">
        <f t="shared" si="100"/>
        <v>0</v>
      </c>
      <c r="H168" s="371">
        <f t="shared" si="100"/>
        <v>0</v>
      </c>
    </row>
    <row r="169" spans="1:8" ht="36">
      <c r="A169" s="697"/>
      <c r="B169" s="697"/>
      <c r="C169" s="325" t="s">
        <v>339</v>
      </c>
      <c r="D169" s="373">
        <f>SUM(E169:H169)</f>
        <v>-47791.799999999988</v>
      </c>
      <c r="E169" s="374">
        <f>+(3854548.8+'Havelvats 7'!I225+'Havelvats 7'!I243+'Havelvats 7'!I260)-228066.3</f>
        <v>-47791.799999999988</v>
      </c>
      <c r="F169" s="375"/>
      <c r="G169" s="356"/>
      <c r="H169" s="355"/>
    </row>
    <row r="170" spans="1:8" ht="36">
      <c r="A170" s="697"/>
      <c r="B170" s="697"/>
      <c r="C170" s="325" t="s">
        <v>340</v>
      </c>
      <c r="D170" s="373">
        <f t="shared" ref="D170:D189" si="101">SUM(E170:H170)</f>
        <v>-19834.700000000012</v>
      </c>
      <c r="E170" s="374">
        <f>+('Havelvats 7'!I226+'Havelvats 7'!I244+'Havelvats 7'!I261)-212401.9</f>
        <v>-19834.700000000012</v>
      </c>
      <c r="F170" s="375"/>
      <c r="G170" s="356"/>
      <c r="H170" s="355"/>
    </row>
    <row r="171" spans="1:8" ht="36">
      <c r="A171" s="697"/>
      <c r="B171" s="697"/>
      <c r="C171" s="325" t="s">
        <v>341</v>
      </c>
      <c r="D171" s="373">
        <f t="shared" si="101"/>
        <v>-86825.200000000012</v>
      </c>
      <c r="E171" s="374">
        <f>+('Havelvats 7'!I227+'Havelvats 7'!I245+'Havelvats 7'!I262)-245457.2</f>
        <v>-86825.200000000012</v>
      </c>
      <c r="F171" s="375"/>
      <c r="G171" s="356"/>
      <c r="H171" s="355"/>
    </row>
    <row r="172" spans="1:8" ht="36">
      <c r="A172" s="697"/>
      <c r="B172" s="697"/>
      <c r="C172" s="325" t="s">
        <v>342</v>
      </c>
      <c r="D172" s="373">
        <f t="shared" si="101"/>
        <v>-29409.399999999994</v>
      </c>
      <c r="E172" s="374">
        <f>+('Havelvats 7'!I228+'Havelvats 7'!I246+'Havelvats 7'!I263)-143272.4</f>
        <v>-29409.399999999994</v>
      </c>
      <c r="F172" s="375"/>
      <c r="G172" s="356"/>
      <c r="H172" s="355"/>
    </row>
    <row r="173" spans="1:8" s="159" customFormat="1">
      <c r="A173" s="697"/>
      <c r="B173" s="697"/>
      <c r="C173" s="380" t="s">
        <v>282</v>
      </c>
      <c r="D173" s="358">
        <f>SUM(E173:H173)</f>
        <v>-93251.1</v>
      </c>
      <c r="E173" s="371">
        <f>+E174+E175</f>
        <v>-93251.1</v>
      </c>
      <c r="F173" s="371">
        <f t="shared" ref="F173:H173" si="102">+F174+F175</f>
        <v>0</v>
      </c>
      <c r="G173" s="371">
        <f t="shared" si="102"/>
        <v>0</v>
      </c>
      <c r="H173" s="371">
        <f t="shared" si="102"/>
        <v>0</v>
      </c>
    </row>
    <row r="174" spans="1:8">
      <c r="A174" s="697"/>
      <c r="B174" s="697"/>
      <c r="C174" s="325" t="s">
        <v>343</v>
      </c>
      <c r="D174" s="373">
        <f t="shared" si="101"/>
        <v>-50986.100000000006</v>
      </c>
      <c r="E174" s="374">
        <f>+('Havelvats 7'!I229+'Havelvats 7'!I247+'Havelvats 7'!I264)-208097.3</f>
        <v>-50986.100000000006</v>
      </c>
      <c r="F174" s="375"/>
      <c r="G174" s="356"/>
      <c r="H174" s="355"/>
    </row>
    <row r="175" spans="1:8">
      <c r="A175" s="697"/>
      <c r="B175" s="697"/>
      <c r="C175" s="325" t="s">
        <v>344</v>
      </c>
      <c r="D175" s="373">
        <f t="shared" si="101"/>
        <v>-42265</v>
      </c>
      <c r="E175" s="374">
        <f>+('Havelvats 7'!I230++'Havelvats 7'!I248+'Havelvats 7'!I265)-172529.1</f>
        <v>-42265</v>
      </c>
      <c r="F175" s="375"/>
      <c r="G175" s="356"/>
      <c r="H175" s="355"/>
    </row>
    <row r="176" spans="1:8" s="159" customFormat="1">
      <c r="A176" s="697"/>
      <c r="B176" s="697"/>
      <c r="C176" s="380" t="s">
        <v>182</v>
      </c>
      <c r="D176" s="358">
        <f>SUM(E176:H176)</f>
        <v>-253327.60000000003</v>
      </c>
      <c r="E176" s="371">
        <f>+E177+E178+E179+E180+E181</f>
        <v>-253327.60000000003</v>
      </c>
      <c r="F176" s="371">
        <f t="shared" ref="F176:H176" si="103">+F177+F178+F179+F180+F181</f>
        <v>0</v>
      </c>
      <c r="G176" s="371">
        <f t="shared" si="103"/>
        <v>0</v>
      </c>
      <c r="H176" s="371">
        <f t="shared" si="103"/>
        <v>0</v>
      </c>
    </row>
    <row r="177" spans="1:8">
      <c r="A177" s="697"/>
      <c r="B177" s="697"/>
      <c r="C177" s="325" t="s">
        <v>345</v>
      </c>
      <c r="D177" s="373">
        <f t="shared" si="101"/>
        <v>-44339.899999999994</v>
      </c>
      <c r="E177" s="374">
        <f>+('Havelvats 7'!I231+'Havelvats 7'!I249+'Havelvats 7'!I266)-180993.9</f>
        <v>-44339.899999999994</v>
      </c>
      <c r="F177" s="375"/>
      <c r="G177" s="356"/>
      <c r="H177" s="355"/>
    </row>
    <row r="178" spans="1:8" ht="36">
      <c r="A178" s="697"/>
      <c r="B178" s="697"/>
      <c r="C178" s="325" t="s">
        <v>346</v>
      </c>
      <c r="D178" s="373">
        <f t="shared" si="101"/>
        <v>-72398.500000000058</v>
      </c>
      <c r="E178" s="374">
        <f>+('Havelvats 7'!I232+'Havelvats 7'!I250+'Havelvats 7'!I267)-346352.7</f>
        <v>-72398.500000000058</v>
      </c>
      <c r="F178" s="375"/>
      <c r="G178" s="356"/>
      <c r="H178" s="355"/>
    </row>
    <row r="179" spans="1:8" ht="36">
      <c r="A179" s="697"/>
      <c r="B179" s="697"/>
      <c r="C179" s="325" t="s">
        <v>347</v>
      </c>
      <c r="D179" s="373">
        <f t="shared" si="101"/>
        <v>-66509.700000000012</v>
      </c>
      <c r="E179" s="374">
        <f>+('Havelvats 7'!I233+'Havelvats 7'!I251+'Havelvats 7'!I268)-271426.8</f>
        <v>-66509.700000000012</v>
      </c>
      <c r="F179" s="375"/>
      <c r="G179" s="356"/>
      <c r="H179" s="355"/>
    </row>
    <row r="180" spans="1:8" ht="36">
      <c r="A180" s="697"/>
      <c r="B180" s="697"/>
      <c r="C180" s="325" t="s">
        <v>348</v>
      </c>
      <c r="D180" s="373">
        <f t="shared" si="101"/>
        <v>-5459.3999999999942</v>
      </c>
      <c r="E180" s="374">
        <f>+('Havelvats 7'!I234+'Havelvats 7'!I252+'Havelvats 7'!I269)-239621.4</f>
        <v>-5459.3999999999942</v>
      </c>
      <c r="F180" s="375"/>
      <c r="G180" s="356"/>
      <c r="H180" s="355"/>
    </row>
    <row r="181" spans="1:8">
      <c r="A181" s="697"/>
      <c r="B181" s="697"/>
      <c r="C181" s="325" t="s">
        <v>349</v>
      </c>
      <c r="D181" s="373">
        <f t="shared" si="101"/>
        <v>-64620.099999999977</v>
      </c>
      <c r="E181" s="374">
        <f>+('Havelvats 7'!I235+'Havelvats 7'!I253+'Havelvats 7'!I270)-263722.3</f>
        <v>-64620.099999999977</v>
      </c>
      <c r="F181" s="375"/>
      <c r="G181" s="356"/>
      <c r="H181" s="355"/>
    </row>
    <row r="182" spans="1:8" s="159" customFormat="1">
      <c r="A182" s="697"/>
      <c r="B182" s="697"/>
      <c r="C182" s="380" t="s">
        <v>184</v>
      </c>
      <c r="D182" s="358">
        <f>SUM(E182:H182)</f>
        <v>-61332.100000000035</v>
      </c>
      <c r="E182" s="371">
        <f>+E183</f>
        <v>-61332.100000000035</v>
      </c>
      <c r="F182" s="371">
        <f t="shared" ref="F182:H182" si="104">+F183</f>
        <v>0</v>
      </c>
      <c r="G182" s="371">
        <f t="shared" si="104"/>
        <v>0</v>
      </c>
      <c r="H182" s="371">
        <f t="shared" si="104"/>
        <v>0</v>
      </c>
    </row>
    <row r="183" spans="1:8">
      <c r="A183" s="697"/>
      <c r="B183" s="697"/>
      <c r="C183" s="325" t="s">
        <v>350</v>
      </c>
      <c r="D183" s="373">
        <f t="shared" si="101"/>
        <v>-61332.100000000035</v>
      </c>
      <c r="E183" s="374">
        <f>+('Havelvats 7'!I236+'Havelvats 7'!I254+'Havelvats 7'!I271)-250281.1</f>
        <v>-61332.100000000035</v>
      </c>
      <c r="F183" s="375"/>
      <c r="G183" s="356"/>
      <c r="H183" s="355"/>
    </row>
    <row r="184" spans="1:8" s="159" customFormat="1">
      <c r="A184" s="697"/>
      <c r="B184" s="697"/>
      <c r="C184" s="380" t="s">
        <v>173</v>
      </c>
      <c r="D184" s="358">
        <f>SUM(E184:H184)</f>
        <v>-262104.59999999998</v>
      </c>
      <c r="E184" s="371">
        <f>+E185+E186+E187+E188+E189</f>
        <v>-262104.59999999998</v>
      </c>
      <c r="F184" s="371">
        <f t="shared" ref="F184:H184" si="105">+F185+F186+F187+F188+F189</f>
        <v>0</v>
      </c>
      <c r="G184" s="371">
        <f t="shared" si="105"/>
        <v>0</v>
      </c>
      <c r="H184" s="371">
        <f t="shared" si="105"/>
        <v>0</v>
      </c>
    </row>
    <row r="185" spans="1:8" ht="36">
      <c r="A185" s="697"/>
      <c r="B185" s="697"/>
      <c r="C185" s="325" t="s">
        <v>352</v>
      </c>
      <c r="D185" s="373">
        <f t="shared" si="101"/>
        <v>-51585.700000000012</v>
      </c>
      <c r="E185" s="374">
        <f>+('Havelvats 7'!I237+'Havelvats 7'!I255+'Havelvats 7'!I272)-210537.7</f>
        <v>-51585.700000000012</v>
      </c>
      <c r="F185" s="375"/>
      <c r="G185" s="356"/>
      <c r="H185" s="355"/>
    </row>
    <row r="186" spans="1:8" ht="36">
      <c r="A186" s="697"/>
      <c r="B186" s="697"/>
      <c r="C186" s="325" t="s">
        <v>351</v>
      </c>
      <c r="D186" s="373">
        <f t="shared" si="101"/>
        <v>-59953.599999999977</v>
      </c>
      <c r="E186" s="374">
        <f>+('Havelvats 7'!I238+'Havelvats 7'!I256+'Havelvats 7'!I273)-244660.3</f>
        <v>-59953.599999999977</v>
      </c>
      <c r="F186" s="375"/>
      <c r="G186" s="356"/>
      <c r="H186" s="355"/>
    </row>
    <row r="187" spans="1:8">
      <c r="A187" s="697"/>
      <c r="B187" s="697"/>
      <c r="C187" s="325" t="s">
        <v>353</v>
      </c>
      <c r="D187" s="373">
        <f t="shared" si="101"/>
        <v>-42530.699999999983</v>
      </c>
      <c r="E187" s="374">
        <f>+('Havelvats 7'!I239+'Havelvats 7'!I257+'Havelvats 7'!I274)-173614.9</f>
        <v>-42530.699999999983</v>
      </c>
      <c r="F187" s="375"/>
      <c r="G187" s="356"/>
      <c r="H187" s="355"/>
    </row>
    <row r="188" spans="1:8">
      <c r="A188" s="697"/>
      <c r="B188" s="697"/>
      <c r="C188" s="325" t="s">
        <v>354</v>
      </c>
      <c r="D188" s="373">
        <f t="shared" si="101"/>
        <v>-55153</v>
      </c>
      <c r="E188" s="374">
        <f>+('Havelvats 7'!I240+'Havelvats 7'!I258+'Havelvats 7'!I275)-225087.5</f>
        <v>-55153</v>
      </c>
      <c r="F188" s="375"/>
      <c r="G188" s="356"/>
      <c r="H188" s="355"/>
    </row>
    <row r="189" spans="1:8">
      <c r="A189" s="698"/>
      <c r="B189" s="698"/>
      <c r="C189" s="325" t="s">
        <v>355</v>
      </c>
      <c r="D189" s="373">
        <f t="shared" si="101"/>
        <v>-52881.600000000006</v>
      </c>
      <c r="E189" s="374">
        <f>+('Havelvats 7'!I241+'Havelvats 7'!I259+'Havelvats 7'!I276)-238426</f>
        <v>-52881.600000000006</v>
      </c>
      <c r="F189" s="375"/>
      <c r="G189" s="356"/>
      <c r="H189" s="355"/>
    </row>
    <row r="190" spans="1:8" s="16" customFormat="1" ht="50.75">
      <c r="A190" s="366">
        <v>1183</v>
      </c>
      <c r="B190" s="366">
        <v>32009</v>
      </c>
      <c r="C190" s="346" t="s">
        <v>358</v>
      </c>
      <c r="D190" s="367">
        <f>SUM(E190:H190)</f>
        <v>-108596.30000000006</v>
      </c>
      <c r="E190" s="367">
        <f>+E192+E194+E196+E198+E200</f>
        <v>0</v>
      </c>
      <c r="F190" s="367">
        <f t="shared" ref="F190:H190" si="106">+F192+F194+F196+F198+F200</f>
        <v>-108596.30000000006</v>
      </c>
      <c r="G190" s="367">
        <f t="shared" si="106"/>
        <v>0</v>
      </c>
      <c r="H190" s="367">
        <f t="shared" si="106"/>
        <v>0</v>
      </c>
    </row>
    <row r="191" spans="1:8">
      <c r="A191" s="324"/>
      <c r="B191" s="324"/>
      <c r="C191" s="322" t="s">
        <v>25</v>
      </c>
      <c r="D191" s="324"/>
      <c r="E191" s="324"/>
      <c r="F191" s="324"/>
      <c r="G191" s="324"/>
      <c r="H191" s="324"/>
    </row>
    <row r="192" spans="1:8" s="159" customFormat="1">
      <c r="A192" s="696"/>
      <c r="B192" s="699"/>
      <c r="C192" s="380" t="s">
        <v>178</v>
      </c>
      <c r="D192" s="358">
        <f t="shared" ref="D192:D201" si="107">SUM(E192:H192)</f>
        <v>-24076.600000000049</v>
      </c>
      <c r="E192" s="371">
        <f>+E193</f>
        <v>0</v>
      </c>
      <c r="F192" s="371">
        <f t="shared" ref="F192:H192" si="108">+F193</f>
        <v>-24076.600000000049</v>
      </c>
      <c r="G192" s="371">
        <f t="shared" si="108"/>
        <v>0</v>
      </c>
      <c r="H192" s="371">
        <f t="shared" si="108"/>
        <v>0</v>
      </c>
    </row>
    <row r="193" spans="1:8" ht="36">
      <c r="A193" s="697"/>
      <c r="B193" s="697"/>
      <c r="C193" s="154" t="s">
        <v>359</v>
      </c>
      <c r="D193" s="373">
        <f t="shared" si="107"/>
        <v>-24076.600000000049</v>
      </c>
      <c r="E193" s="148"/>
      <c r="F193" s="148">
        <f>+(729902.5+'Havelvats 7'!I279+'Havelvats 7'!I285+'Havelvats 7'!I290)-114690.6</f>
        <v>-24076.600000000049</v>
      </c>
      <c r="G193" s="148"/>
      <c r="H193" s="96"/>
    </row>
    <row r="194" spans="1:8" s="159" customFormat="1">
      <c r="A194" s="697"/>
      <c r="B194" s="697"/>
      <c r="C194" s="380" t="s">
        <v>182</v>
      </c>
      <c r="D194" s="358">
        <f t="shared" si="107"/>
        <v>-5412.3999999999942</v>
      </c>
      <c r="E194" s="371">
        <f>+E195</f>
        <v>0</v>
      </c>
      <c r="F194" s="371">
        <f t="shared" ref="F194" si="109">+F195</f>
        <v>-5412.3999999999942</v>
      </c>
      <c r="G194" s="371">
        <f t="shared" ref="G194" si="110">+G195</f>
        <v>0</v>
      </c>
      <c r="H194" s="371">
        <f t="shared" ref="H194" si="111">+H195</f>
        <v>0</v>
      </c>
    </row>
    <row r="195" spans="1:8">
      <c r="A195" s="697"/>
      <c r="B195" s="697"/>
      <c r="C195" s="154" t="s">
        <v>360</v>
      </c>
      <c r="D195" s="373">
        <f t="shared" si="107"/>
        <v>-5412.3999999999942</v>
      </c>
      <c r="E195" s="148"/>
      <c r="F195" s="148">
        <f>+('Havelvats 7'!I280+'Havelvats 7'!I286+'Havelvats 7'!I291)-114585.8</f>
        <v>-5412.3999999999942</v>
      </c>
      <c r="G195" s="148"/>
      <c r="H195" s="96"/>
    </row>
    <row r="196" spans="1:8" s="159" customFormat="1">
      <c r="A196" s="697"/>
      <c r="B196" s="697"/>
      <c r="C196" s="380" t="s">
        <v>184</v>
      </c>
      <c r="D196" s="358">
        <f t="shared" si="107"/>
        <v>-48696.600000000006</v>
      </c>
      <c r="E196" s="371">
        <f>+E197</f>
        <v>0</v>
      </c>
      <c r="F196" s="371">
        <f t="shared" ref="F196" si="112">+F197</f>
        <v>-48696.600000000006</v>
      </c>
      <c r="G196" s="371">
        <f t="shared" ref="G196" si="113">+G197</f>
        <v>0</v>
      </c>
      <c r="H196" s="371">
        <f t="shared" ref="H196" si="114">+H197</f>
        <v>0</v>
      </c>
    </row>
    <row r="197" spans="1:8" ht="36">
      <c r="A197" s="697"/>
      <c r="B197" s="697"/>
      <c r="C197" s="154" t="s">
        <v>361</v>
      </c>
      <c r="D197" s="373">
        <f t="shared" si="107"/>
        <v>-48696.600000000006</v>
      </c>
      <c r="E197" s="148"/>
      <c r="F197" s="148">
        <f>+('Havelvats 7'!I281+'Havelvats 7'!I287+'Havelvats 7'!I292)-214942.5</f>
        <v>-48696.600000000006</v>
      </c>
      <c r="G197" s="148"/>
      <c r="H197" s="96"/>
    </row>
    <row r="198" spans="1:8" s="159" customFormat="1">
      <c r="A198" s="697"/>
      <c r="B198" s="697"/>
      <c r="C198" s="380" t="s">
        <v>173</v>
      </c>
      <c r="D198" s="358">
        <f t="shared" si="107"/>
        <v>10444.399999999994</v>
      </c>
      <c r="E198" s="371">
        <f>+E199</f>
        <v>0</v>
      </c>
      <c r="F198" s="371">
        <f t="shared" ref="F198" si="115">+F199</f>
        <v>10444.399999999994</v>
      </c>
      <c r="G198" s="371">
        <f t="shared" ref="G198" si="116">+G199</f>
        <v>0</v>
      </c>
      <c r="H198" s="371">
        <f t="shared" ref="H198" si="117">+H199</f>
        <v>0</v>
      </c>
    </row>
    <row r="199" spans="1:8" ht="54">
      <c r="A199" s="697"/>
      <c r="B199" s="697"/>
      <c r="C199" s="154" t="s">
        <v>362</v>
      </c>
      <c r="D199" s="373">
        <f t="shared" si="107"/>
        <v>10444.399999999994</v>
      </c>
      <c r="E199" s="148"/>
      <c r="F199" s="148">
        <f>+('Havelvats 7'!I282+'Havelvats 7'!I288+'Havelvats 7'!I293)-83041.6</f>
        <v>10444.399999999994</v>
      </c>
      <c r="G199" s="148"/>
      <c r="H199" s="96"/>
    </row>
    <row r="200" spans="1:8" s="159" customFormat="1">
      <c r="A200" s="697"/>
      <c r="B200" s="697"/>
      <c r="C200" s="380" t="s">
        <v>274</v>
      </c>
      <c r="D200" s="358">
        <f t="shared" si="107"/>
        <v>-40855.100000000006</v>
      </c>
      <c r="E200" s="371">
        <f>+E201</f>
        <v>0</v>
      </c>
      <c r="F200" s="371">
        <f t="shared" ref="F200" si="118">+F201</f>
        <v>-40855.100000000006</v>
      </c>
      <c r="G200" s="371">
        <f t="shared" ref="G200" si="119">+G201</f>
        <v>0</v>
      </c>
      <c r="H200" s="371">
        <f t="shared" ref="H200" si="120">+H201</f>
        <v>0</v>
      </c>
    </row>
    <row r="201" spans="1:8" ht="36">
      <c r="A201" s="698"/>
      <c r="B201" s="698"/>
      <c r="C201" s="154" t="s">
        <v>363</v>
      </c>
      <c r="D201" s="373">
        <f t="shared" si="107"/>
        <v>-40855.100000000006</v>
      </c>
      <c r="E201" s="148"/>
      <c r="F201" s="148">
        <f>+('Havelvats 7'!I283+'Havelvats 7'!I289+'Havelvats 7'!I294)-202642</f>
        <v>-40855.100000000006</v>
      </c>
      <c r="G201" s="148"/>
      <c r="H201" s="96"/>
    </row>
    <row r="202" spans="1:8" s="16" customFormat="1" ht="33.85">
      <c r="A202" s="366">
        <v>1183</v>
      </c>
      <c r="B202" s="366">
        <v>32012</v>
      </c>
      <c r="C202" s="346" t="s">
        <v>383</v>
      </c>
      <c r="D202" s="367">
        <f>SUM(E202:H202)</f>
        <v>-1477455.5</v>
      </c>
      <c r="E202" s="367">
        <v>0</v>
      </c>
      <c r="F202" s="367">
        <v>0</v>
      </c>
      <c r="G202" s="367">
        <v>0</v>
      </c>
      <c r="H202" s="367">
        <v>-1477455.5</v>
      </c>
    </row>
    <row r="203" spans="1:8" s="16" customFormat="1" ht="33.85">
      <c r="A203" s="366">
        <v>1183</v>
      </c>
      <c r="B203" s="366">
        <v>32012</v>
      </c>
      <c r="C203" s="346" t="s">
        <v>383</v>
      </c>
      <c r="D203" s="367">
        <f>SUM(E203:H203)</f>
        <v>1056300</v>
      </c>
      <c r="E203" s="367">
        <f>+E205+E211+E216+E218+E226+E231+E240+E243+E245+E249</f>
        <v>0</v>
      </c>
      <c r="F203" s="367">
        <f t="shared" ref="F203:H203" si="121">+F205+F211+F216+F218+F226+F231+F240+F243+F245+F249</f>
        <v>0</v>
      </c>
      <c r="G203" s="367">
        <f t="shared" si="121"/>
        <v>0</v>
      </c>
      <c r="H203" s="367">
        <f t="shared" si="121"/>
        <v>1056300</v>
      </c>
    </row>
    <row r="204" spans="1:8">
      <c r="A204" s="413"/>
      <c r="B204" s="413"/>
      <c r="C204" s="414" t="s">
        <v>25</v>
      </c>
      <c r="D204" s="413"/>
      <c r="E204" s="413"/>
      <c r="F204" s="413"/>
      <c r="G204" s="413"/>
      <c r="H204" s="413"/>
    </row>
    <row r="205" spans="1:8" s="159" customFormat="1">
      <c r="A205" s="699"/>
      <c r="B205" s="699"/>
      <c r="C205" s="412" t="s">
        <v>178</v>
      </c>
      <c r="D205" s="358">
        <f t="shared" ref="D205:D252" si="122">SUM(E205:H205)</f>
        <v>58250</v>
      </c>
      <c r="E205" s="149">
        <f t="shared" ref="E205:G205" si="123">+E206+E207+E208+E209+E210</f>
        <v>0</v>
      </c>
      <c r="F205" s="149">
        <f t="shared" si="123"/>
        <v>0</v>
      </c>
      <c r="G205" s="149">
        <f t="shared" si="123"/>
        <v>0</v>
      </c>
      <c r="H205" s="149">
        <f t="shared" ref="H205" si="124">+H206+H207+H208+H209+H210</f>
        <v>58250</v>
      </c>
    </row>
    <row r="206" spans="1:8" ht="36">
      <c r="A206" s="697"/>
      <c r="B206" s="697"/>
      <c r="C206" s="411" t="s">
        <v>359</v>
      </c>
      <c r="D206" s="373">
        <f t="shared" si="122"/>
        <v>11650</v>
      </c>
      <c r="E206" s="415"/>
      <c r="F206" s="415"/>
      <c r="G206" s="415"/>
      <c r="H206" s="148">
        <v>11650</v>
      </c>
    </row>
    <row r="207" spans="1:8" ht="36">
      <c r="A207" s="697"/>
      <c r="B207" s="697"/>
      <c r="C207" s="411" t="s">
        <v>339</v>
      </c>
      <c r="D207" s="373">
        <f t="shared" si="122"/>
        <v>11650</v>
      </c>
      <c r="E207" s="415"/>
      <c r="F207" s="415"/>
      <c r="G207" s="415"/>
      <c r="H207" s="148">
        <v>11650</v>
      </c>
    </row>
    <row r="208" spans="1:8" ht="36">
      <c r="A208" s="697"/>
      <c r="B208" s="697"/>
      <c r="C208" s="411" t="s">
        <v>340</v>
      </c>
      <c r="D208" s="373">
        <f t="shared" si="122"/>
        <v>11650</v>
      </c>
      <c r="E208" s="415"/>
      <c r="F208" s="415"/>
      <c r="G208" s="415"/>
      <c r="H208" s="148">
        <v>11650</v>
      </c>
    </row>
    <row r="209" spans="1:8" ht="36">
      <c r="A209" s="697"/>
      <c r="B209" s="697"/>
      <c r="C209" s="411" t="s">
        <v>341</v>
      </c>
      <c r="D209" s="373">
        <f t="shared" si="122"/>
        <v>11650</v>
      </c>
      <c r="E209" s="415"/>
      <c r="F209" s="415"/>
      <c r="G209" s="415"/>
      <c r="H209" s="148">
        <v>11650</v>
      </c>
    </row>
    <row r="210" spans="1:8" ht="36">
      <c r="A210" s="697"/>
      <c r="B210" s="697"/>
      <c r="C210" s="411" t="s">
        <v>342</v>
      </c>
      <c r="D210" s="373">
        <f t="shared" si="122"/>
        <v>11650</v>
      </c>
      <c r="E210" s="415"/>
      <c r="F210" s="415"/>
      <c r="G210" s="415"/>
      <c r="H210" s="148">
        <v>11650</v>
      </c>
    </row>
    <row r="211" spans="1:8" s="159" customFormat="1">
      <c r="A211" s="697"/>
      <c r="B211" s="697"/>
      <c r="C211" s="412" t="s">
        <v>282</v>
      </c>
      <c r="D211" s="358">
        <f t="shared" si="122"/>
        <v>123300</v>
      </c>
      <c r="E211" s="149">
        <f t="shared" ref="E211:G211" si="125">+E212+E213+E214+E215</f>
        <v>0</v>
      </c>
      <c r="F211" s="149">
        <f t="shared" si="125"/>
        <v>0</v>
      </c>
      <c r="G211" s="149">
        <f t="shared" si="125"/>
        <v>0</v>
      </c>
      <c r="H211" s="149">
        <f t="shared" ref="H211" si="126">+H212+H213+H214+H215</f>
        <v>123300</v>
      </c>
    </row>
    <row r="212" spans="1:8">
      <c r="A212" s="697"/>
      <c r="B212" s="697"/>
      <c r="C212" s="411" t="s">
        <v>313</v>
      </c>
      <c r="D212" s="373">
        <f t="shared" si="122"/>
        <v>50000</v>
      </c>
      <c r="E212" s="415"/>
      <c r="F212" s="415"/>
      <c r="G212" s="415"/>
      <c r="H212" s="148">
        <v>50000</v>
      </c>
    </row>
    <row r="213" spans="1:8">
      <c r="A213" s="697"/>
      <c r="B213" s="697"/>
      <c r="C213" s="411" t="s">
        <v>463</v>
      </c>
      <c r="D213" s="373">
        <f t="shared" si="122"/>
        <v>50000</v>
      </c>
      <c r="E213" s="415"/>
      <c r="F213" s="415"/>
      <c r="G213" s="415"/>
      <c r="H213" s="148">
        <v>50000</v>
      </c>
    </row>
    <row r="214" spans="1:8">
      <c r="A214" s="697"/>
      <c r="B214" s="697"/>
      <c r="C214" s="411" t="s">
        <v>343</v>
      </c>
      <c r="D214" s="373">
        <f t="shared" si="122"/>
        <v>11650</v>
      </c>
      <c r="E214" s="415"/>
      <c r="F214" s="415"/>
      <c r="G214" s="415"/>
      <c r="H214" s="148">
        <v>11650</v>
      </c>
    </row>
    <row r="215" spans="1:8">
      <c r="A215" s="697"/>
      <c r="B215" s="697"/>
      <c r="C215" s="411" t="s">
        <v>344</v>
      </c>
      <c r="D215" s="373">
        <f t="shared" si="122"/>
        <v>11650</v>
      </c>
      <c r="E215" s="415"/>
      <c r="F215" s="415"/>
      <c r="G215" s="415"/>
      <c r="H215" s="148">
        <v>11650</v>
      </c>
    </row>
    <row r="216" spans="1:8" s="159" customFormat="1">
      <c r="A216" s="697"/>
      <c r="B216" s="697"/>
      <c r="C216" s="412" t="s">
        <v>176</v>
      </c>
      <c r="D216" s="358">
        <f t="shared" si="122"/>
        <v>50000</v>
      </c>
      <c r="E216" s="149">
        <f t="shared" ref="E216:G216" si="127">+E217</f>
        <v>0</v>
      </c>
      <c r="F216" s="149">
        <f t="shared" si="127"/>
        <v>0</v>
      </c>
      <c r="G216" s="149">
        <f t="shared" si="127"/>
        <v>0</v>
      </c>
      <c r="H216" s="149">
        <f t="shared" ref="H216" si="128">+H217</f>
        <v>50000</v>
      </c>
    </row>
    <row r="217" spans="1:8">
      <c r="A217" s="697"/>
      <c r="B217" s="697"/>
      <c r="C217" s="411" t="s">
        <v>314</v>
      </c>
      <c r="D217" s="373">
        <f t="shared" si="122"/>
        <v>50000</v>
      </c>
      <c r="E217" s="415"/>
      <c r="F217" s="415"/>
      <c r="G217" s="415"/>
      <c r="H217" s="148">
        <v>50000</v>
      </c>
    </row>
    <row r="218" spans="1:8" s="159" customFormat="1">
      <c r="A218" s="697"/>
      <c r="B218" s="697"/>
      <c r="C218" s="412" t="s">
        <v>182</v>
      </c>
      <c r="D218" s="358">
        <f t="shared" si="122"/>
        <v>119900</v>
      </c>
      <c r="E218" s="149">
        <f t="shared" ref="E218:G218" si="129">+E219+E220+E221+E222+E223+E224+E225</f>
        <v>0</v>
      </c>
      <c r="F218" s="149">
        <f t="shared" si="129"/>
        <v>0</v>
      </c>
      <c r="G218" s="149">
        <f t="shared" si="129"/>
        <v>0</v>
      </c>
      <c r="H218" s="149">
        <f t="shared" ref="H218" si="130">+H219+H220+H221+H222+H223+H224+H225</f>
        <v>119900</v>
      </c>
    </row>
    <row r="219" spans="1:8">
      <c r="A219" s="697"/>
      <c r="B219" s="697"/>
      <c r="C219" s="411" t="s">
        <v>315</v>
      </c>
      <c r="D219" s="373">
        <f t="shared" si="122"/>
        <v>50000</v>
      </c>
      <c r="E219" s="415"/>
      <c r="F219" s="415"/>
      <c r="G219" s="415"/>
      <c r="H219" s="148">
        <v>50000</v>
      </c>
    </row>
    <row r="220" spans="1:8">
      <c r="A220" s="697"/>
      <c r="B220" s="697"/>
      <c r="C220" s="411" t="s">
        <v>345</v>
      </c>
      <c r="D220" s="373">
        <f t="shared" si="122"/>
        <v>11650</v>
      </c>
      <c r="E220" s="415"/>
      <c r="F220" s="415"/>
      <c r="G220" s="415"/>
      <c r="H220" s="148">
        <v>11650</v>
      </c>
    </row>
    <row r="221" spans="1:8" ht="36">
      <c r="A221" s="697"/>
      <c r="B221" s="697"/>
      <c r="C221" s="411" t="s">
        <v>346</v>
      </c>
      <c r="D221" s="373">
        <f t="shared" si="122"/>
        <v>11650</v>
      </c>
      <c r="E221" s="415"/>
      <c r="F221" s="415"/>
      <c r="G221" s="415"/>
      <c r="H221" s="148">
        <v>11650</v>
      </c>
    </row>
    <row r="222" spans="1:8" ht="36">
      <c r="A222" s="697"/>
      <c r="B222" s="697"/>
      <c r="C222" s="411" t="s">
        <v>347</v>
      </c>
      <c r="D222" s="373">
        <f t="shared" si="122"/>
        <v>11650</v>
      </c>
      <c r="E222" s="415"/>
      <c r="F222" s="415"/>
      <c r="G222" s="415"/>
      <c r="H222" s="148">
        <v>11650</v>
      </c>
    </row>
    <row r="223" spans="1:8" ht="36">
      <c r="A223" s="697"/>
      <c r="B223" s="697"/>
      <c r="C223" s="411" t="s">
        <v>348</v>
      </c>
      <c r="D223" s="373">
        <f t="shared" si="122"/>
        <v>11650</v>
      </c>
      <c r="E223" s="415"/>
      <c r="F223" s="415"/>
      <c r="G223" s="415"/>
      <c r="H223" s="148">
        <v>11650</v>
      </c>
    </row>
    <row r="224" spans="1:8">
      <c r="A224" s="697"/>
      <c r="B224" s="697"/>
      <c r="C224" s="411" t="s">
        <v>349</v>
      </c>
      <c r="D224" s="373">
        <f t="shared" si="122"/>
        <v>11650</v>
      </c>
      <c r="E224" s="415"/>
      <c r="F224" s="415"/>
      <c r="G224" s="415"/>
      <c r="H224" s="148">
        <v>11650</v>
      </c>
    </row>
    <row r="225" spans="1:8">
      <c r="A225" s="697"/>
      <c r="B225" s="697"/>
      <c r="C225" s="411" t="s">
        <v>360</v>
      </c>
      <c r="D225" s="373">
        <f t="shared" si="122"/>
        <v>11650</v>
      </c>
      <c r="E225" s="415"/>
      <c r="F225" s="415"/>
      <c r="G225" s="415"/>
      <c r="H225" s="148">
        <v>11650</v>
      </c>
    </row>
    <row r="226" spans="1:8" s="159" customFormat="1">
      <c r="A226" s="697"/>
      <c r="B226" s="697"/>
      <c r="C226" s="412" t="s">
        <v>184</v>
      </c>
      <c r="D226" s="358">
        <f t="shared" si="122"/>
        <v>123300</v>
      </c>
      <c r="E226" s="149">
        <f t="shared" ref="E226:G226" si="131">+E227+E228+E229+E230</f>
        <v>0</v>
      </c>
      <c r="F226" s="149">
        <f t="shared" si="131"/>
        <v>0</v>
      </c>
      <c r="G226" s="149">
        <f t="shared" si="131"/>
        <v>0</v>
      </c>
      <c r="H226" s="149">
        <f t="shared" ref="H226" si="132">+H227+H228+H229+H230</f>
        <v>123300</v>
      </c>
    </row>
    <row r="227" spans="1:8" ht="36">
      <c r="A227" s="697"/>
      <c r="B227" s="697"/>
      <c r="C227" s="411" t="s">
        <v>316</v>
      </c>
      <c r="D227" s="373">
        <f t="shared" si="122"/>
        <v>50000</v>
      </c>
      <c r="E227" s="415"/>
      <c r="F227" s="415"/>
      <c r="G227" s="415"/>
      <c r="H227" s="148">
        <v>50000</v>
      </c>
    </row>
    <row r="228" spans="1:8">
      <c r="A228" s="697"/>
      <c r="B228" s="697"/>
      <c r="C228" s="411" t="s">
        <v>317</v>
      </c>
      <c r="D228" s="373">
        <f t="shared" si="122"/>
        <v>50000</v>
      </c>
      <c r="E228" s="415"/>
      <c r="F228" s="415"/>
      <c r="G228" s="415"/>
      <c r="H228" s="148">
        <v>50000</v>
      </c>
    </row>
    <row r="229" spans="1:8" ht="36">
      <c r="A229" s="697"/>
      <c r="B229" s="697"/>
      <c r="C229" s="411" t="s">
        <v>384</v>
      </c>
      <c r="D229" s="373">
        <f t="shared" si="122"/>
        <v>11650</v>
      </c>
      <c r="E229" s="415"/>
      <c r="F229" s="415"/>
      <c r="G229" s="415"/>
      <c r="H229" s="148">
        <v>11650</v>
      </c>
    </row>
    <row r="230" spans="1:8">
      <c r="A230" s="697"/>
      <c r="B230" s="697"/>
      <c r="C230" s="411" t="s">
        <v>350</v>
      </c>
      <c r="D230" s="373">
        <f t="shared" si="122"/>
        <v>11650</v>
      </c>
      <c r="E230" s="415"/>
      <c r="F230" s="415"/>
      <c r="G230" s="415"/>
      <c r="H230" s="148">
        <v>11650</v>
      </c>
    </row>
    <row r="231" spans="1:8" s="159" customFormat="1">
      <c r="A231" s="697"/>
      <c r="B231" s="697"/>
      <c r="C231" s="412" t="s">
        <v>173</v>
      </c>
      <c r="D231" s="358">
        <f t="shared" si="122"/>
        <v>169900</v>
      </c>
      <c r="E231" s="149">
        <f t="shared" ref="E231:G231" si="133">+E232+E233+E234+E235+E236+E237+E238+E239</f>
        <v>0</v>
      </c>
      <c r="F231" s="149">
        <f t="shared" si="133"/>
        <v>0</v>
      </c>
      <c r="G231" s="149">
        <f t="shared" si="133"/>
        <v>0</v>
      </c>
      <c r="H231" s="149">
        <f t="shared" ref="H231" si="134">+H232+H233+H234+H235+H236+H237+H238+H239</f>
        <v>169900</v>
      </c>
    </row>
    <row r="232" spans="1:8">
      <c r="A232" s="697"/>
      <c r="B232" s="697"/>
      <c r="C232" s="411" t="s">
        <v>319</v>
      </c>
      <c r="D232" s="373">
        <f t="shared" si="122"/>
        <v>50000</v>
      </c>
      <c r="E232" s="415"/>
      <c r="F232" s="415"/>
      <c r="G232" s="415"/>
      <c r="H232" s="148">
        <v>50000</v>
      </c>
    </row>
    <row r="233" spans="1:8">
      <c r="A233" s="697"/>
      <c r="B233" s="697"/>
      <c r="C233" s="411" t="s">
        <v>318</v>
      </c>
      <c r="D233" s="373">
        <f t="shared" si="122"/>
        <v>50000</v>
      </c>
      <c r="E233" s="415"/>
      <c r="F233" s="415"/>
      <c r="G233" s="415"/>
      <c r="H233" s="148">
        <v>50000</v>
      </c>
    </row>
    <row r="234" spans="1:8" ht="36">
      <c r="A234" s="697"/>
      <c r="B234" s="697"/>
      <c r="C234" s="411" t="s">
        <v>385</v>
      </c>
      <c r="D234" s="373">
        <f t="shared" si="122"/>
        <v>11650</v>
      </c>
      <c r="E234" s="415"/>
      <c r="F234" s="415"/>
      <c r="G234" s="415"/>
      <c r="H234" s="148">
        <v>11650</v>
      </c>
    </row>
    <row r="235" spans="1:8" ht="36">
      <c r="A235" s="697"/>
      <c r="B235" s="697"/>
      <c r="C235" s="411" t="s">
        <v>352</v>
      </c>
      <c r="D235" s="373">
        <f t="shared" si="122"/>
        <v>11650</v>
      </c>
      <c r="E235" s="415"/>
      <c r="F235" s="415"/>
      <c r="G235" s="415"/>
      <c r="H235" s="148">
        <v>11650</v>
      </c>
    </row>
    <row r="236" spans="1:8" ht="36">
      <c r="A236" s="697"/>
      <c r="B236" s="697"/>
      <c r="C236" s="411" t="s">
        <v>386</v>
      </c>
      <c r="D236" s="373">
        <f t="shared" si="122"/>
        <v>11650</v>
      </c>
      <c r="E236" s="415"/>
      <c r="F236" s="415"/>
      <c r="G236" s="415"/>
      <c r="H236" s="148">
        <v>11650</v>
      </c>
    </row>
    <row r="237" spans="1:8">
      <c r="A237" s="697"/>
      <c r="B237" s="697"/>
      <c r="C237" s="411" t="s">
        <v>353</v>
      </c>
      <c r="D237" s="373">
        <f t="shared" si="122"/>
        <v>11650</v>
      </c>
      <c r="E237" s="415"/>
      <c r="F237" s="415"/>
      <c r="G237" s="415"/>
      <c r="H237" s="148">
        <v>11650</v>
      </c>
    </row>
    <row r="238" spans="1:8">
      <c r="A238" s="697"/>
      <c r="B238" s="697"/>
      <c r="C238" s="411" t="s">
        <v>354</v>
      </c>
      <c r="D238" s="373">
        <f t="shared" si="122"/>
        <v>11650</v>
      </c>
      <c r="E238" s="415"/>
      <c r="F238" s="415"/>
      <c r="G238" s="415"/>
      <c r="H238" s="148">
        <v>11650</v>
      </c>
    </row>
    <row r="239" spans="1:8">
      <c r="A239" s="697"/>
      <c r="B239" s="697"/>
      <c r="C239" s="411" t="s">
        <v>355</v>
      </c>
      <c r="D239" s="373">
        <f t="shared" si="122"/>
        <v>11650</v>
      </c>
      <c r="E239" s="415"/>
      <c r="F239" s="415"/>
      <c r="G239" s="415"/>
      <c r="H239" s="148">
        <v>11650</v>
      </c>
    </row>
    <row r="240" spans="1:8" s="159" customFormat="1">
      <c r="A240" s="697"/>
      <c r="B240" s="697"/>
      <c r="C240" s="412" t="s">
        <v>180</v>
      </c>
      <c r="D240" s="358">
        <f t="shared" si="122"/>
        <v>100000</v>
      </c>
      <c r="E240" s="149">
        <f t="shared" ref="E240:G240" si="135">+E241+E242</f>
        <v>0</v>
      </c>
      <c r="F240" s="149">
        <f t="shared" si="135"/>
        <v>0</v>
      </c>
      <c r="G240" s="149">
        <f t="shared" si="135"/>
        <v>0</v>
      </c>
      <c r="H240" s="149">
        <f t="shared" ref="H240" si="136">+H241+H242</f>
        <v>100000</v>
      </c>
    </row>
    <row r="241" spans="1:8">
      <c r="A241" s="697"/>
      <c r="B241" s="697"/>
      <c r="C241" s="411" t="s">
        <v>320</v>
      </c>
      <c r="D241" s="373">
        <f t="shared" si="122"/>
        <v>50000</v>
      </c>
      <c r="E241" s="415"/>
      <c r="F241" s="415"/>
      <c r="G241" s="415"/>
      <c r="H241" s="148">
        <v>50000</v>
      </c>
    </row>
    <row r="242" spans="1:8">
      <c r="A242" s="697"/>
      <c r="B242" s="697"/>
      <c r="C242" s="411" t="s">
        <v>321</v>
      </c>
      <c r="D242" s="373">
        <f t="shared" si="122"/>
        <v>50000</v>
      </c>
      <c r="E242" s="415"/>
      <c r="F242" s="415"/>
      <c r="G242" s="415"/>
      <c r="H242" s="148">
        <v>50000</v>
      </c>
    </row>
    <row r="243" spans="1:8">
      <c r="A243" s="697"/>
      <c r="B243" s="697"/>
      <c r="C243" s="412" t="s">
        <v>146</v>
      </c>
      <c r="D243" s="473">
        <f t="shared" ref="D243:D244" si="137">SUM(E243:H243)</f>
        <v>50000</v>
      </c>
      <c r="E243" s="149">
        <f t="shared" ref="E243:G243" si="138">+E244</f>
        <v>0</v>
      </c>
      <c r="F243" s="149">
        <f t="shared" si="138"/>
        <v>0</v>
      </c>
      <c r="G243" s="149">
        <f t="shared" si="138"/>
        <v>0</v>
      </c>
      <c r="H243" s="149">
        <f t="shared" ref="H243" si="139">+H244</f>
        <v>50000</v>
      </c>
    </row>
    <row r="244" spans="1:8">
      <c r="A244" s="697"/>
      <c r="B244" s="697"/>
      <c r="C244" s="411" t="s">
        <v>322</v>
      </c>
      <c r="D244" s="474">
        <f t="shared" si="137"/>
        <v>50000</v>
      </c>
      <c r="E244" s="415"/>
      <c r="F244" s="415"/>
      <c r="G244" s="415"/>
      <c r="H244" s="148">
        <v>50000</v>
      </c>
    </row>
    <row r="245" spans="1:8" s="159" customFormat="1">
      <c r="A245" s="697"/>
      <c r="B245" s="697"/>
      <c r="C245" s="412" t="s">
        <v>177</v>
      </c>
      <c r="D245" s="358">
        <f t="shared" si="122"/>
        <v>150000</v>
      </c>
      <c r="E245" s="149">
        <f t="shared" ref="E245:G245" si="140">SUM(E246:E248)</f>
        <v>0</v>
      </c>
      <c r="F245" s="149">
        <f t="shared" si="140"/>
        <v>0</v>
      </c>
      <c r="G245" s="149">
        <f t="shared" si="140"/>
        <v>0</v>
      </c>
      <c r="H245" s="149">
        <f>SUM(H246:H248)</f>
        <v>150000</v>
      </c>
    </row>
    <row r="246" spans="1:8" ht="36">
      <c r="A246" s="697"/>
      <c r="B246" s="697"/>
      <c r="C246" s="411" t="s">
        <v>323</v>
      </c>
      <c r="D246" s="373">
        <f t="shared" si="122"/>
        <v>50000</v>
      </c>
      <c r="E246" s="415"/>
      <c r="F246" s="415"/>
      <c r="G246" s="415"/>
      <c r="H246" s="148">
        <v>50000</v>
      </c>
    </row>
    <row r="247" spans="1:8">
      <c r="A247" s="697"/>
      <c r="B247" s="697"/>
      <c r="C247" s="411" t="s">
        <v>324</v>
      </c>
      <c r="D247" s="373">
        <f t="shared" si="122"/>
        <v>50000</v>
      </c>
      <c r="E247" s="415"/>
      <c r="F247" s="415"/>
      <c r="G247" s="415"/>
      <c r="H247" s="148">
        <v>50000</v>
      </c>
    </row>
    <row r="248" spans="1:8">
      <c r="A248" s="697"/>
      <c r="B248" s="697"/>
      <c r="C248" s="411" t="s">
        <v>325</v>
      </c>
      <c r="D248" s="373">
        <f t="shared" si="122"/>
        <v>50000</v>
      </c>
      <c r="E248" s="415"/>
      <c r="F248" s="415"/>
      <c r="G248" s="415"/>
      <c r="H248" s="148">
        <v>50000</v>
      </c>
    </row>
    <row r="249" spans="1:8" s="159" customFormat="1">
      <c r="A249" s="697"/>
      <c r="B249" s="697"/>
      <c r="C249" s="412" t="s">
        <v>274</v>
      </c>
      <c r="D249" s="358">
        <f t="shared" si="122"/>
        <v>111650</v>
      </c>
      <c r="E249" s="149">
        <f t="shared" ref="E249:G249" si="141">+E250+E251+E252</f>
        <v>0</v>
      </c>
      <c r="F249" s="149">
        <f t="shared" si="141"/>
        <v>0</v>
      </c>
      <c r="G249" s="149">
        <f t="shared" si="141"/>
        <v>0</v>
      </c>
      <c r="H249" s="149">
        <f t="shared" ref="H249" si="142">+H250+H251+H252</f>
        <v>111650</v>
      </c>
    </row>
    <row r="250" spans="1:8">
      <c r="A250" s="697"/>
      <c r="B250" s="697"/>
      <c r="C250" s="411" t="s">
        <v>326</v>
      </c>
      <c r="D250" s="373">
        <f t="shared" si="122"/>
        <v>50000</v>
      </c>
      <c r="E250" s="415"/>
      <c r="F250" s="415"/>
      <c r="G250" s="415"/>
      <c r="H250" s="148">
        <v>50000</v>
      </c>
    </row>
    <row r="251" spans="1:8">
      <c r="A251" s="697"/>
      <c r="B251" s="697"/>
      <c r="C251" s="411" t="s">
        <v>335</v>
      </c>
      <c r="D251" s="373">
        <f t="shared" si="122"/>
        <v>50000</v>
      </c>
      <c r="E251" s="415"/>
      <c r="F251" s="415"/>
      <c r="G251" s="415"/>
      <c r="H251" s="148">
        <v>50000</v>
      </c>
    </row>
    <row r="252" spans="1:8">
      <c r="A252" s="698"/>
      <c r="B252" s="698"/>
      <c r="C252" s="411" t="s">
        <v>387</v>
      </c>
      <c r="D252" s="373">
        <f t="shared" si="122"/>
        <v>11650</v>
      </c>
      <c r="E252" s="415"/>
      <c r="F252" s="415"/>
      <c r="G252" s="415"/>
      <c r="H252" s="148">
        <v>11650</v>
      </c>
    </row>
  </sheetData>
  <mergeCells count="42">
    <mergeCell ref="B17:B23"/>
    <mergeCell ref="A17:A23"/>
    <mergeCell ref="B168:B189"/>
    <mergeCell ref="A168:A189"/>
    <mergeCell ref="A134:A165"/>
    <mergeCell ref="B134:B165"/>
    <mergeCell ref="A63:A92"/>
    <mergeCell ref="B63:B92"/>
    <mergeCell ref="B99:B104"/>
    <mergeCell ref="A99:A104"/>
    <mergeCell ref="A122:A123"/>
    <mergeCell ref="B122:B123"/>
    <mergeCell ref="A118:A119"/>
    <mergeCell ref="B118:B119"/>
    <mergeCell ref="A58:A59"/>
    <mergeCell ref="B58:B59"/>
    <mergeCell ref="F1:H1"/>
    <mergeCell ref="F2:H2"/>
    <mergeCell ref="F3:H3"/>
    <mergeCell ref="B95:B96"/>
    <mergeCell ref="A95:A96"/>
    <mergeCell ref="A5:H6"/>
    <mergeCell ref="A9:B9"/>
    <mergeCell ref="C9:C10"/>
    <mergeCell ref="D9:D10"/>
    <mergeCell ref="E9:H9"/>
    <mergeCell ref="A30:A51"/>
    <mergeCell ref="B30:B51"/>
    <mergeCell ref="B26:B27"/>
    <mergeCell ref="A26:A27"/>
    <mergeCell ref="A54:A55"/>
    <mergeCell ref="B54:B55"/>
    <mergeCell ref="B107:B108"/>
    <mergeCell ref="A107:A108"/>
    <mergeCell ref="A192:A201"/>
    <mergeCell ref="B192:B201"/>
    <mergeCell ref="A205:A252"/>
    <mergeCell ref="B205:B252"/>
    <mergeCell ref="A111:A115"/>
    <mergeCell ref="B111:B115"/>
    <mergeCell ref="B126:B130"/>
    <mergeCell ref="A126:A130"/>
  </mergeCells>
  <pageMargins left="0.7" right="0.7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298"/>
  <sheetViews>
    <sheetView tabSelected="1" topLeftCell="B250" zoomScale="70" zoomScaleNormal="70" workbookViewId="0">
      <selection activeCell="D265" sqref="D265"/>
    </sheetView>
  </sheetViews>
  <sheetFormatPr defaultColWidth="9.09765625" defaultRowHeight="18"/>
  <cols>
    <col min="1" max="1" width="9.09765625" style="159"/>
    <col min="2" max="3" width="9.8984375" style="159" customWidth="1"/>
    <col min="4" max="4" width="54.296875" style="159" customWidth="1"/>
    <col min="5" max="8" width="17.69921875" style="159" customWidth="1"/>
    <col min="9" max="9" width="50.09765625" style="159" customWidth="1"/>
    <col min="10" max="11" width="9.09765625" style="159"/>
    <col min="12" max="12" width="12.296875" style="159" customWidth="1"/>
    <col min="13" max="16384" width="9.09765625" style="159"/>
  </cols>
  <sheetData>
    <row r="1" spans="2:9" s="317" customFormat="1" ht="37.5" customHeight="1">
      <c r="F1" s="723" t="s">
        <v>144</v>
      </c>
      <c r="G1" s="723"/>
      <c r="H1" s="723"/>
    </row>
    <row r="2" spans="2:9" s="317" customFormat="1" ht="17.350000000000001" customHeight="1">
      <c r="D2" s="330"/>
      <c r="E2" s="330"/>
      <c r="F2" s="724" t="s">
        <v>534</v>
      </c>
      <c r="G2" s="724"/>
      <c r="H2" s="724"/>
    </row>
    <row r="3" spans="2:9" s="317" customFormat="1" ht="17.350000000000001" customHeight="1">
      <c r="D3" s="330"/>
      <c r="E3" s="330"/>
      <c r="F3" s="724" t="s">
        <v>141</v>
      </c>
      <c r="G3" s="724"/>
      <c r="H3" s="724"/>
    </row>
    <row r="4" spans="2:9" ht="13.5" customHeight="1">
      <c r="D4" s="160"/>
      <c r="E4" s="160"/>
      <c r="F4" s="160"/>
      <c r="G4" s="160"/>
      <c r="H4" s="160"/>
    </row>
    <row r="5" spans="2:9" ht="85.5" customHeight="1">
      <c r="B5" s="725" t="s">
        <v>528</v>
      </c>
      <c r="C5" s="725"/>
      <c r="D5" s="725"/>
      <c r="E5" s="725"/>
      <c r="F5" s="725"/>
      <c r="G5" s="725"/>
      <c r="H5" s="725"/>
    </row>
    <row r="6" spans="2:9">
      <c r="E6" s="476"/>
      <c r="F6" s="476"/>
      <c r="G6" s="476"/>
      <c r="H6" s="476"/>
    </row>
    <row r="7" spans="2:9">
      <c r="E7" s="486"/>
      <c r="F7" s="486"/>
      <c r="G7" s="486"/>
      <c r="H7" s="486"/>
    </row>
    <row r="8" spans="2:9">
      <c r="E8" s="421"/>
      <c r="G8" s="485"/>
      <c r="H8" s="307" t="s">
        <v>32</v>
      </c>
    </row>
    <row r="9" spans="2:9" ht="44.75" customHeight="1">
      <c r="B9" s="705" t="s">
        <v>85</v>
      </c>
      <c r="C9" s="706"/>
      <c r="D9" s="707" t="s">
        <v>86</v>
      </c>
      <c r="E9" s="732" t="s">
        <v>252</v>
      </c>
      <c r="F9" s="733"/>
      <c r="G9" s="733"/>
      <c r="H9" s="734"/>
    </row>
    <row r="10" spans="2:9" ht="23.75" customHeight="1">
      <c r="B10" s="728" t="s">
        <v>90</v>
      </c>
      <c r="C10" s="727" t="s">
        <v>91</v>
      </c>
      <c r="D10" s="726"/>
      <c r="E10" s="730" t="s">
        <v>251</v>
      </c>
      <c r="F10" s="730" t="s">
        <v>87</v>
      </c>
      <c r="G10" s="730" t="s">
        <v>88</v>
      </c>
      <c r="H10" s="730" t="s">
        <v>89</v>
      </c>
    </row>
    <row r="11" spans="2:9" ht="59.75" customHeight="1">
      <c r="B11" s="729"/>
      <c r="C11" s="727"/>
      <c r="D11" s="708"/>
      <c r="E11" s="731"/>
      <c r="F11" s="731"/>
      <c r="G11" s="731"/>
      <c r="H11" s="731"/>
    </row>
    <row r="12" spans="2:9" ht="33.85">
      <c r="B12" s="5"/>
      <c r="C12" s="5"/>
      <c r="D12" s="2" t="s">
        <v>96</v>
      </c>
      <c r="E12" s="13">
        <f>+E14+E25+E31+E57+E63+E69+E72+E106+E112+E125+E131+E143+E149+E155+E164+E167+E203+E229+E243+E247</f>
        <v>12054.29999999993</v>
      </c>
      <c r="F12" s="13">
        <f t="shared" ref="F12:H12" si="0">+F14+F25+F31+F57+F63+F69+F72+F106+F112+F125+F131+F143+F149+F155+F164+F167+F203+F229+F243+F247</f>
        <v>213948.30000000028</v>
      </c>
      <c r="G12" s="13">
        <f t="shared" si="0"/>
        <v>383930.29999999824</v>
      </c>
      <c r="H12" s="13">
        <f t="shared" si="0"/>
        <v>223848.29999999946</v>
      </c>
      <c r="I12" s="161"/>
    </row>
    <row r="13" spans="2:9">
      <c r="B13" s="5"/>
      <c r="C13" s="5"/>
      <c r="D13" s="162" t="s">
        <v>97</v>
      </c>
      <c r="E13" s="30"/>
      <c r="F13" s="30"/>
      <c r="G13" s="30"/>
      <c r="H13" s="30"/>
    </row>
    <row r="14" spans="2:9" ht="84.55">
      <c r="B14" s="3">
        <v>1045</v>
      </c>
      <c r="C14" s="3">
        <v>32001</v>
      </c>
      <c r="D14" s="4" t="s">
        <v>172</v>
      </c>
      <c r="E14" s="13">
        <f>+E16</f>
        <v>-4953.9000000000015</v>
      </c>
      <c r="F14" s="163">
        <f t="shared" ref="F14:H14" si="1">+F16</f>
        <v>44565.39999999998</v>
      </c>
      <c r="G14" s="163">
        <f t="shared" si="1"/>
        <v>114833.90000000002</v>
      </c>
      <c r="H14" s="13">
        <f t="shared" si="1"/>
        <v>35091.999999999884</v>
      </c>
    </row>
    <row r="15" spans="2:9">
      <c r="B15" s="3"/>
      <c r="C15" s="3"/>
      <c r="D15" s="164" t="s">
        <v>92</v>
      </c>
      <c r="E15" s="165"/>
      <c r="F15" s="165"/>
      <c r="G15" s="166"/>
      <c r="H15" s="10"/>
    </row>
    <row r="16" spans="2:9">
      <c r="B16" s="719"/>
      <c r="C16" s="719"/>
      <c r="D16" s="167" t="s">
        <v>110</v>
      </c>
      <c r="E16" s="332">
        <f>+E18+E21+E23</f>
        <v>-4953.9000000000015</v>
      </c>
      <c r="F16" s="168">
        <f t="shared" ref="F16:H16" si="2">+F18+F21+F23</f>
        <v>44565.39999999998</v>
      </c>
      <c r="G16" s="168">
        <f t="shared" si="2"/>
        <v>114833.90000000002</v>
      </c>
      <c r="H16" s="332">
        <f t="shared" si="2"/>
        <v>35091.999999999884</v>
      </c>
    </row>
    <row r="17" spans="2:9" ht="16.8" customHeight="1">
      <c r="B17" s="717"/>
      <c r="C17" s="717"/>
      <c r="D17" s="164" t="s">
        <v>148</v>
      </c>
      <c r="E17" s="166"/>
      <c r="F17" s="166"/>
      <c r="G17" s="166"/>
      <c r="H17" s="532"/>
    </row>
    <row r="18" spans="2:9">
      <c r="B18" s="717"/>
      <c r="C18" s="717"/>
      <c r="D18" s="26" t="s">
        <v>173</v>
      </c>
      <c r="E18" s="169">
        <f>+E19+E20</f>
        <v>33402.199999999997</v>
      </c>
      <c r="F18" s="169">
        <f>+F19+F20</f>
        <v>103402.2</v>
      </c>
      <c r="G18" s="169">
        <f t="shared" ref="G18:H18" si="3">+G19+G20</f>
        <v>216075.5</v>
      </c>
      <c r="H18" s="533">
        <f t="shared" si="3"/>
        <v>216075.5</v>
      </c>
    </row>
    <row r="19" spans="2:9" ht="54">
      <c r="B19" s="717"/>
      <c r="C19" s="717"/>
      <c r="D19" s="146" t="s">
        <v>465</v>
      </c>
      <c r="E19" s="170">
        <f>+'Havelvats 3'!D18</f>
        <v>33402.199999999997</v>
      </c>
      <c r="F19" s="170">
        <f>+'Havelvats 3'!D18</f>
        <v>33402.199999999997</v>
      </c>
      <c r="G19" s="170">
        <f>+'Havelvats 3'!D18</f>
        <v>33402.199999999997</v>
      </c>
      <c r="H19" s="534">
        <f>+'Havelvats 3'!D18</f>
        <v>33402.199999999997</v>
      </c>
      <c r="I19" s="462"/>
    </row>
    <row r="20" spans="2:9" ht="36">
      <c r="B20" s="717"/>
      <c r="C20" s="717"/>
      <c r="D20" s="146" t="s">
        <v>245</v>
      </c>
      <c r="E20" s="170">
        <v>0</v>
      </c>
      <c r="F20" s="170">
        <v>70000</v>
      </c>
      <c r="G20" s="170">
        <f>+'Havelvats 3'!D19</f>
        <v>182673.30000000002</v>
      </c>
      <c r="H20" s="534">
        <f>+'Havelvats 3'!D19</f>
        <v>182673.30000000002</v>
      </c>
    </row>
    <row r="21" spans="2:9">
      <c r="B21" s="717"/>
      <c r="C21" s="717"/>
      <c r="D21" s="26" t="s">
        <v>180</v>
      </c>
      <c r="E21" s="169">
        <f>+E22</f>
        <v>-21655</v>
      </c>
      <c r="F21" s="169">
        <f>+F22</f>
        <v>-2135.7000000000116</v>
      </c>
      <c r="G21" s="169">
        <f t="shared" ref="G21:H21" si="4">+G22</f>
        <v>12065.900000000023</v>
      </c>
      <c r="H21" s="533">
        <f t="shared" si="4"/>
        <v>36846.399999999907</v>
      </c>
    </row>
    <row r="22" spans="2:9" ht="35.049999999999997" customHeight="1">
      <c r="B22" s="717"/>
      <c r="C22" s="717"/>
      <c r="D22" s="150" t="s">
        <v>179</v>
      </c>
      <c r="E22" s="170">
        <f>67858.6-89513.6</f>
        <v>-21655</v>
      </c>
      <c r="F22" s="170">
        <f>204999.4-207135.1</f>
        <v>-2135.7000000000116</v>
      </c>
      <c r="G22" s="170">
        <f>451661.5-439595.6</f>
        <v>12065.900000000023</v>
      </c>
      <c r="H22" s="534">
        <f>+'Havelvats 3'!D21</f>
        <v>36846.399999999907</v>
      </c>
    </row>
    <row r="23" spans="2:9">
      <c r="B23" s="717"/>
      <c r="C23" s="717"/>
      <c r="D23" s="26" t="s">
        <v>177</v>
      </c>
      <c r="E23" s="169">
        <f>+E24</f>
        <v>-16701.099999999999</v>
      </c>
      <c r="F23" s="169">
        <f t="shared" ref="F23:H23" si="5">+F24</f>
        <v>-56701.100000000006</v>
      </c>
      <c r="G23" s="169">
        <f t="shared" si="5"/>
        <v>-113307.5</v>
      </c>
      <c r="H23" s="533">
        <f t="shared" si="5"/>
        <v>-217829.90000000002</v>
      </c>
    </row>
    <row r="24" spans="2:9" ht="36">
      <c r="B24" s="718"/>
      <c r="C24" s="718"/>
      <c r="D24" s="325" t="s">
        <v>250</v>
      </c>
      <c r="E24" s="170">
        <f>23298.9-40000</f>
        <v>-16701.099999999999</v>
      </c>
      <c r="F24" s="170">
        <f>103298.9-160000</f>
        <v>-56701.100000000006</v>
      </c>
      <c r="G24" s="170">
        <f>261692.5-375000</f>
        <v>-113307.5</v>
      </c>
      <c r="H24" s="534">
        <f>+'Havelvats 3'!D23</f>
        <v>-217829.90000000002</v>
      </c>
    </row>
    <row r="25" spans="2:9" ht="84.55">
      <c r="B25" s="3">
        <v>1045</v>
      </c>
      <c r="C25" s="3">
        <v>32004</v>
      </c>
      <c r="D25" s="346" t="s">
        <v>276</v>
      </c>
      <c r="E25" s="163">
        <f>+E27</f>
        <v>0</v>
      </c>
      <c r="F25" s="163">
        <f t="shared" ref="F25:H25" si="6">+F27</f>
        <v>0</v>
      </c>
      <c r="G25" s="163">
        <f t="shared" si="6"/>
        <v>121155.5</v>
      </c>
      <c r="H25" s="13">
        <f t="shared" si="6"/>
        <v>121155.5</v>
      </c>
      <c r="I25" s="425"/>
    </row>
    <row r="26" spans="2:9">
      <c r="B26" s="3"/>
      <c r="C26" s="3"/>
      <c r="D26" s="164" t="s">
        <v>92</v>
      </c>
      <c r="E26" s="165"/>
      <c r="F26" s="165"/>
      <c r="G26" s="166"/>
      <c r="H26" s="10"/>
    </row>
    <row r="27" spans="2:9" ht="33.85">
      <c r="B27" s="719"/>
      <c r="C27" s="719"/>
      <c r="D27" s="167" t="s">
        <v>59</v>
      </c>
      <c r="E27" s="168">
        <f>+E29</f>
        <v>0</v>
      </c>
      <c r="F27" s="168">
        <f t="shared" ref="F27:H27" si="7">+F29</f>
        <v>0</v>
      </c>
      <c r="G27" s="168">
        <f t="shared" si="7"/>
        <v>121155.5</v>
      </c>
      <c r="H27" s="168">
        <f t="shared" si="7"/>
        <v>121155.5</v>
      </c>
    </row>
    <row r="28" spans="2:9">
      <c r="B28" s="717"/>
      <c r="C28" s="717"/>
      <c r="D28" s="164" t="s">
        <v>148</v>
      </c>
      <c r="E28" s="166"/>
      <c r="F28" s="166"/>
      <c r="G28" s="166"/>
      <c r="H28" s="166"/>
    </row>
    <row r="29" spans="2:9">
      <c r="B29" s="717"/>
      <c r="C29" s="717"/>
      <c r="D29" s="26" t="s">
        <v>173</v>
      </c>
      <c r="E29" s="169">
        <f>+E30</f>
        <v>0</v>
      </c>
      <c r="F29" s="169">
        <f t="shared" ref="F29:H29" si="8">+F30</f>
        <v>0</v>
      </c>
      <c r="G29" s="169">
        <f t="shared" si="8"/>
        <v>121155.5</v>
      </c>
      <c r="H29" s="169">
        <f t="shared" si="8"/>
        <v>121155.5</v>
      </c>
    </row>
    <row r="30" spans="2:9" ht="36">
      <c r="B30" s="718"/>
      <c r="C30" s="718"/>
      <c r="D30" s="146" t="s">
        <v>464</v>
      </c>
      <c r="E30" s="170">
        <v>0</v>
      </c>
      <c r="F30" s="170">
        <v>0</v>
      </c>
      <c r="G30" s="170">
        <f>+'Havelvats 3'!D27</f>
        <v>121155.5</v>
      </c>
      <c r="H30" s="170">
        <f>+'Havelvats 3'!D27</f>
        <v>121155.5</v>
      </c>
    </row>
    <row r="31" spans="2:9" ht="33.85">
      <c r="B31" s="25">
        <v>1075</v>
      </c>
      <c r="C31" s="25">
        <v>21001</v>
      </c>
      <c r="D31" s="4" t="s">
        <v>260</v>
      </c>
      <c r="E31" s="163">
        <f>+E33+E47</f>
        <v>0</v>
      </c>
      <c r="F31" s="163">
        <f t="shared" ref="F31:H31" si="9">+F33+F47</f>
        <v>0</v>
      </c>
      <c r="G31" s="163">
        <f t="shared" si="9"/>
        <v>0</v>
      </c>
      <c r="H31" s="163">
        <f t="shared" si="9"/>
        <v>0</v>
      </c>
    </row>
    <row r="32" spans="2:9">
      <c r="B32" s="3"/>
      <c r="C32" s="3"/>
      <c r="D32" s="164" t="s">
        <v>92</v>
      </c>
      <c r="E32" s="165"/>
      <c r="F32" s="165"/>
      <c r="G32" s="166"/>
      <c r="H32" s="10"/>
    </row>
    <row r="33" spans="2:8" ht="33.85">
      <c r="B33" s="719"/>
      <c r="C33" s="719"/>
      <c r="D33" s="167" t="s">
        <v>59</v>
      </c>
      <c r="E33" s="332"/>
      <c r="F33" s="332">
        <f>+F35</f>
        <v>-5091.5999999999995</v>
      </c>
      <c r="G33" s="332">
        <f t="shared" ref="G33:H33" si="10">+G35</f>
        <v>-12338.100000000002</v>
      </c>
      <c r="H33" s="332">
        <f t="shared" si="10"/>
        <v>-17264</v>
      </c>
    </row>
    <row r="34" spans="2:8">
      <c r="B34" s="717"/>
      <c r="C34" s="717"/>
      <c r="D34" s="164" t="s">
        <v>148</v>
      </c>
      <c r="E34" s="166"/>
      <c r="F34" s="166"/>
      <c r="G34" s="166"/>
      <c r="H34" s="10"/>
    </row>
    <row r="35" spans="2:8">
      <c r="B35" s="717"/>
      <c r="C35" s="717"/>
      <c r="D35" s="348" t="s">
        <v>261</v>
      </c>
      <c r="E35" s="351">
        <f>+E37+E39+E42+E44</f>
        <v>0</v>
      </c>
      <c r="F35" s="351">
        <f t="shared" ref="F35:H35" si="11">+F37+F39+F42+F44</f>
        <v>-5091.5999999999995</v>
      </c>
      <c r="G35" s="351">
        <f t="shared" si="11"/>
        <v>-12338.100000000002</v>
      </c>
      <c r="H35" s="351">
        <f t="shared" si="11"/>
        <v>-17264</v>
      </c>
    </row>
    <row r="36" spans="2:8">
      <c r="B36" s="717"/>
      <c r="C36" s="717"/>
      <c r="D36" s="350" t="s">
        <v>262</v>
      </c>
      <c r="E36" s="349"/>
      <c r="F36" s="349"/>
      <c r="G36" s="349"/>
      <c r="H36" s="349"/>
    </row>
    <row r="37" spans="2:8">
      <c r="B37" s="717"/>
      <c r="C37" s="717"/>
      <c r="D37" s="26" t="s">
        <v>182</v>
      </c>
      <c r="E37" s="349">
        <f>+E38</f>
        <v>0</v>
      </c>
      <c r="F37" s="349">
        <f t="shared" ref="F37:H37" si="12">+F38</f>
        <v>-3880</v>
      </c>
      <c r="G37" s="349">
        <f t="shared" si="12"/>
        <v>-12636</v>
      </c>
      <c r="H37" s="349">
        <f t="shared" si="12"/>
        <v>-18000</v>
      </c>
    </row>
    <row r="38" spans="2:8" ht="36">
      <c r="B38" s="717"/>
      <c r="C38" s="717"/>
      <c r="D38" s="325" t="s">
        <v>263</v>
      </c>
      <c r="E38" s="170">
        <v>0</v>
      </c>
      <c r="F38" s="170">
        <v>-3880</v>
      </c>
      <c r="G38" s="170">
        <v>-12636</v>
      </c>
      <c r="H38" s="170">
        <f>+'Havelvats 3'!D33</f>
        <v>-18000</v>
      </c>
    </row>
    <row r="39" spans="2:8">
      <c r="B39" s="717"/>
      <c r="C39" s="717"/>
      <c r="D39" s="26" t="s">
        <v>173</v>
      </c>
      <c r="E39" s="349">
        <f>+E40+E41</f>
        <v>0</v>
      </c>
      <c r="F39" s="349">
        <f t="shared" ref="F39:H39" si="13">+F40+F41</f>
        <v>1653.6000000000004</v>
      </c>
      <c r="G39" s="349">
        <f t="shared" si="13"/>
        <v>8002.9</v>
      </c>
      <c r="H39" s="349">
        <f t="shared" si="13"/>
        <v>11612.2</v>
      </c>
    </row>
    <row r="40" spans="2:8" ht="54">
      <c r="B40" s="717"/>
      <c r="C40" s="717"/>
      <c r="D40" s="325" t="s">
        <v>264</v>
      </c>
      <c r="E40" s="170">
        <v>0</v>
      </c>
      <c r="F40" s="170">
        <f>6820.1-6484.5</f>
        <v>335.60000000000036</v>
      </c>
      <c r="G40" s="170">
        <f>23870-21150</f>
        <v>2720</v>
      </c>
      <c r="H40" s="170">
        <f>+'Havelvats 3'!D35</f>
        <v>3972.3000000000029</v>
      </c>
    </row>
    <row r="41" spans="2:8" ht="36">
      <c r="B41" s="717"/>
      <c r="C41" s="717"/>
      <c r="D41" s="152" t="s">
        <v>265</v>
      </c>
      <c r="E41" s="170">
        <v>0</v>
      </c>
      <c r="F41" s="170">
        <f>4328-3010</f>
        <v>1318</v>
      </c>
      <c r="G41" s="170">
        <f>15147.9-9865</f>
        <v>5282.9</v>
      </c>
      <c r="H41" s="170">
        <f>+'Havelvats 3'!D36</f>
        <v>7639.8999999999978</v>
      </c>
    </row>
    <row r="42" spans="2:8">
      <c r="B42" s="717"/>
      <c r="C42" s="717"/>
      <c r="D42" s="26" t="s">
        <v>177</v>
      </c>
      <c r="E42" s="349">
        <f>+E43</f>
        <v>0</v>
      </c>
      <c r="F42" s="349">
        <f t="shared" ref="F42:H42" si="14">+F43</f>
        <v>-2795</v>
      </c>
      <c r="G42" s="349">
        <f t="shared" si="14"/>
        <v>-9126</v>
      </c>
      <c r="H42" s="349">
        <f t="shared" si="14"/>
        <v>-13000</v>
      </c>
    </row>
    <row r="43" spans="2:8">
      <c r="B43" s="717"/>
      <c r="C43" s="717"/>
      <c r="D43" s="325" t="s">
        <v>266</v>
      </c>
      <c r="E43" s="170">
        <v>0</v>
      </c>
      <c r="F43" s="170">
        <v>-2795</v>
      </c>
      <c r="G43" s="170">
        <v>-9126</v>
      </c>
      <c r="H43" s="170">
        <f>+'Havelvats 3'!D38</f>
        <v>-13000</v>
      </c>
    </row>
    <row r="44" spans="2:8">
      <c r="B44" s="717"/>
      <c r="C44" s="717"/>
      <c r="D44" s="26" t="s">
        <v>175</v>
      </c>
      <c r="E44" s="349">
        <f>+E45+E46</f>
        <v>0</v>
      </c>
      <c r="F44" s="349">
        <f t="shared" ref="F44:H44" si="15">+F45+F46</f>
        <v>-70.199999999999818</v>
      </c>
      <c r="G44" s="349">
        <f t="shared" si="15"/>
        <v>1420.9999999999982</v>
      </c>
      <c r="H44" s="349">
        <f t="shared" si="15"/>
        <v>2123.7999999999993</v>
      </c>
    </row>
    <row r="45" spans="2:8" ht="36">
      <c r="B45" s="717"/>
      <c r="C45" s="717"/>
      <c r="D45" s="325" t="s">
        <v>267</v>
      </c>
      <c r="E45" s="170">
        <v>0</v>
      </c>
      <c r="F45" s="170">
        <f>1477.4-3225.4</f>
        <v>-1748</v>
      </c>
      <c r="G45" s="170">
        <f>5170.9-10531</f>
        <v>-5360.1</v>
      </c>
      <c r="H45" s="170">
        <f>+'Havelvats 3'!D40</f>
        <v>-7615</v>
      </c>
    </row>
    <row r="46" spans="2:8" ht="54">
      <c r="B46" s="717"/>
      <c r="C46" s="717"/>
      <c r="D46" s="325" t="s">
        <v>268</v>
      </c>
      <c r="E46" s="170">
        <v>0</v>
      </c>
      <c r="F46" s="170">
        <f>5547.8-3870</f>
        <v>1677.8000000000002</v>
      </c>
      <c r="G46" s="170">
        <f>19417.1-12636</f>
        <v>6781.0999999999985</v>
      </c>
      <c r="H46" s="170">
        <f>+'Havelvats 3'!D41</f>
        <v>9738.7999999999993</v>
      </c>
    </row>
    <row r="47" spans="2:8" ht="67.650000000000006">
      <c r="B47" s="717"/>
      <c r="C47" s="717"/>
      <c r="D47" s="344" t="s">
        <v>269</v>
      </c>
      <c r="E47" s="352">
        <f>+E49+E51+E53+E55</f>
        <v>0</v>
      </c>
      <c r="F47" s="352">
        <f t="shared" ref="F47:H47" si="16">+F49+F51+F53+F55</f>
        <v>5091.6000000000004</v>
      </c>
      <c r="G47" s="352">
        <f t="shared" si="16"/>
        <v>12338.1</v>
      </c>
      <c r="H47" s="352">
        <f t="shared" si="16"/>
        <v>17264</v>
      </c>
    </row>
    <row r="48" spans="2:8">
      <c r="B48" s="717"/>
      <c r="C48" s="717"/>
      <c r="D48" s="350" t="s">
        <v>262</v>
      </c>
      <c r="E48" s="349"/>
      <c r="F48" s="349"/>
      <c r="G48" s="349"/>
      <c r="H48" s="349"/>
    </row>
    <row r="49" spans="2:8">
      <c r="B49" s="717"/>
      <c r="C49" s="717"/>
      <c r="D49" s="26" t="s">
        <v>270</v>
      </c>
      <c r="E49" s="349">
        <f>+E50</f>
        <v>0</v>
      </c>
      <c r="F49" s="349">
        <f t="shared" ref="F49:H49" si="17">+F50</f>
        <v>1225</v>
      </c>
      <c r="G49" s="349">
        <f t="shared" si="17"/>
        <v>1225</v>
      </c>
      <c r="H49" s="349">
        <f t="shared" si="17"/>
        <v>1225</v>
      </c>
    </row>
    <row r="50" spans="2:8" ht="54">
      <c r="B50" s="717"/>
      <c r="C50" s="717"/>
      <c r="D50" s="325" t="s">
        <v>271</v>
      </c>
      <c r="E50" s="170">
        <v>0</v>
      </c>
      <c r="F50" s="170">
        <v>1225</v>
      </c>
      <c r="G50" s="170">
        <v>1225</v>
      </c>
      <c r="H50" s="170">
        <f>+'Havelvats 3'!D45</f>
        <v>1225</v>
      </c>
    </row>
    <row r="51" spans="2:8">
      <c r="B51" s="717"/>
      <c r="C51" s="717"/>
      <c r="D51" s="26" t="s">
        <v>173</v>
      </c>
      <c r="E51" s="349">
        <f>+E52</f>
        <v>0</v>
      </c>
      <c r="F51" s="349">
        <f t="shared" ref="F51:H51" si="18">+F52</f>
        <v>2592.6</v>
      </c>
      <c r="G51" s="349">
        <f t="shared" si="18"/>
        <v>9074.1</v>
      </c>
      <c r="H51" s="349">
        <f t="shared" si="18"/>
        <v>14000</v>
      </c>
    </row>
    <row r="52" spans="2:8" ht="72">
      <c r="B52" s="717"/>
      <c r="C52" s="717"/>
      <c r="D52" s="325" t="s">
        <v>272</v>
      </c>
      <c r="E52" s="170">
        <v>0</v>
      </c>
      <c r="F52" s="170">
        <v>2592.6</v>
      </c>
      <c r="G52" s="170">
        <v>9074.1</v>
      </c>
      <c r="H52" s="170">
        <f>+'Havelvats 3'!D47</f>
        <v>14000</v>
      </c>
    </row>
    <row r="53" spans="2:8">
      <c r="B53" s="717"/>
      <c r="C53" s="717"/>
      <c r="D53" s="26" t="s">
        <v>146</v>
      </c>
      <c r="E53" s="349">
        <f>+E54</f>
        <v>0</v>
      </c>
      <c r="F53" s="349">
        <f t="shared" ref="F53:H53" si="19">+F54</f>
        <v>0</v>
      </c>
      <c r="G53" s="349">
        <f t="shared" si="19"/>
        <v>765</v>
      </c>
      <c r="H53" s="349">
        <f t="shared" si="19"/>
        <v>765</v>
      </c>
    </row>
    <row r="54" spans="2:8" ht="52.5" customHeight="1">
      <c r="B54" s="717"/>
      <c r="C54" s="717"/>
      <c r="D54" s="325" t="s">
        <v>273</v>
      </c>
      <c r="E54" s="170">
        <v>0</v>
      </c>
      <c r="F54" s="170">
        <v>0</v>
      </c>
      <c r="G54" s="170">
        <v>765</v>
      </c>
      <c r="H54" s="170">
        <f>+'Havelvats 3'!D49</f>
        <v>765</v>
      </c>
    </row>
    <row r="55" spans="2:8">
      <c r="B55" s="717"/>
      <c r="C55" s="717"/>
      <c r="D55" s="26" t="s">
        <v>274</v>
      </c>
      <c r="E55" s="349">
        <f>+E56</f>
        <v>0</v>
      </c>
      <c r="F55" s="349">
        <f t="shared" ref="F55" si="20">+F56</f>
        <v>1274</v>
      </c>
      <c r="G55" s="349">
        <f t="shared" ref="G55" si="21">+G56</f>
        <v>1274</v>
      </c>
      <c r="H55" s="349">
        <f t="shared" ref="H55" si="22">+H56</f>
        <v>1274</v>
      </c>
    </row>
    <row r="56" spans="2:8" ht="54">
      <c r="B56" s="718"/>
      <c r="C56" s="718"/>
      <c r="D56" s="325" t="s">
        <v>275</v>
      </c>
      <c r="E56" s="170">
        <v>0</v>
      </c>
      <c r="F56" s="170">
        <v>1274</v>
      </c>
      <c r="G56" s="170">
        <v>1274</v>
      </c>
      <c r="H56" s="170">
        <f>+'Havelvats 3'!D51</f>
        <v>1274</v>
      </c>
    </row>
    <row r="57" spans="2:8" ht="33.85">
      <c r="B57" s="3">
        <v>1075</v>
      </c>
      <c r="C57" s="3">
        <v>32001</v>
      </c>
      <c r="D57" s="4" t="s">
        <v>484</v>
      </c>
      <c r="E57" s="171">
        <f>+E59</f>
        <v>12054.3</v>
      </c>
      <c r="F57" s="171">
        <f>+F59</f>
        <v>36163</v>
      </c>
      <c r="G57" s="171">
        <f t="shared" ref="G57:H57" si="23">+G59</f>
        <v>60271.7</v>
      </c>
      <c r="H57" s="13">
        <f t="shared" si="23"/>
        <v>80362.3</v>
      </c>
    </row>
    <row r="58" spans="2:8">
      <c r="B58" s="3"/>
      <c r="C58" s="3"/>
      <c r="D58" s="164" t="s">
        <v>92</v>
      </c>
      <c r="E58" s="165"/>
      <c r="F58" s="165"/>
      <c r="G58" s="166"/>
      <c r="H58" s="10"/>
    </row>
    <row r="59" spans="2:8" ht="33.85">
      <c r="B59" s="719"/>
      <c r="C59" s="719"/>
      <c r="D59" s="167" t="s">
        <v>59</v>
      </c>
      <c r="E59" s="168">
        <f>+E61</f>
        <v>12054.3</v>
      </c>
      <c r="F59" s="168">
        <f>+F61</f>
        <v>36163</v>
      </c>
      <c r="G59" s="168">
        <f t="shared" ref="G59:H59" si="24">+G61</f>
        <v>60271.7</v>
      </c>
      <c r="H59" s="332">
        <f t="shared" si="24"/>
        <v>80362.3</v>
      </c>
    </row>
    <row r="60" spans="2:8">
      <c r="B60" s="717"/>
      <c r="C60" s="717"/>
      <c r="D60" s="164" t="s">
        <v>148</v>
      </c>
      <c r="E60" s="166"/>
      <c r="F60" s="166"/>
      <c r="G60" s="166"/>
      <c r="H60" s="10"/>
    </row>
    <row r="61" spans="2:8">
      <c r="B61" s="717"/>
      <c r="C61" s="717"/>
      <c r="D61" s="14" t="s">
        <v>178</v>
      </c>
      <c r="E61" s="169">
        <f>+E62</f>
        <v>12054.3</v>
      </c>
      <c r="F61" s="169">
        <f>+F62</f>
        <v>36163</v>
      </c>
      <c r="G61" s="169">
        <f t="shared" ref="G61:H61" si="25">+G62</f>
        <v>60271.7</v>
      </c>
      <c r="H61" s="169">
        <f t="shared" si="25"/>
        <v>80362.3</v>
      </c>
    </row>
    <row r="62" spans="2:8">
      <c r="B62" s="718"/>
      <c r="C62" s="718"/>
      <c r="D62" s="153" t="s">
        <v>485</v>
      </c>
      <c r="E62" s="495">
        <v>12054.3</v>
      </c>
      <c r="F62" s="495">
        <v>36163</v>
      </c>
      <c r="G62" s="495">
        <v>60271.7</v>
      </c>
      <c r="H62" s="495">
        <f>+'Havelvats 3'!D55</f>
        <v>80362.3</v>
      </c>
    </row>
    <row r="63" spans="2:8" ht="52.5" customHeight="1">
      <c r="B63" s="3">
        <v>1111</v>
      </c>
      <c r="C63" s="3">
        <v>32001</v>
      </c>
      <c r="D63" s="4" t="s">
        <v>277</v>
      </c>
      <c r="E63" s="171">
        <f>+E65</f>
        <v>0</v>
      </c>
      <c r="F63" s="171">
        <f>+F65</f>
        <v>0</v>
      </c>
      <c r="G63" s="171">
        <f t="shared" ref="G63:H63" si="26">+G65</f>
        <v>0</v>
      </c>
      <c r="H63" s="13">
        <f t="shared" si="26"/>
        <v>-126342.90000000001</v>
      </c>
    </row>
    <row r="64" spans="2:8">
      <c r="B64" s="3"/>
      <c r="C64" s="3"/>
      <c r="D64" s="164" t="s">
        <v>92</v>
      </c>
      <c r="E64" s="165"/>
      <c r="F64" s="165"/>
      <c r="G64" s="166"/>
      <c r="H64" s="10"/>
    </row>
    <row r="65" spans="2:9">
      <c r="B65" s="719"/>
      <c r="C65" s="719"/>
      <c r="D65" s="167" t="s">
        <v>110</v>
      </c>
      <c r="E65" s="168">
        <f>+E67</f>
        <v>0</v>
      </c>
      <c r="F65" s="168">
        <f>+F67</f>
        <v>0</v>
      </c>
      <c r="G65" s="168">
        <f t="shared" ref="G65:H65" si="27">+G67</f>
        <v>0</v>
      </c>
      <c r="H65" s="332">
        <f t="shared" si="27"/>
        <v>-126342.90000000001</v>
      </c>
    </row>
    <row r="66" spans="2:9">
      <c r="B66" s="717"/>
      <c r="C66" s="717"/>
      <c r="D66" s="164" t="s">
        <v>148</v>
      </c>
      <c r="E66" s="166"/>
      <c r="F66" s="166"/>
      <c r="G66" s="166"/>
      <c r="H66" s="10"/>
    </row>
    <row r="67" spans="2:9">
      <c r="B67" s="717"/>
      <c r="C67" s="717"/>
      <c r="D67" s="14" t="s">
        <v>178</v>
      </c>
      <c r="E67" s="169">
        <f>+E68</f>
        <v>0</v>
      </c>
      <c r="F67" s="169">
        <f>+F68</f>
        <v>0</v>
      </c>
      <c r="G67" s="169">
        <f t="shared" ref="G67:H67" si="28">+G68</f>
        <v>0</v>
      </c>
      <c r="H67" s="169">
        <f t="shared" si="28"/>
        <v>-126342.90000000001</v>
      </c>
    </row>
    <row r="68" spans="2:9" ht="36">
      <c r="B68" s="718"/>
      <c r="C68" s="718"/>
      <c r="D68" s="153" t="s">
        <v>278</v>
      </c>
      <c r="E68" s="170">
        <v>0</v>
      </c>
      <c r="F68" s="170">
        <v>0</v>
      </c>
      <c r="G68" s="170">
        <v>0</v>
      </c>
      <c r="H68" s="170">
        <f>+'Havelvats 3'!D59</f>
        <v>-126342.90000000001</v>
      </c>
    </row>
    <row r="69" spans="2:9" ht="52.5" customHeight="1">
      <c r="B69" s="3">
        <v>1146</v>
      </c>
      <c r="C69" s="3">
        <v>12010</v>
      </c>
      <c r="D69" s="4" t="s">
        <v>294</v>
      </c>
      <c r="E69" s="13">
        <f>+E71</f>
        <v>-423446</v>
      </c>
      <c r="F69" s="13">
        <f>+F71</f>
        <v>-1190583.1000000001</v>
      </c>
      <c r="G69" s="13">
        <f t="shared" ref="G69:H69" si="29">+G71</f>
        <v>-2135323.1</v>
      </c>
      <c r="H69" s="13">
        <f t="shared" si="29"/>
        <v>-3275966</v>
      </c>
    </row>
    <row r="70" spans="2:9">
      <c r="B70" s="3"/>
      <c r="C70" s="3"/>
      <c r="D70" s="164" t="s">
        <v>92</v>
      </c>
      <c r="E70" s="165"/>
      <c r="F70" s="165"/>
      <c r="G70" s="166"/>
      <c r="H70" s="10"/>
    </row>
    <row r="71" spans="2:9">
      <c r="B71" s="3"/>
      <c r="C71" s="3"/>
      <c r="D71" s="167" t="s">
        <v>110</v>
      </c>
      <c r="E71" s="332">
        <v>-423446</v>
      </c>
      <c r="F71" s="332">
        <v>-1190583.1000000001</v>
      </c>
      <c r="G71" s="332">
        <v>-2135323.1</v>
      </c>
      <c r="H71" s="332">
        <f>+'Havelvats 3'!D60</f>
        <v>-3275966</v>
      </c>
    </row>
    <row r="72" spans="2:9" ht="52.5" customHeight="1">
      <c r="B72" s="3">
        <v>1146</v>
      </c>
      <c r="C72" s="3">
        <v>12010</v>
      </c>
      <c r="D72" s="4" t="s">
        <v>294</v>
      </c>
      <c r="E72" s="13">
        <f>+E74</f>
        <v>420972.6</v>
      </c>
      <c r="F72" s="13">
        <f>+F74</f>
        <v>1195523.0999999999</v>
      </c>
      <c r="G72" s="13">
        <f t="shared" ref="G72:H72" si="30">+G74</f>
        <v>2140262.7000000002</v>
      </c>
      <c r="H72" s="13">
        <f t="shared" si="30"/>
        <v>3236516.5999999992</v>
      </c>
    </row>
    <row r="73" spans="2:9">
      <c r="B73" s="3"/>
      <c r="C73" s="3"/>
      <c r="D73" s="164" t="s">
        <v>92</v>
      </c>
      <c r="E73" s="165"/>
      <c r="F73" s="165"/>
      <c r="G73" s="166"/>
      <c r="H73" s="10"/>
    </row>
    <row r="74" spans="2:9">
      <c r="B74" s="719"/>
      <c r="C74" s="719"/>
      <c r="D74" s="167" t="s">
        <v>110</v>
      </c>
      <c r="E74" s="332">
        <f>+E76+E78+E80+E87+E89+E94+E97+E100+E102+E104</f>
        <v>420972.6</v>
      </c>
      <c r="F74" s="332">
        <f t="shared" ref="F74:H74" si="31">+F76+F78+F80+F87+F89+F94+F97+F100+F102+F104</f>
        <v>1195523.0999999999</v>
      </c>
      <c r="G74" s="332">
        <f t="shared" si="31"/>
        <v>2140262.7000000002</v>
      </c>
      <c r="H74" s="332">
        <f t="shared" si="31"/>
        <v>3236516.5999999992</v>
      </c>
    </row>
    <row r="75" spans="2:9">
      <c r="B75" s="717"/>
      <c r="C75" s="717"/>
      <c r="D75" s="164" t="s">
        <v>148</v>
      </c>
      <c r="E75" s="166"/>
      <c r="F75" s="166"/>
      <c r="G75" s="166"/>
      <c r="H75" s="10"/>
    </row>
    <row r="76" spans="2:9">
      <c r="B76" s="717"/>
      <c r="C76" s="717"/>
      <c r="D76" s="14" t="s">
        <v>282</v>
      </c>
      <c r="E76" s="361">
        <f>+E77</f>
        <v>33194</v>
      </c>
      <c r="F76" s="361">
        <f t="shared" ref="F76:H76" si="32">+F77</f>
        <v>99581.9</v>
      </c>
      <c r="G76" s="361">
        <f t="shared" si="32"/>
        <v>194058.7</v>
      </c>
      <c r="H76" s="361">
        <f t="shared" si="32"/>
        <v>320092.30000000005</v>
      </c>
    </row>
    <row r="77" spans="2:9" ht="54">
      <c r="B77" s="717"/>
      <c r="C77" s="717"/>
      <c r="D77" s="153" t="s">
        <v>283</v>
      </c>
      <c r="E77" s="360">
        <v>33194</v>
      </c>
      <c r="F77" s="360">
        <v>99581.9</v>
      </c>
      <c r="G77" s="360">
        <v>194058.7</v>
      </c>
      <c r="H77" s="360">
        <f>+'Havelvats 3'!D64</f>
        <v>320092.30000000005</v>
      </c>
      <c r="I77" s="529"/>
    </row>
    <row r="78" spans="2:9">
      <c r="B78" s="717"/>
      <c r="C78" s="717"/>
      <c r="D78" s="14" t="s">
        <v>176</v>
      </c>
      <c r="E78" s="361">
        <f>+E79</f>
        <v>33194</v>
      </c>
      <c r="F78" s="361">
        <f t="shared" ref="F78" si="33">+F79</f>
        <v>99581.9</v>
      </c>
      <c r="G78" s="361">
        <f t="shared" ref="G78" si="34">+G79</f>
        <v>194058.7</v>
      </c>
      <c r="H78" s="361">
        <f t="shared" ref="H78" si="35">+H79</f>
        <v>320092.29999999993</v>
      </c>
      <c r="I78" s="530"/>
    </row>
    <row r="79" spans="2:9" ht="54">
      <c r="B79" s="717"/>
      <c r="C79" s="717"/>
      <c r="D79" s="153" t="s">
        <v>284</v>
      </c>
      <c r="E79" s="360">
        <v>33194</v>
      </c>
      <c r="F79" s="360">
        <v>99581.9</v>
      </c>
      <c r="G79" s="360">
        <v>194058.7</v>
      </c>
      <c r="H79" s="360">
        <f>+'Havelvats 3'!D66</f>
        <v>320092.29999999993</v>
      </c>
    </row>
    <row r="80" spans="2:9">
      <c r="B80" s="717"/>
      <c r="C80" s="717"/>
      <c r="D80" s="14" t="s">
        <v>182</v>
      </c>
      <c r="E80" s="361">
        <f>SUM(E81:E86)</f>
        <v>148014</v>
      </c>
      <c r="F80" s="361">
        <f t="shared" ref="F80:H80" si="36">SUM(F81:F86)</f>
        <v>359347.9</v>
      </c>
      <c r="G80" s="361">
        <f t="shared" si="36"/>
        <v>548273.5</v>
      </c>
      <c r="H80" s="361">
        <f t="shared" si="36"/>
        <v>674307.1</v>
      </c>
    </row>
    <row r="81" spans="2:8" ht="54">
      <c r="B81" s="717"/>
      <c r="C81" s="717"/>
      <c r="D81" s="153" t="s">
        <v>285</v>
      </c>
      <c r="E81" s="360">
        <v>100000</v>
      </c>
      <c r="F81" s="360">
        <v>240006</v>
      </c>
      <c r="G81" s="360">
        <f>+'Havelvats 3'!D68</f>
        <v>334454.80000000005</v>
      </c>
      <c r="H81" s="360">
        <f>+'Havelvats 3'!D68</f>
        <v>334454.80000000005</v>
      </c>
    </row>
    <row r="82" spans="2:8" ht="54">
      <c r="B82" s="717"/>
      <c r="C82" s="717"/>
      <c r="D82" s="153" t="s">
        <v>286</v>
      </c>
      <c r="E82" s="360">
        <v>33194</v>
      </c>
      <c r="F82" s="360">
        <v>99581.9</v>
      </c>
      <c r="G82" s="360">
        <v>194058.7</v>
      </c>
      <c r="H82" s="360">
        <f>+'Havelvats 3'!D69</f>
        <v>320092.29999999993</v>
      </c>
    </row>
    <row r="83" spans="2:8" ht="54">
      <c r="B83" s="717"/>
      <c r="C83" s="717"/>
      <c r="D83" s="153" t="s">
        <v>467</v>
      </c>
      <c r="E83" s="360">
        <f>+'Havelvats 3'!D70</f>
        <v>4940</v>
      </c>
      <c r="F83" s="360">
        <f>+'Havelvats 3'!D70</f>
        <v>4940</v>
      </c>
      <c r="G83" s="360">
        <f>+'Havelvats 3'!D70</f>
        <v>4940</v>
      </c>
      <c r="H83" s="360">
        <f>+'Havelvats 3'!D70</f>
        <v>4940</v>
      </c>
    </row>
    <row r="84" spans="2:8" ht="54">
      <c r="B84" s="717"/>
      <c r="C84" s="717"/>
      <c r="D84" s="153" t="s">
        <v>468</v>
      </c>
      <c r="E84" s="360">
        <f>+'Havelvats 3'!D71</f>
        <v>4940</v>
      </c>
      <c r="F84" s="360">
        <f>+'Havelvats 3'!D71</f>
        <v>4940</v>
      </c>
      <c r="G84" s="360">
        <f>+'Havelvats 3'!D71</f>
        <v>4940</v>
      </c>
      <c r="H84" s="360">
        <f>+'Havelvats 3'!D71</f>
        <v>4940</v>
      </c>
    </row>
    <row r="85" spans="2:8" ht="54">
      <c r="B85" s="717"/>
      <c r="C85" s="717"/>
      <c r="D85" s="153" t="s">
        <v>469</v>
      </c>
      <c r="E85" s="360">
        <f>+'Havelvats 3'!D72</f>
        <v>4940</v>
      </c>
      <c r="F85" s="360">
        <f>+'Havelvats 3'!D72</f>
        <v>4940</v>
      </c>
      <c r="G85" s="360">
        <f>+'Havelvats 3'!D72</f>
        <v>4940</v>
      </c>
      <c r="H85" s="360">
        <f>+'Havelvats 3'!D72</f>
        <v>4940</v>
      </c>
    </row>
    <row r="86" spans="2:8" ht="54">
      <c r="B86" s="717"/>
      <c r="C86" s="717"/>
      <c r="D86" s="153" t="s">
        <v>470</v>
      </c>
      <c r="E86" s="170">
        <v>0</v>
      </c>
      <c r="F86" s="360">
        <f>+'Havelvats 3'!D73</f>
        <v>4940</v>
      </c>
      <c r="G86" s="360">
        <f>+'Havelvats 3'!D73</f>
        <v>4940</v>
      </c>
      <c r="H86" s="360">
        <f>+'Havelvats 3'!D73</f>
        <v>4940</v>
      </c>
    </row>
    <row r="87" spans="2:8">
      <c r="B87" s="717"/>
      <c r="C87" s="717"/>
      <c r="D87" s="14" t="s">
        <v>184</v>
      </c>
      <c r="E87" s="361">
        <f>+E88</f>
        <v>33194</v>
      </c>
      <c r="F87" s="361">
        <f t="shared" ref="F87:H87" si="37">+F88</f>
        <v>99581.9</v>
      </c>
      <c r="G87" s="361">
        <f t="shared" si="37"/>
        <v>194058.7</v>
      </c>
      <c r="H87" s="361">
        <f t="shared" si="37"/>
        <v>320092.29999999993</v>
      </c>
    </row>
    <row r="88" spans="2:8" ht="54">
      <c r="B88" s="717"/>
      <c r="C88" s="717"/>
      <c r="D88" s="153" t="s">
        <v>287</v>
      </c>
      <c r="E88" s="360">
        <v>33194</v>
      </c>
      <c r="F88" s="360">
        <v>99581.9</v>
      </c>
      <c r="G88" s="360">
        <v>194058.7</v>
      </c>
      <c r="H88" s="360">
        <f>+'Havelvats 3'!D75</f>
        <v>320092.29999999993</v>
      </c>
    </row>
    <row r="89" spans="2:8">
      <c r="B89" s="717"/>
      <c r="C89" s="717"/>
      <c r="D89" s="14" t="s">
        <v>173</v>
      </c>
      <c r="E89" s="361">
        <f>SUM(E90:E93)</f>
        <v>66388</v>
      </c>
      <c r="F89" s="361">
        <f t="shared" ref="F89:H89" si="38">SUM(F90:F93)</f>
        <v>209043.8</v>
      </c>
      <c r="G89" s="361">
        <f t="shared" si="38"/>
        <v>397997.4</v>
      </c>
      <c r="H89" s="361">
        <f t="shared" si="38"/>
        <v>650064.59999999986</v>
      </c>
    </row>
    <row r="90" spans="2:8" ht="54">
      <c r="B90" s="717"/>
      <c r="C90" s="717"/>
      <c r="D90" s="153" t="s">
        <v>288</v>
      </c>
      <c r="E90" s="360">
        <v>33194</v>
      </c>
      <c r="F90" s="360">
        <v>99581.9</v>
      </c>
      <c r="G90" s="360">
        <v>194058.7</v>
      </c>
      <c r="H90" s="360">
        <f>+'Havelvats 3'!D77</f>
        <v>320092.29999999993</v>
      </c>
    </row>
    <row r="91" spans="2:8" ht="51.3" customHeight="1">
      <c r="B91" s="717"/>
      <c r="C91" s="717"/>
      <c r="D91" s="153" t="s">
        <v>289</v>
      </c>
      <c r="E91" s="360">
        <v>33194</v>
      </c>
      <c r="F91" s="360">
        <v>99581.9</v>
      </c>
      <c r="G91" s="360">
        <v>194058.7</v>
      </c>
      <c r="H91" s="360">
        <f>+'Havelvats 3'!D78</f>
        <v>320092.29999999993</v>
      </c>
    </row>
    <row r="92" spans="2:8" ht="54">
      <c r="B92" s="717"/>
      <c r="C92" s="717"/>
      <c r="D92" s="153" t="s">
        <v>471</v>
      </c>
      <c r="E92" s="170">
        <v>0</v>
      </c>
      <c r="F92" s="360">
        <f>+'Havelvats 3'!D79</f>
        <v>4940</v>
      </c>
      <c r="G92" s="360">
        <f>+'Havelvats 3'!D79</f>
        <v>4940</v>
      </c>
      <c r="H92" s="360">
        <f>+'Havelvats 3'!D79</f>
        <v>4940</v>
      </c>
    </row>
    <row r="93" spans="2:8" ht="54">
      <c r="B93" s="717"/>
      <c r="C93" s="717"/>
      <c r="D93" s="153" t="s">
        <v>472</v>
      </c>
      <c r="E93" s="170">
        <v>0</v>
      </c>
      <c r="F93" s="360">
        <f>+'Havelvats 3'!D80</f>
        <v>4940</v>
      </c>
      <c r="G93" s="360">
        <f>+'Havelvats 3'!D80</f>
        <v>4940</v>
      </c>
      <c r="H93" s="360">
        <f>+'Havelvats 3'!D80</f>
        <v>4940</v>
      </c>
    </row>
    <row r="94" spans="2:8">
      <c r="B94" s="717"/>
      <c r="C94" s="717"/>
      <c r="D94" s="14" t="s">
        <v>180</v>
      </c>
      <c r="E94" s="361">
        <f>SUM(E95:E96)</f>
        <v>33194</v>
      </c>
      <c r="F94" s="361">
        <f t="shared" ref="F94:H94" si="39">SUM(F95:F96)</f>
        <v>104521.9</v>
      </c>
      <c r="G94" s="361">
        <f t="shared" si="39"/>
        <v>198998.7</v>
      </c>
      <c r="H94" s="361">
        <f t="shared" si="39"/>
        <v>325032.29999999993</v>
      </c>
    </row>
    <row r="95" spans="2:8" ht="54">
      <c r="B95" s="717"/>
      <c r="C95" s="717"/>
      <c r="D95" s="153" t="s">
        <v>290</v>
      </c>
      <c r="E95" s="360">
        <v>33194</v>
      </c>
      <c r="F95" s="360">
        <v>99581.9</v>
      </c>
      <c r="G95" s="360">
        <v>194058.7</v>
      </c>
      <c r="H95" s="360">
        <f>+'Havelvats 3'!D82</f>
        <v>320092.29999999993</v>
      </c>
    </row>
    <row r="96" spans="2:8" ht="54">
      <c r="B96" s="717"/>
      <c r="C96" s="717"/>
      <c r="D96" s="153" t="s">
        <v>473</v>
      </c>
      <c r="E96" s="170">
        <v>0</v>
      </c>
      <c r="F96" s="360">
        <f>+'Havelvats 3'!D83</f>
        <v>4940</v>
      </c>
      <c r="G96" s="360">
        <f>+'Havelvats 3'!D83</f>
        <v>4940</v>
      </c>
      <c r="H96" s="360">
        <f>+'Havelvats 3'!D83</f>
        <v>4940</v>
      </c>
    </row>
    <row r="97" spans="2:8">
      <c r="B97" s="717"/>
      <c r="C97" s="717"/>
      <c r="D97" s="14" t="s">
        <v>146</v>
      </c>
      <c r="E97" s="361">
        <f>SUM(E98:E99)</f>
        <v>4940</v>
      </c>
      <c r="F97" s="361">
        <f t="shared" ref="F97" si="40">SUM(F98:F99)</f>
        <v>9880</v>
      </c>
      <c r="G97" s="361">
        <f t="shared" ref="G97" si="41">SUM(G98:G99)</f>
        <v>9880</v>
      </c>
      <c r="H97" s="361">
        <f t="shared" ref="H97" si="42">SUM(H98:H99)</f>
        <v>9880</v>
      </c>
    </row>
    <row r="98" spans="2:8" ht="54">
      <c r="B98" s="717"/>
      <c r="C98" s="717"/>
      <c r="D98" s="153" t="s">
        <v>474</v>
      </c>
      <c r="E98" s="360">
        <f>+'Havelvats 3'!D85</f>
        <v>4940</v>
      </c>
      <c r="F98" s="360">
        <f>+'Havelvats 3'!D85</f>
        <v>4940</v>
      </c>
      <c r="G98" s="360">
        <f>+'Havelvats 3'!D85</f>
        <v>4940</v>
      </c>
      <c r="H98" s="360">
        <f>+'Havelvats 3'!D85</f>
        <v>4940</v>
      </c>
    </row>
    <row r="99" spans="2:8" ht="54">
      <c r="B99" s="717"/>
      <c r="C99" s="717"/>
      <c r="D99" s="153" t="s">
        <v>475</v>
      </c>
      <c r="E99" s="170">
        <v>0</v>
      </c>
      <c r="F99" s="360">
        <f>+'Havelvats 3'!D86</f>
        <v>4940</v>
      </c>
      <c r="G99" s="360">
        <f>+'Havelvats 3'!D86</f>
        <v>4940</v>
      </c>
      <c r="H99" s="360">
        <f>+'Havelvats 3'!D86</f>
        <v>4940</v>
      </c>
    </row>
    <row r="100" spans="2:8">
      <c r="B100" s="717"/>
      <c r="C100" s="717"/>
      <c r="D100" s="14" t="s">
        <v>177</v>
      </c>
      <c r="E100" s="361">
        <f>+E101</f>
        <v>34427.300000000003</v>
      </c>
      <c r="F100" s="361">
        <f t="shared" ref="F100:F102" si="43">+F101</f>
        <v>104521.9</v>
      </c>
      <c r="G100" s="361">
        <f t="shared" ref="G100:G102" si="44">+G101</f>
        <v>198998.6</v>
      </c>
      <c r="H100" s="361">
        <f t="shared" ref="H100:H102" si="45">+H101</f>
        <v>306007.90000000002</v>
      </c>
    </row>
    <row r="101" spans="2:8" ht="54">
      <c r="B101" s="717"/>
      <c r="C101" s="717"/>
      <c r="D101" s="153" t="s">
        <v>291</v>
      </c>
      <c r="E101" s="360">
        <f>29487.3+4940</f>
        <v>34427.300000000003</v>
      </c>
      <c r="F101" s="360">
        <f>99581.9+4940</f>
        <v>104521.9</v>
      </c>
      <c r="G101" s="360">
        <f>194058.6+4940</f>
        <v>198998.6</v>
      </c>
      <c r="H101" s="360">
        <f>+'Havelvats 3'!D88</f>
        <v>306007.90000000002</v>
      </c>
    </row>
    <row r="102" spans="2:8" s="39" customFormat="1">
      <c r="B102" s="717"/>
      <c r="C102" s="717"/>
      <c r="D102" s="14" t="s">
        <v>274</v>
      </c>
      <c r="E102" s="361">
        <f>+E103</f>
        <v>0</v>
      </c>
      <c r="F102" s="361">
        <f t="shared" si="43"/>
        <v>4940</v>
      </c>
      <c r="G102" s="361">
        <f t="shared" si="44"/>
        <v>4940</v>
      </c>
      <c r="H102" s="361">
        <f t="shared" si="45"/>
        <v>4940</v>
      </c>
    </row>
    <row r="103" spans="2:8" s="39" customFormat="1" ht="54">
      <c r="B103" s="717"/>
      <c r="C103" s="717"/>
      <c r="D103" s="153" t="s">
        <v>476</v>
      </c>
      <c r="E103" s="475">
        <v>0</v>
      </c>
      <c r="F103" s="360">
        <f>+'Havelvats 3'!D90</f>
        <v>4940</v>
      </c>
      <c r="G103" s="360">
        <f>+'Havelvats 3'!D90</f>
        <v>4940</v>
      </c>
      <c r="H103" s="360">
        <f>+'Havelvats 3'!D90</f>
        <v>4940</v>
      </c>
    </row>
    <row r="104" spans="2:8">
      <c r="B104" s="717"/>
      <c r="C104" s="717"/>
      <c r="D104" s="14" t="s">
        <v>175</v>
      </c>
      <c r="E104" s="361">
        <f>+E105</f>
        <v>34427.300000000003</v>
      </c>
      <c r="F104" s="361">
        <f t="shared" ref="F104" si="46">+F105</f>
        <v>104521.9</v>
      </c>
      <c r="G104" s="361">
        <f t="shared" ref="G104" si="47">+G105</f>
        <v>198998.39999999999</v>
      </c>
      <c r="H104" s="361">
        <f t="shared" ref="H104" si="48">+H105</f>
        <v>306007.8</v>
      </c>
    </row>
    <row r="105" spans="2:8" ht="51.85" customHeight="1">
      <c r="B105" s="718"/>
      <c r="C105" s="718"/>
      <c r="D105" s="153" t="s">
        <v>292</v>
      </c>
      <c r="E105" s="360">
        <f>29487.3+4940</f>
        <v>34427.300000000003</v>
      </c>
      <c r="F105" s="360">
        <f>99581.9+4940</f>
        <v>104521.9</v>
      </c>
      <c r="G105" s="360">
        <f>194058.4+4940</f>
        <v>198998.39999999999</v>
      </c>
      <c r="H105" s="360">
        <f>+'Havelvats 3'!D92</f>
        <v>306007.8</v>
      </c>
    </row>
    <row r="106" spans="2:8" ht="17.350000000000001" customHeight="1">
      <c r="B106" s="3">
        <v>1163</v>
      </c>
      <c r="C106" s="3">
        <v>12001</v>
      </c>
      <c r="D106" s="4" t="s">
        <v>93</v>
      </c>
      <c r="E106" s="171">
        <f>+E108</f>
        <v>0</v>
      </c>
      <c r="F106" s="171">
        <f>+F108</f>
        <v>0</v>
      </c>
      <c r="G106" s="171">
        <f t="shared" ref="G106:H106" si="49">+G108</f>
        <v>0</v>
      </c>
      <c r="H106" s="13">
        <f t="shared" si="49"/>
        <v>-43857.100000000006</v>
      </c>
    </row>
    <row r="107" spans="2:8">
      <c r="B107" s="3"/>
      <c r="C107" s="3"/>
      <c r="D107" s="164" t="s">
        <v>92</v>
      </c>
      <c r="E107" s="165"/>
      <c r="F107" s="165"/>
      <c r="G107" s="166"/>
      <c r="H107" s="10"/>
    </row>
    <row r="108" spans="2:8">
      <c r="B108" s="719"/>
      <c r="C108" s="719"/>
      <c r="D108" s="167" t="s">
        <v>110</v>
      </c>
      <c r="E108" s="168">
        <f>+E110</f>
        <v>0</v>
      </c>
      <c r="F108" s="168">
        <f>+F110</f>
        <v>0</v>
      </c>
      <c r="G108" s="168">
        <f t="shared" ref="G108:H108" si="50">+G110</f>
        <v>0</v>
      </c>
      <c r="H108" s="332">
        <f t="shared" si="50"/>
        <v>-43857.100000000006</v>
      </c>
    </row>
    <row r="109" spans="2:8">
      <c r="B109" s="717"/>
      <c r="C109" s="717"/>
      <c r="D109" s="164" t="s">
        <v>148</v>
      </c>
      <c r="E109" s="166"/>
      <c r="F109" s="166"/>
      <c r="G109" s="166"/>
      <c r="H109" s="10"/>
    </row>
    <row r="110" spans="2:8">
      <c r="B110" s="717"/>
      <c r="C110" s="717"/>
      <c r="D110" s="172" t="s">
        <v>146</v>
      </c>
      <c r="E110" s="169">
        <f>+E111</f>
        <v>0</v>
      </c>
      <c r="F110" s="169">
        <f>+F111</f>
        <v>0</v>
      </c>
      <c r="G110" s="169">
        <f t="shared" ref="G110:H110" si="51">+G111</f>
        <v>0</v>
      </c>
      <c r="H110" s="169">
        <f t="shared" si="51"/>
        <v>-43857.100000000006</v>
      </c>
    </row>
    <row r="111" spans="2:8" ht="53.35" customHeight="1">
      <c r="B111" s="718"/>
      <c r="C111" s="718"/>
      <c r="D111" s="173" t="s">
        <v>147</v>
      </c>
      <c r="E111" s="170">
        <v>0</v>
      </c>
      <c r="F111" s="170">
        <v>0</v>
      </c>
      <c r="G111" s="170">
        <v>0</v>
      </c>
      <c r="H111" s="170">
        <f>+'Havelvats 3'!D96</f>
        <v>-43857.100000000006</v>
      </c>
    </row>
    <row r="112" spans="2:8">
      <c r="B112" s="3">
        <v>1163</v>
      </c>
      <c r="C112" s="3">
        <v>32001</v>
      </c>
      <c r="D112" s="4" t="s">
        <v>109</v>
      </c>
      <c r="E112" s="13">
        <f>+E114+E118</f>
        <v>-3244.4000000000015</v>
      </c>
      <c r="F112" s="13">
        <f t="shared" ref="F112:H112" si="52">+F114+F118</f>
        <v>-252.80000000000291</v>
      </c>
      <c r="G112" s="13">
        <f t="shared" si="52"/>
        <v>-252.70000000001164</v>
      </c>
      <c r="H112" s="13">
        <f t="shared" si="52"/>
        <v>-800609.5</v>
      </c>
    </row>
    <row r="113" spans="2:9">
      <c r="B113" s="3"/>
      <c r="C113" s="3"/>
      <c r="D113" s="164" t="s">
        <v>92</v>
      </c>
      <c r="E113" s="10"/>
      <c r="F113" s="10"/>
      <c r="G113" s="10"/>
      <c r="H113" s="10"/>
    </row>
    <row r="114" spans="2:9" ht="33.85">
      <c r="B114" s="719"/>
      <c r="C114" s="719"/>
      <c r="D114" s="167" t="s">
        <v>366</v>
      </c>
      <c r="E114" s="332">
        <f>+E116</f>
        <v>0</v>
      </c>
      <c r="F114" s="332">
        <f t="shared" ref="F114:H114" si="53">+F116</f>
        <v>0</v>
      </c>
      <c r="G114" s="332">
        <f t="shared" si="53"/>
        <v>0</v>
      </c>
      <c r="H114" s="332">
        <f t="shared" si="53"/>
        <v>-507957.9</v>
      </c>
    </row>
    <row r="115" spans="2:9">
      <c r="B115" s="717"/>
      <c r="C115" s="717"/>
      <c r="D115" s="164" t="s">
        <v>148</v>
      </c>
      <c r="E115" s="175"/>
      <c r="F115" s="175"/>
      <c r="G115" s="175"/>
      <c r="H115" s="176"/>
    </row>
    <row r="116" spans="2:9">
      <c r="B116" s="717"/>
      <c r="C116" s="717"/>
      <c r="D116" s="26" t="s">
        <v>178</v>
      </c>
      <c r="E116" s="362">
        <f>+E117</f>
        <v>0</v>
      </c>
      <c r="F116" s="362">
        <f t="shared" ref="F116:H116" si="54">+F117</f>
        <v>0</v>
      </c>
      <c r="G116" s="362">
        <f t="shared" si="54"/>
        <v>0</v>
      </c>
      <c r="H116" s="362">
        <f t="shared" si="54"/>
        <v>-507957.9</v>
      </c>
    </row>
    <row r="117" spans="2:9" s="16" customFormat="1" ht="36">
      <c r="B117" s="717"/>
      <c r="C117" s="717"/>
      <c r="D117" s="391" t="s">
        <v>365</v>
      </c>
      <c r="E117" s="541">
        <v>0</v>
      </c>
      <c r="F117" s="541">
        <v>0</v>
      </c>
      <c r="G117" s="541">
        <v>0</v>
      </c>
      <c r="H117" s="541">
        <f>+'Havelvats 3'!D102</f>
        <v>-507957.9</v>
      </c>
    </row>
    <row r="118" spans="2:9">
      <c r="B118" s="717"/>
      <c r="C118" s="717"/>
      <c r="D118" s="167" t="s">
        <v>110</v>
      </c>
      <c r="E118" s="332">
        <f>+E120+E123</f>
        <v>-3244.4000000000015</v>
      </c>
      <c r="F118" s="332">
        <f>+F120+F123</f>
        <v>-252.80000000000291</v>
      </c>
      <c r="G118" s="332">
        <f>+G120+G123</f>
        <v>-252.70000000001164</v>
      </c>
      <c r="H118" s="332">
        <f>+H120+H123</f>
        <v>-292651.59999999992</v>
      </c>
    </row>
    <row r="119" spans="2:9">
      <c r="B119" s="717"/>
      <c r="C119" s="717"/>
      <c r="D119" s="164" t="s">
        <v>148</v>
      </c>
      <c r="E119" s="175"/>
      <c r="F119" s="175"/>
      <c r="G119" s="175"/>
      <c r="H119" s="176"/>
    </row>
    <row r="120" spans="2:9">
      <c r="B120" s="717"/>
      <c r="C120" s="717"/>
      <c r="D120" s="26" t="s">
        <v>178</v>
      </c>
      <c r="E120" s="362">
        <f>+E121+E122</f>
        <v>-3244.4000000000015</v>
      </c>
      <c r="F120" s="362">
        <f t="shared" ref="F120:H120" si="55">+F121+F122</f>
        <v>-252.80000000000291</v>
      </c>
      <c r="G120" s="362">
        <f t="shared" si="55"/>
        <v>-252.70000000001164</v>
      </c>
      <c r="H120" s="362">
        <f t="shared" si="55"/>
        <v>-174639.79999999993</v>
      </c>
    </row>
    <row r="121" spans="2:9" ht="36">
      <c r="B121" s="717"/>
      <c r="C121" s="717"/>
      <c r="D121" s="154" t="s">
        <v>296</v>
      </c>
      <c r="E121" s="170">
        <v>-38663.4</v>
      </c>
      <c r="F121" s="170">
        <v>-115990.3</v>
      </c>
      <c r="G121" s="170">
        <v>-231980.6</v>
      </c>
      <c r="H121" s="170">
        <f>+'Havelvats 3'!D100</f>
        <v>-561274.19999999995</v>
      </c>
    </row>
    <row r="122" spans="2:9" ht="72">
      <c r="B122" s="717"/>
      <c r="C122" s="717"/>
      <c r="D122" s="154" t="s">
        <v>364</v>
      </c>
      <c r="E122" s="170">
        <v>35419</v>
      </c>
      <c r="F122" s="170">
        <v>115737.5</v>
      </c>
      <c r="G122" s="170">
        <v>231727.9</v>
      </c>
      <c r="H122" s="390">
        <f>+'Havelvats 3'!D101</f>
        <v>386634.4</v>
      </c>
    </row>
    <row r="123" spans="2:9">
      <c r="B123" s="717"/>
      <c r="C123" s="717"/>
      <c r="D123" s="26" t="s">
        <v>182</v>
      </c>
      <c r="E123" s="362">
        <f>+E124</f>
        <v>0</v>
      </c>
      <c r="F123" s="362">
        <f>+F124</f>
        <v>0</v>
      </c>
      <c r="G123" s="362">
        <f t="shared" ref="G123:H123" si="56">+G124</f>
        <v>0</v>
      </c>
      <c r="H123" s="362">
        <f t="shared" si="56"/>
        <v>-118011.79999999999</v>
      </c>
    </row>
    <row r="124" spans="2:9" ht="36">
      <c r="B124" s="718"/>
      <c r="C124" s="718"/>
      <c r="D124" s="154" t="s">
        <v>181</v>
      </c>
      <c r="E124" s="390">
        <v>0</v>
      </c>
      <c r="F124" s="390">
        <v>0</v>
      </c>
      <c r="G124" s="390">
        <v>0</v>
      </c>
      <c r="H124" s="170">
        <f>+'Havelvats 3'!D104</f>
        <v>-118011.79999999999</v>
      </c>
      <c r="I124" s="462"/>
    </row>
    <row r="125" spans="2:9">
      <c r="B125" s="3">
        <v>1163</v>
      </c>
      <c r="C125" s="3">
        <v>32002</v>
      </c>
      <c r="D125" s="4" t="s">
        <v>403</v>
      </c>
      <c r="E125" s="13">
        <f>+E127</f>
        <v>0</v>
      </c>
      <c r="F125" s="13">
        <f t="shared" ref="F125:H125" si="57">+F127</f>
        <v>177785.3</v>
      </c>
      <c r="G125" s="13">
        <f t="shared" si="57"/>
        <v>330172.59999999998</v>
      </c>
      <c r="H125" s="13">
        <f t="shared" si="57"/>
        <v>507957.9</v>
      </c>
    </row>
    <row r="126" spans="2:9">
      <c r="B126" s="3"/>
      <c r="C126" s="3"/>
      <c r="D126" s="164" t="s">
        <v>92</v>
      </c>
      <c r="E126" s="10"/>
      <c r="F126" s="10"/>
      <c r="G126" s="10"/>
      <c r="H126" s="10"/>
    </row>
    <row r="127" spans="2:9">
      <c r="B127" s="716"/>
      <c r="C127" s="716"/>
      <c r="D127" s="167" t="s">
        <v>110</v>
      </c>
      <c r="E127" s="332">
        <f>+E129</f>
        <v>0</v>
      </c>
      <c r="F127" s="332">
        <f t="shared" ref="F127:H127" si="58">+F129</f>
        <v>177785.3</v>
      </c>
      <c r="G127" s="332">
        <f t="shared" si="58"/>
        <v>330172.59999999998</v>
      </c>
      <c r="H127" s="332">
        <f t="shared" si="58"/>
        <v>507957.9</v>
      </c>
    </row>
    <row r="128" spans="2:9">
      <c r="B128" s="717"/>
      <c r="C128" s="717"/>
      <c r="D128" s="164" t="s">
        <v>148</v>
      </c>
      <c r="E128" s="175"/>
      <c r="F128" s="175"/>
      <c r="G128" s="175"/>
      <c r="H128" s="176"/>
    </row>
    <row r="129" spans="2:8">
      <c r="B129" s="717"/>
      <c r="C129" s="717"/>
      <c r="D129" s="26" t="s">
        <v>178</v>
      </c>
      <c r="E129" s="362">
        <f>+E130</f>
        <v>0</v>
      </c>
      <c r="F129" s="362">
        <f t="shared" ref="F129:H129" si="59">+F130</f>
        <v>177785.3</v>
      </c>
      <c r="G129" s="362">
        <f t="shared" si="59"/>
        <v>330172.59999999998</v>
      </c>
      <c r="H129" s="362">
        <f t="shared" si="59"/>
        <v>507957.9</v>
      </c>
    </row>
    <row r="130" spans="2:8" s="16" customFormat="1" ht="36">
      <c r="B130" s="718"/>
      <c r="C130" s="718"/>
      <c r="D130" s="391" t="s">
        <v>365</v>
      </c>
      <c r="E130" s="541">
        <v>0</v>
      </c>
      <c r="F130" s="541">
        <v>177785.3</v>
      </c>
      <c r="G130" s="541">
        <v>330172.59999999998</v>
      </c>
      <c r="H130" s="541">
        <f>+'Havelvats 3'!D108</f>
        <v>507957.9</v>
      </c>
    </row>
    <row r="131" spans="2:8" ht="33.85">
      <c r="B131" s="3">
        <v>1168</v>
      </c>
      <c r="C131" s="3">
        <v>32001</v>
      </c>
      <c r="D131" s="423" t="s">
        <v>392</v>
      </c>
      <c r="E131" s="171">
        <f>+E133+E138</f>
        <v>0</v>
      </c>
      <c r="F131" s="171">
        <f t="shared" ref="F131:H131" si="60">+F133+F138</f>
        <v>6766.1</v>
      </c>
      <c r="G131" s="13">
        <f t="shared" si="60"/>
        <v>-17183.400000000023</v>
      </c>
      <c r="H131" s="13">
        <f t="shared" si="60"/>
        <v>-20620.700000000026</v>
      </c>
    </row>
    <row r="132" spans="2:8">
      <c r="B132" s="3"/>
      <c r="C132" s="3"/>
      <c r="D132" s="164" t="s">
        <v>92</v>
      </c>
      <c r="E132" s="174"/>
      <c r="F132" s="174"/>
      <c r="G132" s="174"/>
      <c r="H132" s="176"/>
    </row>
    <row r="133" spans="2:8" ht="33.85">
      <c r="B133" s="716"/>
      <c r="C133" s="716"/>
      <c r="D133" s="167" t="s">
        <v>59</v>
      </c>
      <c r="E133" s="168">
        <f>+E135</f>
        <v>0</v>
      </c>
      <c r="F133" s="168">
        <f>+F135</f>
        <v>6766.1</v>
      </c>
      <c r="G133" s="168">
        <f t="shared" ref="G133:H133" si="61">+G135</f>
        <v>10792</v>
      </c>
      <c r="H133" s="332">
        <f t="shared" si="61"/>
        <v>7354.6999999999971</v>
      </c>
    </row>
    <row r="134" spans="2:8" ht="16.8" customHeight="1">
      <c r="B134" s="717"/>
      <c r="C134" s="717"/>
      <c r="D134" s="164" t="s">
        <v>148</v>
      </c>
      <c r="E134" s="175"/>
      <c r="F134" s="175"/>
      <c r="G134" s="175"/>
      <c r="H134" s="176"/>
    </row>
    <row r="135" spans="2:8">
      <c r="B135" s="717"/>
      <c r="C135" s="717"/>
      <c r="D135" s="14" t="s">
        <v>178</v>
      </c>
      <c r="E135" s="177">
        <f>SUM(E136:E137)</f>
        <v>0</v>
      </c>
      <c r="F135" s="177">
        <f t="shared" ref="F135:H135" si="62">SUM(F136:F137)</f>
        <v>6766.1</v>
      </c>
      <c r="G135" s="177">
        <f t="shared" si="62"/>
        <v>10792</v>
      </c>
      <c r="H135" s="177">
        <f t="shared" si="62"/>
        <v>7354.6999999999971</v>
      </c>
    </row>
    <row r="136" spans="2:8" ht="54">
      <c r="B136" s="717"/>
      <c r="C136" s="717"/>
      <c r="D136" s="409" t="s">
        <v>391</v>
      </c>
      <c r="E136" s="178">
        <v>0</v>
      </c>
      <c r="F136" s="365">
        <v>0</v>
      </c>
      <c r="G136" s="365">
        <f>+'Havelvats 3'!D110</f>
        <v>0</v>
      </c>
      <c r="H136" s="365">
        <f>+'Havelvats 3'!D112</f>
        <v>-3437.3000000000029</v>
      </c>
    </row>
    <row r="137" spans="2:8" s="16" customFormat="1" ht="36">
      <c r="B137" s="717"/>
      <c r="C137" s="717"/>
      <c r="D137" s="204" t="s">
        <v>300</v>
      </c>
      <c r="E137" s="539"/>
      <c r="F137" s="540">
        <v>6766.1</v>
      </c>
      <c r="G137" s="540">
        <f>+'Havelvats 3'!D113</f>
        <v>10792</v>
      </c>
      <c r="H137" s="540">
        <f>+'Havelvats 3'!D113</f>
        <v>10792</v>
      </c>
    </row>
    <row r="138" spans="2:8">
      <c r="B138" s="717"/>
      <c r="C138" s="717"/>
      <c r="D138" s="167" t="s">
        <v>110</v>
      </c>
      <c r="E138" s="168">
        <f>+E140</f>
        <v>0</v>
      </c>
      <c r="F138" s="168">
        <f>+F140</f>
        <v>0</v>
      </c>
      <c r="G138" s="332">
        <f t="shared" ref="G138:H138" si="63">+G140</f>
        <v>-27975.400000000023</v>
      </c>
      <c r="H138" s="332">
        <f t="shared" si="63"/>
        <v>-27975.400000000023</v>
      </c>
    </row>
    <row r="139" spans="2:8" ht="16.8" customHeight="1">
      <c r="B139" s="717"/>
      <c r="C139" s="717"/>
      <c r="D139" s="164" t="s">
        <v>148</v>
      </c>
      <c r="E139" s="175"/>
      <c r="F139" s="175"/>
      <c r="G139" s="175"/>
      <c r="H139" s="176"/>
    </row>
    <row r="140" spans="2:8">
      <c r="B140" s="717"/>
      <c r="C140" s="717"/>
      <c r="D140" s="14" t="s">
        <v>178</v>
      </c>
      <c r="E140" s="177">
        <f>SUM(E141:E142)</f>
        <v>0</v>
      </c>
      <c r="F140" s="177">
        <f t="shared" ref="F140:H140" si="64">SUM(F141:F142)</f>
        <v>0</v>
      </c>
      <c r="G140" s="177">
        <f t="shared" si="64"/>
        <v>-27975.400000000023</v>
      </c>
      <c r="H140" s="177">
        <f t="shared" si="64"/>
        <v>-27975.400000000023</v>
      </c>
    </row>
    <row r="141" spans="2:8" ht="16.8" customHeight="1">
      <c r="B141" s="717"/>
      <c r="C141" s="717"/>
      <c r="D141" s="409" t="s">
        <v>477</v>
      </c>
      <c r="E141" s="178">
        <v>0</v>
      </c>
      <c r="F141" s="365">
        <v>-69058.399999999994</v>
      </c>
      <c r="G141" s="365">
        <v>-138116.70000000001</v>
      </c>
      <c r="H141" s="365">
        <f>+'Havelvats 3'!D114</f>
        <v>-138116.70000000001</v>
      </c>
    </row>
    <row r="142" spans="2:8" ht="36">
      <c r="B142" s="718"/>
      <c r="C142" s="718"/>
      <c r="D142" s="409" t="s">
        <v>478</v>
      </c>
      <c r="E142" s="178">
        <v>0</v>
      </c>
      <c r="F142" s="365">
        <v>69058.399999999994</v>
      </c>
      <c r="G142" s="365">
        <f>+'Havelvats 3'!D115</f>
        <v>110141.29999999999</v>
      </c>
      <c r="H142" s="365">
        <f>+'Havelvats 3'!D115</f>
        <v>110141.29999999999</v>
      </c>
    </row>
    <row r="143" spans="2:8" ht="33.85">
      <c r="B143" s="3">
        <v>1168</v>
      </c>
      <c r="C143" s="3">
        <v>32007</v>
      </c>
      <c r="D143" s="4" t="s">
        <v>299</v>
      </c>
      <c r="E143" s="171">
        <f>+E145</f>
        <v>0</v>
      </c>
      <c r="F143" s="13">
        <f>+F145</f>
        <v>-6766.1</v>
      </c>
      <c r="G143" s="13">
        <f>+G145</f>
        <v>-17306</v>
      </c>
      <c r="H143" s="13">
        <f t="shared" ref="H143" si="65">+H145</f>
        <v>-17306</v>
      </c>
    </row>
    <row r="144" spans="2:8">
      <c r="B144" s="3"/>
      <c r="C144" s="3"/>
      <c r="D144" s="164" t="s">
        <v>92</v>
      </c>
      <c r="E144" s="174"/>
      <c r="F144" s="174"/>
      <c r="G144" s="175"/>
      <c r="H144" s="176"/>
    </row>
    <row r="145" spans="2:8" ht="33.85">
      <c r="B145" s="719"/>
      <c r="C145" s="719"/>
      <c r="D145" s="167" t="s">
        <v>59</v>
      </c>
      <c r="E145" s="168">
        <f>+E147</f>
        <v>0</v>
      </c>
      <c r="F145" s="332">
        <f>+F147</f>
        <v>-6766.1</v>
      </c>
      <c r="G145" s="332">
        <f t="shared" ref="G145:H145" si="66">+G147</f>
        <v>-17306</v>
      </c>
      <c r="H145" s="332">
        <f t="shared" si="66"/>
        <v>-17306</v>
      </c>
    </row>
    <row r="146" spans="2:8">
      <c r="B146" s="717"/>
      <c r="C146" s="717"/>
      <c r="D146" s="164" t="s">
        <v>148</v>
      </c>
      <c r="E146" s="175"/>
      <c r="F146" s="175"/>
      <c r="G146" s="175"/>
      <c r="H146" s="176"/>
    </row>
    <row r="147" spans="2:8">
      <c r="B147" s="717"/>
      <c r="C147" s="717"/>
      <c r="D147" s="14" t="s">
        <v>178</v>
      </c>
      <c r="E147" s="177">
        <f>+E148</f>
        <v>0</v>
      </c>
      <c r="F147" s="177">
        <f>+F148</f>
        <v>-6766.1</v>
      </c>
      <c r="G147" s="177">
        <f t="shared" ref="G147:H147" si="67">+G148</f>
        <v>-17306</v>
      </c>
      <c r="H147" s="177">
        <f t="shared" si="67"/>
        <v>-17306</v>
      </c>
    </row>
    <row r="148" spans="2:8" ht="36">
      <c r="B148" s="718"/>
      <c r="C148" s="718"/>
      <c r="D148" s="153" t="s">
        <v>300</v>
      </c>
      <c r="E148" s="178">
        <v>0</v>
      </c>
      <c r="F148" s="365">
        <v>-6766.1</v>
      </c>
      <c r="G148" s="365">
        <f>+'Havelvats 3'!D119</f>
        <v>-17306</v>
      </c>
      <c r="H148" s="365">
        <f>+'Havelvats 3'!D119</f>
        <v>-17306</v>
      </c>
    </row>
    <row r="149" spans="2:8" ht="33.85">
      <c r="B149" s="3">
        <v>1183</v>
      </c>
      <c r="C149" s="3">
        <v>32001</v>
      </c>
      <c r="D149" s="4" t="s">
        <v>183</v>
      </c>
      <c r="E149" s="171">
        <f>+E151</f>
        <v>0</v>
      </c>
      <c r="F149" s="13">
        <f t="shared" ref="F149:H149" si="68">+F151</f>
        <v>-49533.599999999991</v>
      </c>
      <c r="G149" s="13">
        <f t="shared" si="68"/>
        <v>-91847.5</v>
      </c>
      <c r="H149" s="13">
        <f t="shared" si="68"/>
        <v>-154319.40000000002</v>
      </c>
    </row>
    <row r="150" spans="2:8">
      <c r="B150" s="3"/>
      <c r="C150" s="3"/>
      <c r="D150" s="164" t="s">
        <v>92</v>
      </c>
      <c r="E150" s="174"/>
      <c r="F150" s="174"/>
      <c r="G150" s="174"/>
      <c r="H150" s="176"/>
    </row>
    <row r="151" spans="2:8">
      <c r="B151" s="719"/>
      <c r="C151" s="719"/>
      <c r="D151" s="167" t="s">
        <v>110</v>
      </c>
      <c r="E151" s="168">
        <f>+E153</f>
        <v>0</v>
      </c>
      <c r="F151" s="332">
        <f t="shared" ref="F151:H151" si="69">+F153</f>
        <v>-49533.599999999991</v>
      </c>
      <c r="G151" s="332">
        <f t="shared" si="69"/>
        <v>-91847.5</v>
      </c>
      <c r="H151" s="332">
        <f t="shared" si="69"/>
        <v>-154319.40000000002</v>
      </c>
    </row>
    <row r="152" spans="2:8">
      <c r="B152" s="717"/>
      <c r="C152" s="717"/>
      <c r="D152" s="164" t="s">
        <v>148</v>
      </c>
      <c r="E152" s="175"/>
      <c r="F152" s="175"/>
      <c r="G152" s="175"/>
      <c r="H152" s="176"/>
    </row>
    <row r="153" spans="2:8" s="16" customFormat="1">
      <c r="B153" s="717"/>
      <c r="C153" s="717"/>
      <c r="D153" s="179" t="s">
        <v>178</v>
      </c>
      <c r="E153" s="180">
        <f>SUM(E154:E154)</f>
        <v>0</v>
      </c>
      <c r="F153" s="180">
        <f>SUM(F154:F154)</f>
        <v>-49533.599999999991</v>
      </c>
      <c r="G153" s="180">
        <f>SUM(G154:G154)</f>
        <v>-91847.5</v>
      </c>
      <c r="H153" s="180">
        <f>SUM(H154:H154)</f>
        <v>-154319.40000000002</v>
      </c>
    </row>
    <row r="154" spans="2:8" s="16" customFormat="1">
      <c r="B154" s="718"/>
      <c r="C154" s="718"/>
      <c r="D154" s="154" t="s">
        <v>301</v>
      </c>
      <c r="E154" s="181">
        <v>0</v>
      </c>
      <c r="F154" s="181">
        <f>41309.3-90842.9</f>
        <v>-49533.599999999991</v>
      </c>
      <c r="G154" s="181">
        <f>67127.6-158975.1</f>
        <v>-91847.5</v>
      </c>
      <c r="H154" s="181">
        <f>+'Havelvats 3'!D123</f>
        <v>-154319.40000000002</v>
      </c>
    </row>
    <row r="155" spans="2:8" ht="33.85">
      <c r="B155" s="182">
        <v>1183</v>
      </c>
      <c r="C155" s="182">
        <v>32002</v>
      </c>
      <c r="D155" s="4" t="s">
        <v>306</v>
      </c>
      <c r="E155" s="171">
        <f>+E157</f>
        <v>46783</v>
      </c>
      <c r="F155" s="171">
        <f>+F157</f>
        <v>281.0000000000291</v>
      </c>
      <c r="G155" s="171">
        <f t="shared" ref="G155:H155" si="70">+G157</f>
        <v>302.10000000003492</v>
      </c>
      <c r="H155" s="332">
        <f t="shared" si="70"/>
        <v>-192441.69999999995</v>
      </c>
    </row>
    <row r="156" spans="2:8">
      <c r="B156" s="3"/>
      <c r="C156" s="3"/>
      <c r="D156" s="164" t="s">
        <v>92</v>
      </c>
      <c r="E156" s="174"/>
      <c r="F156" s="174"/>
      <c r="G156" s="175"/>
      <c r="H156" s="176"/>
    </row>
    <row r="157" spans="2:8">
      <c r="B157" s="719"/>
      <c r="C157" s="719"/>
      <c r="D157" s="167" t="s">
        <v>110</v>
      </c>
      <c r="E157" s="168">
        <f>+E159+E161</f>
        <v>46783</v>
      </c>
      <c r="F157" s="168">
        <f t="shared" ref="F157:H157" si="71">+F159+F161</f>
        <v>281.0000000000291</v>
      </c>
      <c r="G157" s="168">
        <f t="shared" si="71"/>
        <v>302.10000000003492</v>
      </c>
      <c r="H157" s="180">
        <f t="shared" si="71"/>
        <v>-192441.69999999995</v>
      </c>
    </row>
    <row r="158" spans="2:8">
      <c r="B158" s="717"/>
      <c r="C158" s="717"/>
      <c r="D158" s="164" t="s">
        <v>148</v>
      </c>
      <c r="E158" s="175"/>
      <c r="F158" s="175"/>
      <c r="G158" s="175"/>
      <c r="H158" s="176"/>
    </row>
    <row r="159" spans="2:8">
      <c r="B159" s="717"/>
      <c r="C159" s="717"/>
      <c r="D159" s="26" t="s">
        <v>176</v>
      </c>
      <c r="E159" s="180">
        <f>+E160</f>
        <v>252.69999999999709</v>
      </c>
      <c r="F159" s="180">
        <f>+F160</f>
        <v>252.70000000001164</v>
      </c>
      <c r="G159" s="180">
        <f t="shared" ref="G159:H159" si="72">+G160</f>
        <v>252.70000000001164</v>
      </c>
      <c r="H159" s="180">
        <f t="shared" si="72"/>
        <v>-192441.69999999995</v>
      </c>
    </row>
    <row r="160" spans="2:8">
      <c r="B160" s="717"/>
      <c r="C160" s="717"/>
      <c r="D160" s="152" t="s">
        <v>307</v>
      </c>
      <c r="E160" s="181">
        <f>36563.5-36310.8</f>
        <v>252.69999999999709</v>
      </c>
      <c r="F160" s="181">
        <f>143920-143667.3</f>
        <v>252.70000000001164</v>
      </c>
      <c r="G160" s="181">
        <f>251276.6-251023.9</f>
        <v>252.70000000001164</v>
      </c>
      <c r="H160" s="181">
        <f>+'Havelvats 3'!D127</f>
        <v>-192441.69999999995</v>
      </c>
    </row>
    <row r="161" spans="2:9">
      <c r="B161" s="717"/>
      <c r="C161" s="717"/>
      <c r="D161" s="26" t="s">
        <v>184</v>
      </c>
      <c r="E161" s="180">
        <f>+E162+E163</f>
        <v>46530.3</v>
      </c>
      <c r="F161" s="180">
        <f t="shared" ref="F161:H161" si="73">+F162+F163</f>
        <v>28.300000000017462</v>
      </c>
      <c r="G161" s="180">
        <f t="shared" si="73"/>
        <v>49.400000000023283</v>
      </c>
      <c r="H161" s="180">
        <f t="shared" si="73"/>
        <v>0</v>
      </c>
    </row>
    <row r="162" spans="2:9">
      <c r="B162" s="717"/>
      <c r="C162" s="717"/>
      <c r="D162" s="152" t="s">
        <v>308</v>
      </c>
      <c r="E162" s="181">
        <v>-48339.7</v>
      </c>
      <c r="F162" s="181">
        <v>-193147.3</v>
      </c>
      <c r="G162" s="181">
        <v>-337954.8</v>
      </c>
      <c r="H162" s="181">
        <f>+'Havelvats 3'!D129</f>
        <v>-482762.3</v>
      </c>
    </row>
    <row r="163" spans="2:9" ht="17.350000000000001" customHeight="1">
      <c r="B163" s="718"/>
      <c r="C163" s="718"/>
      <c r="D163" s="152" t="s">
        <v>309</v>
      </c>
      <c r="E163" s="181">
        <v>94870</v>
      </c>
      <c r="F163" s="181">
        <v>193175.6</v>
      </c>
      <c r="G163" s="181">
        <v>338004.2</v>
      </c>
      <c r="H163" s="181">
        <f>+'Havelvats 3'!D130</f>
        <v>482762.30000000005</v>
      </c>
      <c r="I163" s="476"/>
    </row>
    <row r="164" spans="2:9" ht="50.75">
      <c r="B164" s="182">
        <v>1183</v>
      </c>
      <c r="C164" s="182">
        <v>32003</v>
      </c>
      <c r="D164" s="4" t="s">
        <v>337</v>
      </c>
      <c r="E164" s="13">
        <f>+E166</f>
        <v>-716796.9</v>
      </c>
      <c r="F164" s="13">
        <f>+F166</f>
        <v>-3497575.9</v>
      </c>
      <c r="G164" s="13">
        <f t="shared" ref="G164:H164" si="74">+G166</f>
        <v>-7059197.4000000004</v>
      </c>
      <c r="H164" s="13">
        <f t="shared" si="74"/>
        <v>-8085579.2999999998</v>
      </c>
    </row>
    <row r="165" spans="2:9">
      <c r="B165" s="3"/>
      <c r="C165" s="3"/>
      <c r="D165" s="164" t="s">
        <v>92</v>
      </c>
      <c r="E165" s="174"/>
      <c r="F165" s="174"/>
      <c r="G165" s="175"/>
      <c r="H165" s="176"/>
    </row>
    <row r="166" spans="2:9">
      <c r="B166" s="3"/>
      <c r="C166" s="3"/>
      <c r="D166" s="167" t="s">
        <v>110</v>
      </c>
      <c r="E166" s="332">
        <v>-716796.9</v>
      </c>
      <c r="F166" s="332">
        <v>-3497575.9</v>
      </c>
      <c r="G166" s="332">
        <v>-7059197.4000000004</v>
      </c>
      <c r="H166" s="332">
        <f>+'Havelvats 3'!D131</f>
        <v>-8085579.2999999998</v>
      </c>
      <c r="I166" s="425"/>
    </row>
    <row r="167" spans="2:9" ht="50.75">
      <c r="B167" s="182">
        <v>1183</v>
      </c>
      <c r="C167" s="182">
        <v>32003</v>
      </c>
      <c r="D167" s="4" t="s">
        <v>337</v>
      </c>
      <c r="E167" s="13">
        <f>+E169</f>
        <v>680685.6</v>
      </c>
      <c r="F167" s="13">
        <f>+F169</f>
        <v>3497575.9000000004</v>
      </c>
      <c r="G167" s="13">
        <f t="shared" ref="G167:H167" si="75">+G169</f>
        <v>7941889.7999999989</v>
      </c>
      <c r="H167" s="13">
        <f t="shared" si="75"/>
        <v>10343434.9</v>
      </c>
    </row>
    <row r="168" spans="2:9">
      <c r="B168" s="3"/>
      <c r="C168" s="3"/>
      <c r="D168" s="164" t="s">
        <v>92</v>
      </c>
      <c r="E168" s="174"/>
      <c r="F168" s="174"/>
      <c r="G168" s="175"/>
      <c r="H168" s="176"/>
    </row>
    <row r="169" spans="2:9">
      <c r="B169" s="719"/>
      <c r="C169" s="719"/>
      <c r="D169" s="167" t="s">
        <v>110</v>
      </c>
      <c r="E169" s="332">
        <f>+E171+E172+E175+E177+E179+E183+E186+E189+E193+E197+E201</f>
        <v>680685.6</v>
      </c>
      <c r="F169" s="332">
        <f>+F171+F172+F175+F177+F179+F183+F186+F189+F193+F197+F201</f>
        <v>3497575.9000000004</v>
      </c>
      <c r="G169" s="332">
        <f t="shared" ref="G169:H169" si="76">+G171+G172+G175+G177+G179+G183+G186+G189+G193+G197+G201</f>
        <v>7941889.7999999989</v>
      </c>
      <c r="H169" s="332">
        <f t="shared" si="76"/>
        <v>10343434.9</v>
      </c>
      <c r="I169" s="425"/>
    </row>
    <row r="170" spans="2:9">
      <c r="B170" s="717"/>
      <c r="C170" s="717"/>
      <c r="D170" s="164" t="s">
        <v>148</v>
      </c>
      <c r="E170" s="166"/>
      <c r="F170" s="166"/>
      <c r="G170" s="166"/>
      <c r="H170" s="10"/>
      <c r="I170" s="432"/>
    </row>
    <row r="171" spans="2:9" ht="91.95" customHeight="1">
      <c r="B171" s="717"/>
      <c r="C171" s="717"/>
      <c r="D171" s="327" t="s">
        <v>327</v>
      </c>
      <c r="E171" s="367">
        <v>0</v>
      </c>
      <c r="F171" s="382">
        <v>25000</v>
      </c>
      <c r="G171" s="382">
        <v>50000</v>
      </c>
      <c r="H171" s="382">
        <v>50000</v>
      </c>
      <c r="I171" s="433"/>
    </row>
    <row r="172" spans="2:9">
      <c r="B172" s="717"/>
      <c r="C172" s="717"/>
      <c r="D172" s="359" t="s">
        <v>282</v>
      </c>
      <c r="E172" s="349">
        <f>+E173+E174</f>
        <v>95017.600000000006</v>
      </c>
      <c r="F172" s="349">
        <f t="shared" ref="F172:H172" si="77">+F173+F174</f>
        <v>380070.7</v>
      </c>
      <c r="G172" s="349">
        <f t="shared" si="77"/>
        <v>760141.3</v>
      </c>
      <c r="H172" s="349">
        <f t="shared" si="77"/>
        <v>974161.00000000012</v>
      </c>
      <c r="I172" s="434"/>
    </row>
    <row r="173" spans="2:9">
      <c r="B173" s="717"/>
      <c r="C173" s="717"/>
      <c r="D173" s="325" t="s">
        <v>313</v>
      </c>
      <c r="E173" s="181">
        <v>52161.1</v>
      </c>
      <c r="F173" s="181">
        <v>208644.5</v>
      </c>
      <c r="G173" s="181">
        <v>417289</v>
      </c>
      <c r="H173" s="181">
        <f>+'Havelvats 3'!D136</f>
        <v>523207.00000000017</v>
      </c>
      <c r="I173" s="434"/>
    </row>
    <row r="174" spans="2:9">
      <c r="B174" s="717"/>
      <c r="C174" s="717"/>
      <c r="D174" s="328" t="s">
        <v>463</v>
      </c>
      <c r="E174" s="181">
        <v>42856.5</v>
      </c>
      <c r="F174" s="181">
        <v>171426.2</v>
      </c>
      <c r="G174" s="181">
        <v>342852.3</v>
      </c>
      <c r="H174" s="181">
        <f>+'Havelvats 3'!D137</f>
        <v>450953.99999999994</v>
      </c>
      <c r="I174" s="435"/>
    </row>
    <row r="175" spans="2:9">
      <c r="B175" s="717"/>
      <c r="C175" s="717"/>
      <c r="D175" s="380" t="s">
        <v>176</v>
      </c>
      <c r="E175" s="349">
        <f>+E176</f>
        <v>48361.3</v>
      </c>
      <c r="F175" s="349">
        <f t="shared" ref="F175" si="78">+F176</f>
        <v>193445.3</v>
      </c>
      <c r="G175" s="349">
        <f t="shared" ref="G175" si="79">+G176</f>
        <v>386890.6</v>
      </c>
      <c r="H175" s="349">
        <f t="shared" ref="H175" si="80">+H176</f>
        <v>489623</v>
      </c>
      <c r="I175" s="427"/>
    </row>
    <row r="176" spans="2:9">
      <c r="B176" s="717"/>
      <c r="C176" s="717"/>
      <c r="D176" s="325" t="s">
        <v>314</v>
      </c>
      <c r="E176" s="181">
        <v>48361.3</v>
      </c>
      <c r="F176" s="181">
        <v>193445.3</v>
      </c>
      <c r="G176" s="181">
        <v>386890.6</v>
      </c>
      <c r="H176" s="181">
        <f>+'Havelvats 3'!D139</f>
        <v>489623</v>
      </c>
      <c r="I176" s="429"/>
    </row>
    <row r="177" spans="2:9">
      <c r="B177" s="717"/>
      <c r="C177" s="717"/>
      <c r="D177" s="359" t="s">
        <v>182</v>
      </c>
      <c r="E177" s="349">
        <f>+E178</f>
        <v>0</v>
      </c>
      <c r="F177" s="349">
        <f t="shared" ref="F177:H177" si="81">+F178</f>
        <v>134715.79999999999</v>
      </c>
      <c r="G177" s="349">
        <f t="shared" si="81"/>
        <v>269431.7</v>
      </c>
      <c r="H177" s="349">
        <f t="shared" si="81"/>
        <v>338331.5</v>
      </c>
      <c r="I177" s="431"/>
    </row>
    <row r="178" spans="2:9">
      <c r="B178" s="717"/>
      <c r="C178" s="717"/>
      <c r="D178" s="325" t="s">
        <v>315</v>
      </c>
      <c r="E178" s="181">
        <v>0</v>
      </c>
      <c r="F178" s="181">
        <v>134715.79999999999</v>
      </c>
      <c r="G178" s="181">
        <v>269431.7</v>
      </c>
      <c r="H178" s="181">
        <f>+'Havelvats 3'!D141</f>
        <v>338331.5</v>
      </c>
      <c r="I178" s="431"/>
    </row>
    <row r="179" spans="2:9">
      <c r="B179" s="717"/>
      <c r="C179" s="717"/>
      <c r="D179" s="359" t="s">
        <v>184</v>
      </c>
      <c r="E179" s="180">
        <f>+E180+E181+E182</f>
        <v>45706.9</v>
      </c>
      <c r="F179" s="180">
        <f t="shared" ref="F179:H179" si="82">+F180+F181+F182</f>
        <v>489367.6</v>
      </c>
      <c r="G179" s="180">
        <f t="shared" si="82"/>
        <v>1129230.1000000001</v>
      </c>
      <c r="H179" s="180">
        <f t="shared" si="82"/>
        <v>1491056.5</v>
      </c>
      <c r="I179" s="426"/>
    </row>
    <row r="180" spans="2:9" ht="36">
      <c r="B180" s="717"/>
      <c r="C180" s="717"/>
      <c r="D180" s="325" t="s">
        <v>316</v>
      </c>
      <c r="E180" s="181">
        <v>0</v>
      </c>
      <c r="F180" s="181">
        <v>186065.4</v>
      </c>
      <c r="G180" s="181">
        <v>372130.9</v>
      </c>
      <c r="H180" s="181">
        <f>+'Havelvats 3'!D143</f>
        <v>465163.60000000003</v>
      </c>
      <c r="I180" s="428"/>
    </row>
    <row r="181" spans="2:9">
      <c r="B181" s="717"/>
      <c r="C181" s="717"/>
      <c r="D181" s="325" t="s">
        <v>317</v>
      </c>
      <c r="E181" s="181">
        <v>45706.9</v>
      </c>
      <c r="F181" s="181">
        <v>182827.4</v>
      </c>
      <c r="G181" s="181">
        <v>365654.8</v>
      </c>
      <c r="H181" s="181">
        <f>+'Havelvats 3'!D144</f>
        <v>474310.3</v>
      </c>
      <c r="I181" s="430"/>
    </row>
    <row r="182" spans="2:9">
      <c r="B182" s="717"/>
      <c r="C182" s="717"/>
      <c r="D182" s="325" t="s">
        <v>331</v>
      </c>
      <c r="E182" s="181">
        <v>0</v>
      </c>
      <c r="F182" s="181">
        <v>120474.8</v>
      </c>
      <c r="G182" s="181">
        <v>391444.4</v>
      </c>
      <c r="H182" s="181">
        <f>+'Havelvats 3'!D145</f>
        <v>551582.60000000009</v>
      </c>
    </row>
    <row r="183" spans="2:9">
      <c r="B183" s="717"/>
      <c r="C183" s="717"/>
      <c r="D183" s="380" t="s">
        <v>173</v>
      </c>
      <c r="E183" s="180">
        <f>+E184+E185</f>
        <v>52304.7</v>
      </c>
      <c r="F183" s="180">
        <f t="shared" ref="F183" si="83">+F184+F185</f>
        <v>369346.1</v>
      </c>
      <c r="G183" s="180">
        <f t="shared" ref="G183" si="84">+G184+G185</f>
        <v>738692.1</v>
      </c>
      <c r="H183" s="180">
        <f t="shared" ref="H183" si="85">+H184+H185</f>
        <v>966784.5</v>
      </c>
    </row>
    <row r="184" spans="2:9">
      <c r="B184" s="717"/>
      <c r="C184" s="717"/>
      <c r="D184" s="325" t="s">
        <v>319</v>
      </c>
      <c r="E184" s="181">
        <v>0</v>
      </c>
      <c r="F184" s="181">
        <v>160127.29999999999</v>
      </c>
      <c r="G184" s="181">
        <v>320254.59999999998</v>
      </c>
      <c r="H184" s="181">
        <f>+'Havelvats 3'!D147</f>
        <v>400318.2</v>
      </c>
    </row>
    <row r="185" spans="2:9">
      <c r="B185" s="717"/>
      <c r="C185" s="717"/>
      <c r="D185" s="325" t="s">
        <v>318</v>
      </c>
      <c r="E185" s="181">
        <v>52304.7</v>
      </c>
      <c r="F185" s="181">
        <v>209218.8</v>
      </c>
      <c r="G185" s="181">
        <v>418437.5</v>
      </c>
      <c r="H185" s="181">
        <f>+'Havelvats 3'!D148</f>
        <v>566466.30000000005</v>
      </c>
    </row>
    <row r="186" spans="2:9">
      <c r="B186" s="717"/>
      <c r="C186" s="717"/>
      <c r="D186" s="380" t="s">
        <v>180</v>
      </c>
      <c r="E186" s="180">
        <f>+E187+E188</f>
        <v>86516.1</v>
      </c>
      <c r="F186" s="180">
        <f t="shared" ref="F186:H186" si="86">+F187+F188</f>
        <v>346064.1</v>
      </c>
      <c r="G186" s="180">
        <f t="shared" si="86"/>
        <v>692128.2</v>
      </c>
      <c r="H186" s="180">
        <f t="shared" si="86"/>
        <v>865160.3</v>
      </c>
    </row>
    <row r="187" spans="2:9">
      <c r="B187" s="717"/>
      <c r="C187" s="717"/>
      <c r="D187" s="325" t="s">
        <v>320</v>
      </c>
      <c r="E187" s="181">
        <v>45366.6</v>
      </c>
      <c r="F187" s="181">
        <v>181466.2</v>
      </c>
      <c r="G187" s="181">
        <v>362932.4</v>
      </c>
      <c r="H187" s="181">
        <f>+'Havelvats 3'!D150</f>
        <v>453665.5</v>
      </c>
    </row>
    <row r="188" spans="2:9">
      <c r="B188" s="717"/>
      <c r="C188" s="717"/>
      <c r="D188" s="325" t="s">
        <v>321</v>
      </c>
      <c r="E188" s="181">
        <v>41149.5</v>
      </c>
      <c r="F188" s="181">
        <v>164597.9</v>
      </c>
      <c r="G188" s="181">
        <v>329195.8</v>
      </c>
      <c r="H188" s="181">
        <f>+'Havelvats 3'!D151</f>
        <v>411494.8</v>
      </c>
    </row>
    <row r="189" spans="2:9">
      <c r="B189" s="717"/>
      <c r="C189" s="717"/>
      <c r="D189" s="380" t="s">
        <v>146</v>
      </c>
      <c r="E189" s="180">
        <f>+E190+E191+E192</f>
        <v>40000</v>
      </c>
      <c r="F189" s="180">
        <f t="shared" ref="F189" si="87">+F190+F191+F192</f>
        <v>364964.8</v>
      </c>
      <c r="G189" s="180">
        <f t="shared" ref="G189" si="88">+G190+G191+G192</f>
        <v>1129260.8</v>
      </c>
      <c r="H189" s="180">
        <f t="shared" ref="H189" si="89">+H190+H191+H192</f>
        <v>1619426.7999999998</v>
      </c>
    </row>
    <row r="190" spans="2:9">
      <c r="B190" s="717"/>
      <c r="C190" s="717"/>
      <c r="D190" s="325" t="s">
        <v>322</v>
      </c>
      <c r="E190" s="181">
        <v>40000</v>
      </c>
      <c r="F190" s="181">
        <v>160000</v>
      </c>
      <c r="G190" s="181">
        <v>430336.6</v>
      </c>
      <c r="H190" s="181">
        <f>+'Havelvats 3'!D153</f>
        <v>636211.19999999995</v>
      </c>
    </row>
    <row r="191" spans="2:9">
      <c r="B191" s="717"/>
      <c r="C191" s="717"/>
      <c r="D191" s="325" t="s">
        <v>332</v>
      </c>
      <c r="E191" s="181">
        <v>0</v>
      </c>
      <c r="F191" s="181">
        <v>102969.1</v>
      </c>
      <c r="G191" s="181">
        <v>350597.7</v>
      </c>
      <c r="H191" s="181">
        <f>+'Havelvats 3'!D154</f>
        <v>493230.2</v>
      </c>
    </row>
    <row r="192" spans="2:9">
      <c r="B192" s="717"/>
      <c r="C192" s="717"/>
      <c r="D192" s="325" t="s">
        <v>333</v>
      </c>
      <c r="E192" s="181">
        <v>0</v>
      </c>
      <c r="F192" s="181">
        <v>101995.7</v>
      </c>
      <c r="G192" s="181">
        <v>348326.5</v>
      </c>
      <c r="H192" s="181">
        <f>+'Havelvats 3'!D155</f>
        <v>489985.39999999997</v>
      </c>
    </row>
    <row r="193" spans="2:8">
      <c r="B193" s="717"/>
      <c r="C193" s="717"/>
      <c r="D193" s="380" t="s">
        <v>177</v>
      </c>
      <c r="E193" s="180">
        <f>+E194+E195+E196</f>
        <v>134173.1</v>
      </c>
      <c r="F193" s="180">
        <f t="shared" ref="F193" si="90">+F194+F195+F196</f>
        <v>524726</v>
      </c>
      <c r="G193" s="180">
        <f t="shared" ref="G193" si="91">+G194+G195+G196</f>
        <v>1270124.8999999999</v>
      </c>
      <c r="H193" s="180">
        <f t="shared" ref="H193" si="92">+H194+H195+H196</f>
        <v>1586613.5</v>
      </c>
    </row>
    <row r="194" spans="2:8" ht="36">
      <c r="B194" s="717"/>
      <c r="C194" s="717"/>
      <c r="D194" s="325" t="s">
        <v>323</v>
      </c>
      <c r="E194" s="181">
        <v>40000</v>
      </c>
      <c r="F194" s="181">
        <v>160000</v>
      </c>
      <c r="G194" s="181">
        <v>430336.6</v>
      </c>
      <c r="H194" s="181">
        <f>+'Havelvats 3'!D157</f>
        <v>561454.4</v>
      </c>
    </row>
    <row r="195" spans="2:8">
      <c r="B195" s="717"/>
      <c r="C195" s="717"/>
      <c r="D195" s="325" t="s">
        <v>324</v>
      </c>
      <c r="E195" s="181">
        <v>42991.6</v>
      </c>
      <c r="F195" s="181">
        <v>160000</v>
      </c>
      <c r="G195" s="181">
        <v>430336.2</v>
      </c>
      <c r="H195" s="181">
        <f>+'Havelvats 3'!D158</f>
        <v>513323.1</v>
      </c>
    </row>
    <row r="196" spans="2:8">
      <c r="B196" s="717"/>
      <c r="C196" s="717"/>
      <c r="D196" s="325" t="s">
        <v>325</v>
      </c>
      <c r="E196" s="181">
        <v>51181.5</v>
      </c>
      <c r="F196" s="181">
        <v>204726</v>
      </c>
      <c r="G196" s="181">
        <v>409452.1</v>
      </c>
      <c r="H196" s="181">
        <f>+'Havelvats 3'!D159</f>
        <v>511836</v>
      </c>
    </row>
    <row r="197" spans="2:8">
      <c r="B197" s="717"/>
      <c r="C197" s="717"/>
      <c r="D197" s="380" t="s">
        <v>274</v>
      </c>
      <c r="E197" s="180">
        <f>+E198+E199+E200</f>
        <v>178605.90000000002</v>
      </c>
      <c r="F197" s="180">
        <f t="shared" ref="F197:H197" si="93">+F198+F199+F200</f>
        <v>566359.80000000005</v>
      </c>
      <c r="G197" s="180">
        <f t="shared" si="93"/>
        <v>1164116.7999999998</v>
      </c>
      <c r="H197" s="180">
        <f t="shared" si="93"/>
        <v>1467225.3</v>
      </c>
    </row>
    <row r="198" spans="2:8">
      <c r="B198" s="717"/>
      <c r="C198" s="717"/>
      <c r="D198" s="325" t="s">
        <v>326</v>
      </c>
      <c r="E198" s="181">
        <v>78939.600000000006</v>
      </c>
      <c r="F198" s="181">
        <v>197349</v>
      </c>
      <c r="G198" s="181">
        <v>315758.40000000002</v>
      </c>
      <c r="H198" s="181">
        <f>+'Havelvats 3'!D161</f>
        <v>394698</v>
      </c>
    </row>
    <row r="199" spans="2:8">
      <c r="B199" s="717"/>
      <c r="C199" s="717"/>
      <c r="D199" s="325" t="s">
        <v>334</v>
      </c>
      <c r="E199" s="181">
        <v>40897.5</v>
      </c>
      <c r="F199" s="181">
        <v>133935.79999999999</v>
      </c>
      <c r="G199" s="181">
        <v>378208.3</v>
      </c>
      <c r="H199" s="181">
        <f>+'Havelvats 3'!D162</f>
        <v>484839.70000000007</v>
      </c>
    </row>
    <row r="200" spans="2:8">
      <c r="B200" s="717"/>
      <c r="C200" s="717"/>
      <c r="D200" s="325" t="s">
        <v>335</v>
      </c>
      <c r="E200" s="181">
        <v>58768.800000000003</v>
      </c>
      <c r="F200" s="181">
        <v>235075</v>
      </c>
      <c r="G200" s="181">
        <v>470150.1</v>
      </c>
      <c r="H200" s="181">
        <f>+'Havelvats 3'!D163</f>
        <v>587687.6</v>
      </c>
    </row>
    <row r="201" spans="2:8">
      <c r="B201" s="717"/>
      <c r="C201" s="717"/>
      <c r="D201" s="380" t="s">
        <v>175</v>
      </c>
      <c r="E201" s="349">
        <f>+E202</f>
        <v>0</v>
      </c>
      <c r="F201" s="349">
        <f t="shared" ref="F201:H201" si="94">+F202</f>
        <v>103515.7</v>
      </c>
      <c r="G201" s="349">
        <f t="shared" si="94"/>
        <v>351873.3</v>
      </c>
      <c r="H201" s="349">
        <f t="shared" si="94"/>
        <v>495052.5</v>
      </c>
    </row>
    <row r="202" spans="2:8" ht="36">
      <c r="B202" s="718"/>
      <c r="C202" s="718"/>
      <c r="D202" s="325" t="s">
        <v>336</v>
      </c>
      <c r="E202" s="181">
        <v>0</v>
      </c>
      <c r="F202" s="181">
        <v>103515.7</v>
      </c>
      <c r="G202" s="181">
        <v>351873.3</v>
      </c>
      <c r="H202" s="181">
        <f>+'Havelvats 3'!D165</f>
        <v>495052.5</v>
      </c>
    </row>
    <row r="203" spans="2:8" ht="50.75">
      <c r="B203" s="366">
        <v>1183</v>
      </c>
      <c r="C203" s="366">
        <v>32007</v>
      </c>
      <c r="D203" s="346" t="s">
        <v>338</v>
      </c>
      <c r="E203" s="367">
        <f>+E205</f>
        <v>0</v>
      </c>
      <c r="F203" s="367">
        <f t="shared" ref="F203:H203" si="95">+F205</f>
        <v>0</v>
      </c>
      <c r="G203" s="367">
        <f t="shared" si="95"/>
        <v>-750652.10000000009</v>
      </c>
      <c r="H203" s="13">
        <f t="shared" si="95"/>
        <v>-853876.50000000012</v>
      </c>
    </row>
    <row r="204" spans="2:8">
      <c r="B204" s="3"/>
      <c r="C204" s="3"/>
      <c r="D204" s="164" t="s">
        <v>92</v>
      </c>
      <c r="E204" s="176"/>
      <c r="F204" s="176"/>
      <c r="G204" s="176"/>
      <c r="H204" s="176"/>
    </row>
    <row r="205" spans="2:8">
      <c r="B205" s="719"/>
      <c r="C205" s="719"/>
      <c r="D205" s="167" t="s">
        <v>110</v>
      </c>
      <c r="E205" s="332">
        <f>+E207+E212+E215+E221+E223</f>
        <v>0</v>
      </c>
      <c r="F205" s="332">
        <f t="shared" ref="F205:H205" si="96">+F207+F212+F215+F221+F223</f>
        <v>0</v>
      </c>
      <c r="G205" s="332">
        <f t="shared" si="96"/>
        <v>-750652.10000000009</v>
      </c>
      <c r="H205" s="332">
        <f t="shared" si="96"/>
        <v>-853876.50000000012</v>
      </c>
    </row>
    <row r="206" spans="2:8">
      <c r="B206" s="717"/>
      <c r="C206" s="717"/>
      <c r="D206" s="164" t="s">
        <v>148</v>
      </c>
      <c r="E206" s="166"/>
      <c r="F206" s="166"/>
      <c r="G206" s="166"/>
      <c r="H206" s="10"/>
    </row>
    <row r="207" spans="2:8">
      <c r="B207" s="717"/>
      <c r="C207" s="717"/>
      <c r="D207" s="380" t="s">
        <v>178</v>
      </c>
      <c r="E207" s="349">
        <f>+E208+E209+E210+E211</f>
        <v>0</v>
      </c>
      <c r="F207" s="349">
        <f t="shared" ref="F207:H207" si="97">+F208+F209+F210+F211</f>
        <v>0</v>
      </c>
      <c r="G207" s="349">
        <f t="shared" si="97"/>
        <v>-161438.29999999999</v>
      </c>
      <c r="H207" s="349">
        <f t="shared" si="97"/>
        <v>-183861.1</v>
      </c>
    </row>
    <row r="208" spans="2:8" ht="36">
      <c r="B208" s="717"/>
      <c r="C208" s="717"/>
      <c r="D208" s="325" t="s">
        <v>339</v>
      </c>
      <c r="E208" s="181">
        <v>0</v>
      </c>
      <c r="F208" s="181">
        <v>0</v>
      </c>
      <c r="G208" s="181">
        <f>126192.2-171289.9</f>
        <v>-45097.7</v>
      </c>
      <c r="H208" s="181">
        <f>+'Havelvats 3'!D169</f>
        <v>-47791.799999999988</v>
      </c>
    </row>
    <row r="209" spans="2:8" ht="36">
      <c r="B209" s="717"/>
      <c r="C209" s="717"/>
      <c r="D209" s="325" t="s">
        <v>340</v>
      </c>
      <c r="E209" s="181">
        <f>26138.6-21532.3</f>
        <v>4606.2999999999993</v>
      </c>
      <c r="F209" s="181">
        <f>78415.7-64596.9</f>
        <v>13818.799999999996</v>
      </c>
      <c r="G209" s="181">
        <f>134797-150726</f>
        <v>-15929</v>
      </c>
      <c r="H209" s="181">
        <f>+'Havelvats 3'!D170</f>
        <v>-19834.700000000012</v>
      </c>
    </row>
    <row r="210" spans="2:8" ht="36">
      <c r="B210" s="717"/>
      <c r="C210" s="717"/>
      <c r="D210" s="325" t="s">
        <v>341</v>
      </c>
      <c r="E210" s="181">
        <f>21532.3-26138.6</f>
        <v>-4606.2999999999993</v>
      </c>
      <c r="F210" s="181">
        <f>64596.9-78415.7</f>
        <v>-13818.799999999996</v>
      </c>
      <c r="G210" s="181">
        <f>111042.4-182969.9</f>
        <v>-71927.5</v>
      </c>
      <c r="H210" s="181">
        <f>+'Havelvats 3'!D171</f>
        <v>-86825.200000000012</v>
      </c>
    </row>
    <row r="211" spans="2:8" ht="36">
      <c r="B211" s="717"/>
      <c r="C211" s="717"/>
      <c r="D211" s="325" t="s">
        <v>342</v>
      </c>
      <c r="E211" s="181">
        <v>0</v>
      </c>
      <c r="F211" s="181">
        <v>0</v>
      </c>
      <c r="G211" s="181">
        <f>79704.1-108188.2</f>
        <v>-28484.099999999991</v>
      </c>
      <c r="H211" s="181">
        <f>+'Havelvats 3'!D172</f>
        <v>-29409.399999999994</v>
      </c>
    </row>
    <row r="212" spans="2:8">
      <c r="B212" s="717"/>
      <c r="C212" s="717"/>
      <c r="D212" s="380" t="s">
        <v>282</v>
      </c>
      <c r="E212" s="349">
        <f>+E213+E214</f>
        <v>0</v>
      </c>
      <c r="F212" s="349">
        <f t="shared" ref="F212:H212" si="98">+F213+F214</f>
        <v>0</v>
      </c>
      <c r="G212" s="349">
        <f t="shared" si="98"/>
        <v>-71890.100000000006</v>
      </c>
      <c r="H212" s="349">
        <f t="shared" si="98"/>
        <v>-93251.1</v>
      </c>
    </row>
    <row r="213" spans="2:8">
      <c r="B213" s="717"/>
      <c r="C213" s="717"/>
      <c r="D213" s="325" t="s">
        <v>343</v>
      </c>
      <c r="E213" s="181">
        <v>0</v>
      </c>
      <c r="F213" s="181">
        <v>0</v>
      </c>
      <c r="G213" s="181">
        <f>109977.9-149281</f>
        <v>-39303.100000000006</v>
      </c>
      <c r="H213" s="181">
        <f>+'Havelvats 3'!D174</f>
        <v>-50986.100000000006</v>
      </c>
    </row>
    <row r="214" spans="2:8">
      <c r="B214" s="717"/>
      <c r="C214" s="717"/>
      <c r="D214" s="325" t="s">
        <v>344</v>
      </c>
      <c r="E214" s="181">
        <v>0</v>
      </c>
      <c r="F214" s="181">
        <v>0</v>
      </c>
      <c r="G214" s="181">
        <f>91184.9-123771.9</f>
        <v>-32587</v>
      </c>
      <c r="H214" s="181">
        <f>+'Havelvats 3'!D175</f>
        <v>-42265</v>
      </c>
    </row>
    <row r="215" spans="2:8">
      <c r="B215" s="717"/>
      <c r="C215" s="717"/>
      <c r="D215" s="380" t="s">
        <v>182</v>
      </c>
      <c r="E215" s="349">
        <f>+E216+E217+E218+E219+E220</f>
        <v>0</v>
      </c>
      <c r="F215" s="349">
        <f t="shared" ref="F215:H215" si="99">+F216+F217+F218+F219+F220</f>
        <v>0</v>
      </c>
      <c r="G215" s="349">
        <f t="shared" si="99"/>
        <v>-262366.5</v>
      </c>
      <c r="H215" s="349">
        <f t="shared" si="99"/>
        <v>-253327.60000000003</v>
      </c>
    </row>
    <row r="216" spans="2:8">
      <c r="B216" s="717"/>
      <c r="C216" s="717"/>
      <c r="D216" s="325" t="s">
        <v>345</v>
      </c>
      <c r="E216" s="181">
        <v>0</v>
      </c>
      <c r="F216" s="181">
        <v>0</v>
      </c>
      <c r="G216" s="181">
        <f>95657.8-129843.4</f>
        <v>-34185.599999999991</v>
      </c>
      <c r="H216" s="181">
        <f>+'Havelvats 3'!D177</f>
        <v>-44339.899999999994</v>
      </c>
    </row>
    <row r="217" spans="2:8" ht="36">
      <c r="B217" s="717"/>
      <c r="C217" s="717"/>
      <c r="D217" s="325" t="s">
        <v>346</v>
      </c>
      <c r="E217" s="181">
        <v>0</v>
      </c>
      <c r="F217" s="181">
        <v>0</v>
      </c>
      <c r="G217" s="181">
        <f>191767.9-260300.7</f>
        <v>-68532.800000000017</v>
      </c>
      <c r="H217" s="181">
        <f>+'Havelvats 3'!D178</f>
        <v>-72398.500000000058</v>
      </c>
    </row>
    <row r="218" spans="2:8" ht="36">
      <c r="B218" s="717"/>
      <c r="C218" s="717"/>
      <c r="D218" s="325" t="s">
        <v>347</v>
      </c>
      <c r="E218" s="181">
        <v>0</v>
      </c>
      <c r="F218" s="181">
        <v>0</v>
      </c>
      <c r="G218" s="181">
        <f>143442-194704.3</f>
        <v>-51262.299999999988</v>
      </c>
      <c r="H218" s="181">
        <f>+'Havelvats 3'!D179</f>
        <v>-66509.700000000012</v>
      </c>
    </row>
    <row r="219" spans="2:8" ht="36">
      <c r="B219" s="717"/>
      <c r="C219" s="717"/>
      <c r="D219" s="325" t="s">
        <v>348</v>
      </c>
      <c r="E219" s="181">
        <v>0</v>
      </c>
      <c r="F219" s="181">
        <v>0</v>
      </c>
      <c r="G219" s="181">
        <f>163913.4-222491.6</f>
        <v>-58578.200000000012</v>
      </c>
      <c r="H219" s="181">
        <f>+'Havelvats 3'!D180</f>
        <v>-5459.3999999999942</v>
      </c>
    </row>
    <row r="220" spans="2:8">
      <c r="B220" s="717"/>
      <c r="C220" s="717"/>
      <c r="D220" s="325" t="s">
        <v>349</v>
      </c>
      <c r="E220" s="181">
        <v>0</v>
      </c>
      <c r="F220" s="181">
        <v>0</v>
      </c>
      <c r="G220" s="181">
        <f>139371.5-189179.1</f>
        <v>-49807.600000000006</v>
      </c>
      <c r="H220" s="181">
        <f>+'Havelvats 3'!D181</f>
        <v>-64620.099999999977</v>
      </c>
    </row>
    <row r="221" spans="2:8">
      <c r="B221" s="717"/>
      <c r="C221" s="717"/>
      <c r="D221" s="380" t="s">
        <v>184</v>
      </c>
      <c r="E221" s="349">
        <f>+E222</f>
        <v>0</v>
      </c>
      <c r="F221" s="349">
        <f t="shared" ref="F221:H221" si="100">+F222</f>
        <v>0</v>
      </c>
      <c r="G221" s="349">
        <f t="shared" si="100"/>
        <v>-47267.800000000017</v>
      </c>
      <c r="H221" s="349">
        <f t="shared" si="100"/>
        <v>-61332.100000000035</v>
      </c>
    </row>
    <row r="222" spans="2:8">
      <c r="B222" s="717"/>
      <c r="C222" s="717"/>
      <c r="D222" s="325" t="s">
        <v>350</v>
      </c>
      <c r="E222" s="181">
        <v>0</v>
      </c>
      <c r="F222" s="181">
        <v>0</v>
      </c>
      <c r="G222" s="181">
        <f>132264.4-179532.2</f>
        <v>-47267.800000000017</v>
      </c>
      <c r="H222" s="181">
        <f>+'Havelvats 3'!D183</f>
        <v>-61332.100000000035</v>
      </c>
    </row>
    <row r="223" spans="2:8">
      <c r="B223" s="717"/>
      <c r="C223" s="717"/>
      <c r="D223" s="380" t="s">
        <v>173</v>
      </c>
      <c r="E223" s="349">
        <f>+E224+E225+E226+E227+E228</f>
        <v>0</v>
      </c>
      <c r="F223" s="349">
        <f t="shared" ref="F223:H223" si="101">+F224+F225+F226+F227+F228</f>
        <v>0</v>
      </c>
      <c r="G223" s="349">
        <f t="shared" si="101"/>
        <v>-207689.40000000002</v>
      </c>
      <c r="H223" s="349">
        <f t="shared" si="101"/>
        <v>-262104.59999999998</v>
      </c>
    </row>
    <row r="224" spans="2:8" ht="36">
      <c r="B224" s="717"/>
      <c r="C224" s="717"/>
      <c r="D224" s="325" t="s">
        <v>352</v>
      </c>
      <c r="E224" s="181">
        <v>0</v>
      </c>
      <c r="F224" s="181">
        <v>0</v>
      </c>
      <c r="G224" s="181">
        <f>111266.4-151030</f>
        <v>-39763.600000000006</v>
      </c>
      <c r="H224" s="181">
        <f>+'Havelvats 3'!D185</f>
        <v>-51585.700000000012</v>
      </c>
    </row>
    <row r="225" spans="2:8" ht="36">
      <c r="B225" s="717"/>
      <c r="C225" s="717"/>
      <c r="D225" s="325" t="s">
        <v>351</v>
      </c>
      <c r="E225" s="181">
        <v>0</v>
      </c>
      <c r="F225" s="181">
        <v>0</v>
      </c>
      <c r="G225" s="181">
        <f>129294.7-175501.3</f>
        <v>-46206.599999999991</v>
      </c>
      <c r="H225" s="181">
        <f>+'Havelvats 3'!D186</f>
        <v>-59953.599999999977</v>
      </c>
    </row>
    <row r="226" spans="2:8">
      <c r="B226" s="717"/>
      <c r="C226" s="717"/>
      <c r="D226" s="325" t="s">
        <v>353</v>
      </c>
      <c r="E226" s="181">
        <v>0</v>
      </c>
      <c r="F226" s="181">
        <v>0</v>
      </c>
      <c r="G226" s="181">
        <f>91758.9-124551.1</f>
        <v>-32792.200000000012</v>
      </c>
      <c r="H226" s="181">
        <f>+'Havelvats 3'!D187</f>
        <v>-42530.699999999983</v>
      </c>
    </row>
    <row r="227" spans="2:8">
      <c r="B227" s="717"/>
      <c r="C227" s="717"/>
      <c r="D227" s="325" t="s">
        <v>354</v>
      </c>
      <c r="E227" s="181">
        <v>0</v>
      </c>
      <c r="F227" s="181">
        <v>0</v>
      </c>
      <c r="G227" s="181">
        <f>118953.9-161464.9</f>
        <v>-42511</v>
      </c>
      <c r="H227" s="181">
        <f>+'Havelvats 3'!D188</f>
        <v>-55153</v>
      </c>
    </row>
    <row r="228" spans="2:8">
      <c r="B228" s="718"/>
      <c r="C228" s="718"/>
      <c r="D228" s="325" t="s">
        <v>355</v>
      </c>
      <c r="E228" s="181">
        <v>0</v>
      </c>
      <c r="F228" s="181">
        <v>0</v>
      </c>
      <c r="G228" s="181">
        <f>129881.1-176297.1</f>
        <v>-46416</v>
      </c>
      <c r="H228" s="181">
        <f>+'Havelvats 3'!D189</f>
        <v>-52881.600000000006</v>
      </c>
    </row>
    <row r="229" spans="2:8" ht="50.75">
      <c r="B229" s="366">
        <v>1183</v>
      </c>
      <c r="C229" s="366">
        <v>32009</v>
      </c>
      <c r="D229" s="346" t="s">
        <v>358</v>
      </c>
      <c r="E229" s="367">
        <f>+E231</f>
        <v>0</v>
      </c>
      <c r="F229" s="367">
        <f t="shared" ref="F229:H229" si="102">+F231</f>
        <v>0</v>
      </c>
      <c r="G229" s="367">
        <f t="shared" si="102"/>
        <v>-132040.29999999999</v>
      </c>
      <c r="H229" s="367">
        <f t="shared" si="102"/>
        <v>-108596.30000000006</v>
      </c>
    </row>
    <row r="230" spans="2:8">
      <c r="B230" s="3"/>
      <c r="C230" s="3"/>
      <c r="D230" s="164" t="s">
        <v>92</v>
      </c>
      <c r="E230" s="176"/>
      <c r="F230" s="176"/>
      <c r="G230" s="176"/>
      <c r="H230" s="176"/>
    </row>
    <row r="231" spans="2:8">
      <c r="B231" s="720"/>
      <c r="C231" s="720"/>
      <c r="D231" s="167" t="s">
        <v>110</v>
      </c>
      <c r="E231" s="332">
        <f>+E233+E235+E237+E239+E241</f>
        <v>0</v>
      </c>
      <c r="F231" s="332">
        <f t="shared" ref="F231:H231" si="103">+F233+F235+F237+F239+F241</f>
        <v>0</v>
      </c>
      <c r="G231" s="332">
        <f t="shared" si="103"/>
        <v>-132040.29999999999</v>
      </c>
      <c r="H231" s="332">
        <f t="shared" si="103"/>
        <v>-108596.30000000006</v>
      </c>
    </row>
    <row r="232" spans="2:8" ht="17.350000000000001" customHeight="1">
      <c r="B232" s="722"/>
      <c r="C232" s="722"/>
      <c r="D232" s="164" t="s">
        <v>148</v>
      </c>
      <c r="E232" s="166"/>
      <c r="F232" s="166"/>
      <c r="G232" s="166"/>
      <c r="H232" s="10"/>
    </row>
    <row r="233" spans="2:8">
      <c r="B233" s="722"/>
      <c r="C233" s="722"/>
      <c r="D233" s="380" t="s">
        <v>178</v>
      </c>
      <c r="E233" s="349">
        <f>+E234</f>
        <v>0</v>
      </c>
      <c r="F233" s="349">
        <f t="shared" ref="F233:H233" si="104">+F234</f>
        <v>0</v>
      </c>
      <c r="G233" s="349">
        <f t="shared" si="104"/>
        <v>-22668.199999999997</v>
      </c>
      <c r="H233" s="349">
        <f t="shared" si="104"/>
        <v>-24076.600000000049</v>
      </c>
    </row>
    <row r="234" spans="2:8" ht="36">
      <c r="B234" s="722"/>
      <c r="C234" s="722"/>
      <c r="D234" s="154" t="s">
        <v>359</v>
      </c>
      <c r="E234" s="181">
        <v>0</v>
      </c>
      <c r="F234" s="181">
        <v>0</v>
      </c>
      <c r="G234" s="181">
        <f>63429.8-86098</f>
        <v>-22668.199999999997</v>
      </c>
      <c r="H234" s="181">
        <f>+'Havelvats 3'!D193</f>
        <v>-24076.600000000049</v>
      </c>
    </row>
    <row r="235" spans="2:8">
      <c r="B235" s="722"/>
      <c r="C235" s="722"/>
      <c r="D235" s="380" t="s">
        <v>182</v>
      </c>
      <c r="E235" s="349">
        <f>+E236</f>
        <v>0</v>
      </c>
      <c r="F235" s="349">
        <f t="shared" ref="F235" si="105">+F236</f>
        <v>0</v>
      </c>
      <c r="G235" s="349">
        <f t="shared" ref="G235" si="106">+G236</f>
        <v>-27310.900000000009</v>
      </c>
      <c r="H235" s="349">
        <f t="shared" ref="H235" si="107">+H236</f>
        <v>-5412.3999999999942</v>
      </c>
    </row>
    <row r="236" spans="2:8">
      <c r="B236" s="722"/>
      <c r="C236" s="722"/>
      <c r="D236" s="154" t="s">
        <v>360</v>
      </c>
      <c r="E236" s="181">
        <v>0</v>
      </c>
      <c r="F236" s="181">
        <v>0</v>
      </c>
      <c r="G236" s="181">
        <f>76421.4-103732.3</f>
        <v>-27310.900000000009</v>
      </c>
      <c r="H236" s="181">
        <f>+'Havelvats 3'!D195</f>
        <v>-5412.3999999999942</v>
      </c>
    </row>
    <row r="237" spans="2:8">
      <c r="B237" s="722"/>
      <c r="C237" s="722"/>
      <c r="D237" s="380" t="s">
        <v>184</v>
      </c>
      <c r="E237" s="349">
        <f>+E238</f>
        <v>0</v>
      </c>
      <c r="F237" s="349">
        <f t="shared" ref="F237" si="108">+F238</f>
        <v>0</v>
      </c>
      <c r="G237" s="349">
        <f t="shared" ref="G237" si="109">+G238</f>
        <v>-41588.399999999994</v>
      </c>
      <c r="H237" s="349">
        <f t="shared" ref="H237" si="110">+H238</f>
        <v>-48696.600000000006</v>
      </c>
    </row>
    <row r="238" spans="2:8" ht="36">
      <c r="B238" s="722"/>
      <c r="C238" s="722"/>
      <c r="D238" s="154" t="s">
        <v>361</v>
      </c>
      <c r="E238" s="181">
        <v>0</v>
      </c>
      <c r="F238" s="181">
        <v>0</v>
      </c>
      <c r="G238" s="181">
        <f>116372.1-157960.5</f>
        <v>-41588.399999999994</v>
      </c>
      <c r="H238" s="181">
        <f>+'Havelvats 3'!D197</f>
        <v>-48696.600000000006</v>
      </c>
    </row>
    <row r="239" spans="2:8">
      <c r="B239" s="722"/>
      <c r="C239" s="722"/>
      <c r="D239" s="380" t="s">
        <v>173</v>
      </c>
      <c r="E239" s="349">
        <f>+E240</f>
        <v>0</v>
      </c>
      <c r="F239" s="349">
        <f t="shared" ref="F239" si="111">+F240</f>
        <v>1095.7999999999884</v>
      </c>
      <c r="G239" s="349">
        <f t="shared" ref="G239" si="112">+G240</f>
        <v>10444.399999999994</v>
      </c>
      <c r="H239" s="349">
        <f t="shared" ref="H239" si="113">+H240</f>
        <v>10444.399999999994</v>
      </c>
    </row>
    <row r="240" spans="2:8" ht="54">
      <c r="B240" s="722"/>
      <c r="C240" s="722"/>
      <c r="D240" s="154" t="s">
        <v>362</v>
      </c>
      <c r="E240" s="181">
        <v>0</v>
      </c>
      <c r="F240" s="181">
        <f>84137.4-83041.6</f>
        <v>1095.7999999999884</v>
      </c>
      <c r="G240" s="181">
        <f>93486-83041.6</f>
        <v>10444.399999999994</v>
      </c>
      <c r="H240" s="181">
        <f>+'Havelvats 3'!D199</f>
        <v>10444.399999999994</v>
      </c>
    </row>
    <row r="241" spans="2:9">
      <c r="B241" s="722"/>
      <c r="C241" s="722"/>
      <c r="D241" s="380" t="s">
        <v>274</v>
      </c>
      <c r="E241" s="349">
        <f>+E242</f>
        <v>0</v>
      </c>
      <c r="F241" s="349">
        <f t="shared" ref="F241" si="114">+F242</f>
        <v>-1095.7999999999884</v>
      </c>
      <c r="G241" s="349">
        <f t="shared" ref="G241" si="115">+G242</f>
        <v>-50917.2</v>
      </c>
      <c r="H241" s="349">
        <f t="shared" ref="H241" si="116">+H242</f>
        <v>-40855.100000000006</v>
      </c>
    </row>
    <row r="242" spans="2:9" ht="36">
      <c r="B242" s="721"/>
      <c r="C242" s="721"/>
      <c r="D242" s="154" t="s">
        <v>363</v>
      </c>
      <c r="E242" s="181">
        <v>0</v>
      </c>
      <c r="F242" s="181">
        <f>65881.6-66977.4</f>
        <v>-1095.7999999999884</v>
      </c>
      <c r="G242" s="181">
        <f>113250.8-164168</f>
        <v>-50917.2</v>
      </c>
      <c r="H242" s="181">
        <f>+'Havelvats 3'!D201</f>
        <v>-40855.100000000006</v>
      </c>
    </row>
    <row r="243" spans="2:9" ht="33.85">
      <c r="B243" s="366">
        <v>1183</v>
      </c>
      <c r="C243" s="366">
        <v>32012</v>
      </c>
      <c r="D243" s="346" t="s">
        <v>383</v>
      </c>
      <c r="E243" s="367">
        <f>+E245</f>
        <v>0</v>
      </c>
      <c r="F243" s="367">
        <f t="shared" ref="F243:H243" si="117">+F245</f>
        <v>0</v>
      </c>
      <c r="G243" s="367">
        <f t="shared" si="117"/>
        <v>-377455.5</v>
      </c>
      <c r="H243" s="367">
        <f t="shared" si="117"/>
        <v>-1477455.5</v>
      </c>
    </row>
    <row r="244" spans="2:9">
      <c r="B244" s="3"/>
      <c r="C244" s="3"/>
      <c r="D244" s="164" t="s">
        <v>92</v>
      </c>
      <c r="E244" s="176"/>
      <c r="F244" s="176"/>
      <c r="G244" s="176"/>
      <c r="H244" s="176"/>
    </row>
    <row r="245" spans="2:9" ht="33.85">
      <c r="B245" s="720"/>
      <c r="C245" s="720"/>
      <c r="D245" s="167" t="s">
        <v>59</v>
      </c>
      <c r="E245" s="332">
        <v>0</v>
      </c>
      <c r="F245" s="332">
        <v>0</v>
      </c>
      <c r="G245" s="332">
        <v>-377455.5</v>
      </c>
      <c r="H245" s="332">
        <v>-1477455.5</v>
      </c>
      <c r="I245" s="421"/>
    </row>
    <row r="246" spans="2:9" ht="17.350000000000001" customHeight="1">
      <c r="B246" s="721"/>
      <c r="C246" s="721"/>
      <c r="D246" s="164" t="s">
        <v>148</v>
      </c>
      <c r="E246" s="166"/>
      <c r="F246" s="166"/>
      <c r="G246" s="166"/>
      <c r="H246" s="10"/>
    </row>
    <row r="247" spans="2:9" ht="33.85">
      <c r="B247" s="366">
        <v>1183</v>
      </c>
      <c r="C247" s="366">
        <v>32012</v>
      </c>
      <c r="D247" s="346" t="s">
        <v>383</v>
      </c>
      <c r="E247" s="367">
        <f>+E249</f>
        <v>0</v>
      </c>
      <c r="F247" s="367">
        <f t="shared" ref="F247:H247" si="118">+F249</f>
        <v>0</v>
      </c>
      <c r="G247" s="367">
        <f t="shared" si="118"/>
        <v>256300</v>
      </c>
      <c r="H247" s="367">
        <f t="shared" si="118"/>
        <v>1056300</v>
      </c>
      <c r="I247" s="421"/>
    </row>
    <row r="248" spans="2:9">
      <c r="B248" s="3"/>
      <c r="C248" s="3"/>
      <c r="D248" s="164" t="s">
        <v>92</v>
      </c>
      <c r="E248" s="176"/>
      <c r="F248" s="176"/>
      <c r="G248" s="176"/>
      <c r="H248" s="176"/>
    </row>
    <row r="249" spans="2:9" ht="33.85">
      <c r="B249" s="720"/>
      <c r="C249" s="720"/>
      <c r="D249" s="167" t="s">
        <v>59</v>
      </c>
      <c r="E249" s="332">
        <f>+E251+E257+E262+E264+E272+E277+E286+E289+E291+E295</f>
        <v>0</v>
      </c>
      <c r="F249" s="332">
        <f t="shared" ref="F249:H249" si="119">+F251+F257+F262+F264+F272+F277+F286+F289+F291+F295</f>
        <v>0</v>
      </c>
      <c r="G249" s="332">
        <f t="shared" si="119"/>
        <v>256300</v>
      </c>
      <c r="H249" s="332">
        <f t="shared" si="119"/>
        <v>1056300</v>
      </c>
    </row>
    <row r="250" spans="2:9" ht="17.350000000000001" customHeight="1">
      <c r="B250" s="722"/>
      <c r="C250" s="722"/>
      <c r="D250" s="164" t="s">
        <v>148</v>
      </c>
      <c r="E250" s="166"/>
      <c r="F250" s="166"/>
      <c r="G250" s="166"/>
      <c r="H250" s="10"/>
    </row>
    <row r="251" spans="2:9">
      <c r="B251" s="722"/>
      <c r="C251" s="722"/>
      <c r="D251" s="412" t="s">
        <v>178</v>
      </c>
      <c r="E251" s="416">
        <f t="shared" ref="E251:H251" si="120">+E252+E253+E254+E255+E256</f>
        <v>0</v>
      </c>
      <c r="F251" s="416">
        <f t="shared" si="120"/>
        <v>0</v>
      </c>
      <c r="G251" s="416">
        <f t="shared" si="120"/>
        <v>58250</v>
      </c>
      <c r="H251" s="416">
        <f t="shared" si="120"/>
        <v>58250</v>
      </c>
    </row>
    <row r="252" spans="2:9" ht="36">
      <c r="B252" s="722"/>
      <c r="C252" s="722"/>
      <c r="D252" s="411" t="s">
        <v>359</v>
      </c>
      <c r="E252" s="416">
        <v>0</v>
      </c>
      <c r="F252" s="416">
        <v>0</v>
      </c>
      <c r="G252" s="417">
        <v>11650</v>
      </c>
      <c r="H252" s="417">
        <v>11650</v>
      </c>
    </row>
    <row r="253" spans="2:9" ht="36">
      <c r="B253" s="722"/>
      <c r="C253" s="722"/>
      <c r="D253" s="411" t="s">
        <v>339</v>
      </c>
      <c r="E253" s="416">
        <v>0</v>
      </c>
      <c r="F253" s="416">
        <v>0</v>
      </c>
      <c r="G253" s="417">
        <v>11650</v>
      </c>
      <c r="H253" s="417">
        <v>11650</v>
      </c>
    </row>
    <row r="254" spans="2:9" ht="36">
      <c r="B254" s="722"/>
      <c r="C254" s="722"/>
      <c r="D254" s="411" t="s">
        <v>340</v>
      </c>
      <c r="E254" s="416">
        <v>0</v>
      </c>
      <c r="F254" s="416">
        <v>0</v>
      </c>
      <c r="G254" s="417">
        <v>11650</v>
      </c>
      <c r="H254" s="417">
        <v>11650</v>
      </c>
    </row>
    <row r="255" spans="2:9" ht="36">
      <c r="B255" s="722"/>
      <c r="C255" s="722"/>
      <c r="D255" s="411" t="s">
        <v>341</v>
      </c>
      <c r="E255" s="416">
        <v>0</v>
      </c>
      <c r="F255" s="416">
        <v>0</v>
      </c>
      <c r="G255" s="417">
        <v>11650</v>
      </c>
      <c r="H255" s="417">
        <v>11650</v>
      </c>
    </row>
    <row r="256" spans="2:9" ht="36">
      <c r="B256" s="722"/>
      <c r="C256" s="722"/>
      <c r="D256" s="411" t="s">
        <v>342</v>
      </c>
      <c r="E256" s="416">
        <v>0</v>
      </c>
      <c r="F256" s="416">
        <v>0</v>
      </c>
      <c r="G256" s="417">
        <v>11650</v>
      </c>
      <c r="H256" s="417">
        <v>11650</v>
      </c>
    </row>
    <row r="257" spans="2:8">
      <c r="B257" s="722"/>
      <c r="C257" s="722"/>
      <c r="D257" s="412" t="s">
        <v>282</v>
      </c>
      <c r="E257" s="416">
        <f t="shared" ref="E257:H257" si="121">+E258+E259+E260+E261</f>
        <v>0</v>
      </c>
      <c r="F257" s="416">
        <f t="shared" si="121"/>
        <v>0</v>
      </c>
      <c r="G257" s="416">
        <f t="shared" si="121"/>
        <v>23300</v>
      </c>
      <c r="H257" s="416">
        <f t="shared" si="121"/>
        <v>123300</v>
      </c>
    </row>
    <row r="258" spans="2:8">
      <c r="B258" s="722"/>
      <c r="C258" s="722"/>
      <c r="D258" s="411" t="s">
        <v>313</v>
      </c>
      <c r="E258" s="416">
        <v>0</v>
      </c>
      <c r="F258" s="416">
        <v>0</v>
      </c>
      <c r="G258" s="419">
        <v>0</v>
      </c>
      <c r="H258" s="417">
        <v>50000</v>
      </c>
    </row>
    <row r="259" spans="2:8">
      <c r="B259" s="722"/>
      <c r="C259" s="722"/>
      <c r="D259" s="411" t="s">
        <v>463</v>
      </c>
      <c r="E259" s="416">
        <v>0</v>
      </c>
      <c r="F259" s="416">
        <v>0</v>
      </c>
      <c r="G259" s="419">
        <v>0</v>
      </c>
      <c r="H259" s="418">
        <v>50000</v>
      </c>
    </row>
    <row r="260" spans="2:8">
      <c r="B260" s="722"/>
      <c r="C260" s="722"/>
      <c r="D260" s="411" t="s">
        <v>343</v>
      </c>
      <c r="E260" s="416">
        <v>0</v>
      </c>
      <c r="F260" s="416">
        <v>0</v>
      </c>
      <c r="G260" s="417">
        <v>11650</v>
      </c>
      <c r="H260" s="417">
        <v>11650</v>
      </c>
    </row>
    <row r="261" spans="2:8">
      <c r="B261" s="722"/>
      <c r="C261" s="722"/>
      <c r="D261" s="411" t="s">
        <v>344</v>
      </c>
      <c r="E261" s="416">
        <v>0</v>
      </c>
      <c r="F261" s="416">
        <v>0</v>
      </c>
      <c r="G261" s="417">
        <v>11650</v>
      </c>
      <c r="H261" s="417">
        <v>11650</v>
      </c>
    </row>
    <row r="262" spans="2:8">
      <c r="B262" s="722"/>
      <c r="C262" s="722"/>
      <c r="D262" s="412" t="s">
        <v>176</v>
      </c>
      <c r="E262" s="416">
        <f t="shared" ref="E262:H262" si="122">+E263</f>
        <v>0</v>
      </c>
      <c r="F262" s="416">
        <f t="shared" si="122"/>
        <v>0</v>
      </c>
      <c r="G262" s="416">
        <f t="shared" si="122"/>
        <v>0</v>
      </c>
      <c r="H262" s="416">
        <f t="shared" si="122"/>
        <v>50000</v>
      </c>
    </row>
    <row r="263" spans="2:8">
      <c r="B263" s="722"/>
      <c r="C263" s="722"/>
      <c r="D263" s="411" t="s">
        <v>314</v>
      </c>
      <c r="E263" s="416">
        <v>0</v>
      </c>
      <c r="F263" s="416">
        <v>0</v>
      </c>
      <c r="G263" s="419">
        <v>0</v>
      </c>
      <c r="H263" s="417">
        <v>50000</v>
      </c>
    </row>
    <row r="264" spans="2:8">
      <c r="B264" s="722"/>
      <c r="C264" s="722"/>
      <c r="D264" s="412" t="s">
        <v>182</v>
      </c>
      <c r="E264" s="416">
        <f t="shared" ref="E264:H264" si="123">+E265+E266+E267+E268+E269+E270+E271</f>
        <v>0</v>
      </c>
      <c r="F264" s="416">
        <f t="shared" si="123"/>
        <v>0</v>
      </c>
      <c r="G264" s="416">
        <f t="shared" si="123"/>
        <v>69900</v>
      </c>
      <c r="H264" s="416">
        <f t="shared" si="123"/>
        <v>119900</v>
      </c>
    </row>
    <row r="265" spans="2:8">
      <c r="B265" s="722"/>
      <c r="C265" s="722"/>
      <c r="D265" s="411" t="s">
        <v>315</v>
      </c>
      <c r="E265" s="416">
        <v>0</v>
      </c>
      <c r="F265" s="416">
        <v>0</v>
      </c>
      <c r="G265" s="420">
        <v>0</v>
      </c>
      <c r="H265" s="417">
        <v>50000</v>
      </c>
    </row>
    <row r="266" spans="2:8">
      <c r="B266" s="722"/>
      <c r="C266" s="722"/>
      <c r="D266" s="411" t="s">
        <v>345</v>
      </c>
      <c r="E266" s="416">
        <v>0</v>
      </c>
      <c r="F266" s="416">
        <v>0</v>
      </c>
      <c r="G266" s="417">
        <v>11650</v>
      </c>
      <c r="H266" s="417">
        <v>11650</v>
      </c>
    </row>
    <row r="267" spans="2:8" ht="36">
      <c r="B267" s="722"/>
      <c r="C267" s="722"/>
      <c r="D267" s="411" t="s">
        <v>346</v>
      </c>
      <c r="E267" s="416">
        <v>0</v>
      </c>
      <c r="F267" s="416">
        <v>0</v>
      </c>
      <c r="G267" s="417">
        <v>11650</v>
      </c>
      <c r="H267" s="417">
        <v>11650</v>
      </c>
    </row>
    <row r="268" spans="2:8" ht="36">
      <c r="B268" s="722"/>
      <c r="C268" s="722"/>
      <c r="D268" s="411" t="s">
        <v>347</v>
      </c>
      <c r="E268" s="416">
        <v>0</v>
      </c>
      <c r="F268" s="416">
        <v>0</v>
      </c>
      <c r="G268" s="417">
        <v>11650</v>
      </c>
      <c r="H268" s="417">
        <v>11650</v>
      </c>
    </row>
    <row r="269" spans="2:8" ht="36">
      <c r="B269" s="722"/>
      <c r="C269" s="722"/>
      <c r="D269" s="411" t="s">
        <v>348</v>
      </c>
      <c r="E269" s="416">
        <v>0</v>
      </c>
      <c r="F269" s="416">
        <v>0</v>
      </c>
      <c r="G269" s="417">
        <v>11650</v>
      </c>
      <c r="H269" s="417">
        <v>11650</v>
      </c>
    </row>
    <row r="270" spans="2:8">
      <c r="B270" s="722"/>
      <c r="C270" s="722"/>
      <c r="D270" s="411" t="s">
        <v>349</v>
      </c>
      <c r="E270" s="416">
        <v>0</v>
      </c>
      <c r="F270" s="416">
        <v>0</v>
      </c>
      <c r="G270" s="417">
        <v>11650</v>
      </c>
      <c r="H270" s="417">
        <v>11650</v>
      </c>
    </row>
    <row r="271" spans="2:8">
      <c r="B271" s="722"/>
      <c r="C271" s="722"/>
      <c r="D271" s="411" t="s">
        <v>360</v>
      </c>
      <c r="E271" s="416">
        <v>0</v>
      </c>
      <c r="F271" s="416">
        <v>0</v>
      </c>
      <c r="G271" s="417">
        <v>11650</v>
      </c>
      <c r="H271" s="417">
        <v>11650</v>
      </c>
    </row>
    <row r="272" spans="2:8">
      <c r="B272" s="722"/>
      <c r="C272" s="722"/>
      <c r="D272" s="412" t="s">
        <v>184</v>
      </c>
      <c r="E272" s="416">
        <f t="shared" ref="E272:H272" si="124">+E273+E274+E275+E276</f>
        <v>0</v>
      </c>
      <c r="F272" s="416">
        <f t="shared" si="124"/>
        <v>0</v>
      </c>
      <c r="G272" s="416">
        <f t="shared" si="124"/>
        <v>23300</v>
      </c>
      <c r="H272" s="416">
        <f t="shared" si="124"/>
        <v>123300</v>
      </c>
    </row>
    <row r="273" spans="2:8" ht="36">
      <c r="B273" s="722"/>
      <c r="C273" s="722"/>
      <c r="D273" s="411" t="s">
        <v>316</v>
      </c>
      <c r="E273" s="416">
        <v>0</v>
      </c>
      <c r="F273" s="416">
        <v>0</v>
      </c>
      <c r="G273" s="420">
        <v>0</v>
      </c>
      <c r="H273" s="417">
        <v>50000</v>
      </c>
    </row>
    <row r="274" spans="2:8">
      <c r="B274" s="722"/>
      <c r="C274" s="722"/>
      <c r="D274" s="411" t="s">
        <v>317</v>
      </c>
      <c r="E274" s="416">
        <v>0</v>
      </c>
      <c r="F274" s="416">
        <v>0</v>
      </c>
      <c r="G274" s="420">
        <v>0</v>
      </c>
      <c r="H274" s="417">
        <v>50000</v>
      </c>
    </row>
    <row r="275" spans="2:8" ht="36">
      <c r="B275" s="722"/>
      <c r="C275" s="722"/>
      <c r="D275" s="411" t="s">
        <v>384</v>
      </c>
      <c r="E275" s="416">
        <v>0</v>
      </c>
      <c r="F275" s="416">
        <v>0</v>
      </c>
      <c r="G275" s="417">
        <v>11650</v>
      </c>
      <c r="H275" s="417">
        <v>11650</v>
      </c>
    </row>
    <row r="276" spans="2:8">
      <c r="B276" s="722"/>
      <c r="C276" s="722"/>
      <c r="D276" s="411" t="s">
        <v>350</v>
      </c>
      <c r="E276" s="416">
        <v>0</v>
      </c>
      <c r="F276" s="416">
        <v>0</v>
      </c>
      <c r="G276" s="417">
        <v>11650</v>
      </c>
      <c r="H276" s="417">
        <v>11650</v>
      </c>
    </row>
    <row r="277" spans="2:8">
      <c r="B277" s="722"/>
      <c r="C277" s="722"/>
      <c r="D277" s="412" t="s">
        <v>173</v>
      </c>
      <c r="E277" s="416">
        <f t="shared" ref="E277:H277" si="125">+E278+E279+E280+E281+E282+E283+E284+E285</f>
        <v>0</v>
      </c>
      <c r="F277" s="416">
        <f t="shared" si="125"/>
        <v>0</v>
      </c>
      <c r="G277" s="416">
        <f t="shared" si="125"/>
        <v>69900</v>
      </c>
      <c r="H277" s="416">
        <f t="shared" si="125"/>
        <v>169900</v>
      </c>
    </row>
    <row r="278" spans="2:8">
      <c r="B278" s="722"/>
      <c r="C278" s="722"/>
      <c r="D278" s="411" t="s">
        <v>319</v>
      </c>
      <c r="E278" s="416">
        <v>0</v>
      </c>
      <c r="F278" s="416">
        <v>0</v>
      </c>
      <c r="G278" s="420">
        <v>0</v>
      </c>
      <c r="H278" s="417">
        <v>50000</v>
      </c>
    </row>
    <row r="279" spans="2:8">
      <c r="B279" s="722"/>
      <c r="C279" s="722"/>
      <c r="D279" s="411" t="s">
        <v>318</v>
      </c>
      <c r="E279" s="416">
        <v>0</v>
      </c>
      <c r="F279" s="416">
        <v>0</v>
      </c>
      <c r="G279" s="420">
        <v>0</v>
      </c>
      <c r="H279" s="417">
        <v>50000</v>
      </c>
    </row>
    <row r="280" spans="2:8" ht="36">
      <c r="B280" s="722"/>
      <c r="C280" s="722"/>
      <c r="D280" s="411" t="s">
        <v>385</v>
      </c>
      <c r="E280" s="416">
        <v>0</v>
      </c>
      <c r="F280" s="416">
        <v>0</v>
      </c>
      <c r="G280" s="417">
        <v>11650</v>
      </c>
      <c r="H280" s="417">
        <v>11650</v>
      </c>
    </row>
    <row r="281" spans="2:8" ht="36">
      <c r="B281" s="722"/>
      <c r="C281" s="722"/>
      <c r="D281" s="411" t="s">
        <v>352</v>
      </c>
      <c r="E281" s="416">
        <v>0</v>
      </c>
      <c r="F281" s="416">
        <v>0</v>
      </c>
      <c r="G281" s="417">
        <v>11650</v>
      </c>
      <c r="H281" s="417">
        <v>11650</v>
      </c>
    </row>
    <row r="282" spans="2:8" ht="36">
      <c r="B282" s="722"/>
      <c r="C282" s="722"/>
      <c r="D282" s="411" t="s">
        <v>386</v>
      </c>
      <c r="E282" s="416">
        <v>0</v>
      </c>
      <c r="F282" s="416">
        <v>0</v>
      </c>
      <c r="G282" s="417">
        <v>11650</v>
      </c>
      <c r="H282" s="417">
        <v>11650</v>
      </c>
    </row>
    <row r="283" spans="2:8">
      <c r="B283" s="722"/>
      <c r="C283" s="722"/>
      <c r="D283" s="411" t="s">
        <v>353</v>
      </c>
      <c r="E283" s="416">
        <v>0</v>
      </c>
      <c r="F283" s="416">
        <v>0</v>
      </c>
      <c r="G283" s="417">
        <v>11650</v>
      </c>
      <c r="H283" s="417">
        <v>11650</v>
      </c>
    </row>
    <row r="284" spans="2:8">
      <c r="B284" s="722"/>
      <c r="C284" s="722"/>
      <c r="D284" s="411" t="s">
        <v>354</v>
      </c>
      <c r="E284" s="416">
        <v>0</v>
      </c>
      <c r="F284" s="416">
        <v>0</v>
      </c>
      <c r="G284" s="417">
        <v>11650</v>
      </c>
      <c r="H284" s="417">
        <v>11650</v>
      </c>
    </row>
    <row r="285" spans="2:8">
      <c r="B285" s="722"/>
      <c r="C285" s="722"/>
      <c r="D285" s="411" t="s">
        <v>355</v>
      </c>
      <c r="E285" s="416">
        <v>0</v>
      </c>
      <c r="F285" s="416">
        <v>0</v>
      </c>
      <c r="G285" s="417">
        <v>11650</v>
      </c>
      <c r="H285" s="417">
        <v>11650</v>
      </c>
    </row>
    <row r="286" spans="2:8">
      <c r="B286" s="722"/>
      <c r="C286" s="722"/>
      <c r="D286" s="412" t="s">
        <v>180</v>
      </c>
      <c r="E286" s="416">
        <f t="shared" ref="E286:H286" si="126">+E287+E288</f>
        <v>0</v>
      </c>
      <c r="F286" s="416">
        <f t="shared" si="126"/>
        <v>0</v>
      </c>
      <c r="G286" s="416">
        <f t="shared" si="126"/>
        <v>0</v>
      </c>
      <c r="H286" s="416">
        <f t="shared" si="126"/>
        <v>100000</v>
      </c>
    </row>
    <row r="287" spans="2:8">
      <c r="B287" s="722"/>
      <c r="C287" s="722"/>
      <c r="D287" s="411" t="s">
        <v>320</v>
      </c>
      <c r="E287" s="416">
        <v>0</v>
      </c>
      <c r="F287" s="416">
        <v>0</v>
      </c>
      <c r="G287" s="420">
        <v>0</v>
      </c>
      <c r="H287" s="417">
        <v>50000</v>
      </c>
    </row>
    <row r="288" spans="2:8">
      <c r="B288" s="722"/>
      <c r="C288" s="722"/>
      <c r="D288" s="411" t="s">
        <v>321</v>
      </c>
      <c r="E288" s="416">
        <v>0</v>
      </c>
      <c r="F288" s="416">
        <v>0</v>
      </c>
      <c r="G288" s="420">
        <v>0</v>
      </c>
      <c r="H288" s="417">
        <v>50000</v>
      </c>
    </row>
    <row r="289" spans="2:8">
      <c r="B289" s="722"/>
      <c r="C289" s="722"/>
      <c r="D289" s="412" t="s">
        <v>146</v>
      </c>
      <c r="E289" s="416">
        <f>+E290</f>
        <v>0</v>
      </c>
      <c r="F289" s="416">
        <f t="shared" ref="F289:H289" si="127">+F290</f>
        <v>0</v>
      </c>
      <c r="G289" s="416">
        <f t="shared" si="127"/>
        <v>0</v>
      </c>
      <c r="H289" s="416">
        <f t="shared" si="127"/>
        <v>50000</v>
      </c>
    </row>
    <row r="290" spans="2:8">
      <c r="B290" s="722"/>
      <c r="C290" s="722"/>
      <c r="D290" s="411" t="s">
        <v>322</v>
      </c>
      <c r="E290" s="416">
        <v>0</v>
      </c>
      <c r="F290" s="416">
        <v>0</v>
      </c>
      <c r="G290" s="420">
        <v>0</v>
      </c>
      <c r="H290" s="417">
        <v>50000</v>
      </c>
    </row>
    <row r="291" spans="2:8">
      <c r="B291" s="722"/>
      <c r="C291" s="722"/>
      <c r="D291" s="412" t="s">
        <v>177</v>
      </c>
      <c r="E291" s="416">
        <f>SUM(E292:E294)</f>
        <v>0</v>
      </c>
      <c r="F291" s="416">
        <f t="shared" ref="F291:H291" si="128">SUM(F292:F294)</f>
        <v>0</v>
      </c>
      <c r="G291" s="416">
        <f t="shared" si="128"/>
        <v>0</v>
      </c>
      <c r="H291" s="416">
        <f t="shared" si="128"/>
        <v>150000</v>
      </c>
    </row>
    <row r="292" spans="2:8" ht="36">
      <c r="B292" s="722"/>
      <c r="C292" s="722"/>
      <c r="D292" s="411" t="s">
        <v>323</v>
      </c>
      <c r="E292" s="416">
        <v>0</v>
      </c>
      <c r="F292" s="416">
        <v>0</v>
      </c>
      <c r="G292" s="420">
        <v>0</v>
      </c>
      <c r="H292" s="417">
        <v>50000</v>
      </c>
    </row>
    <row r="293" spans="2:8">
      <c r="B293" s="722"/>
      <c r="C293" s="722"/>
      <c r="D293" s="411" t="s">
        <v>324</v>
      </c>
      <c r="E293" s="416">
        <v>0</v>
      </c>
      <c r="F293" s="416">
        <v>0</v>
      </c>
      <c r="G293" s="420">
        <v>0</v>
      </c>
      <c r="H293" s="417">
        <v>50000</v>
      </c>
    </row>
    <row r="294" spans="2:8">
      <c r="B294" s="722"/>
      <c r="C294" s="722"/>
      <c r="D294" s="411" t="s">
        <v>325</v>
      </c>
      <c r="E294" s="416">
        <v>0</v>
      </c>
      <c r="F294" s="416">
        <v>0</v>
      </c>
      <c r="G294" s="420">
        <v>0</v>
      </c>
      <c r="H294" s="417">
        <v>50000</v>
      </c>
    </row>
    <row r="295" spans="2:8">
      <c r="B295" s="722"/>
      <c r="C295" s="722"/>
      <c r="D295" s="412" t="s">
        <v>274</v>
      </c>
      <c r="E295" s="416">
        <f t="shared" ref="E295:H295" si="129">+E296+E297+E298</f>
        <v>0</v>
      </c>
      <c r="F295" s="416">
        <f t="shared" si="129"/>
        <v>0</v>
      </c>
      <c r="G295" s="416">
        <f t="shared" si="129"/>
        <v>11650</v>
      </c>
      <c r="H295" s="416">
        <f t="shared" si="129"/>
        <v>111650</v>
      </c>
    </row>
    <row r="296" spans="2:8">
      <c r="B296" s="722"/>
      <c r="C296" s="722"/>
      <c r="D296" s="411" t="s">
        <v>326</v>
      </c>
      <c r="E296" s="416">
        <v>0</v>
      </c>
      <c r="F296" s="416">
        <v>0</v>
      </c>
      <c r="G296" s="420">
        <v>0</v>
      </c>
      <c r="H296" s="417">
        <v>50000</v>
      </c>
    </row>
    <row r="297" spans="2:8">
      <c r="B297" s="722"/>
      <c r="C297" s="722"/>
      <c r="D297" s="411" t="s">
        <v>335</v>
      </c>
      <c r="E297" s="416">
        <v>0</v>
      </c>
      <c r="F297" s="416">
        <v>0</v>
      </c>
      <c r="G297" s="420">
        <v>0</v>
      </c>
      <c r="H297" s="417">
        <v>50000</v>
      </c>
    </row>
    <row r="298" spans="2:8">
      <c r="B298" s="721"/>
      <c r="C298" s="721"/>
      <c r="D298" s="411" t="s">
        <v>387</v>
      </c>
      <c r="E298" s="416">
        <v>0</v>
      </c>
      <c r="F298" s="416">
        <v>0</v>
      </c>
      <c r="G298" s="417">
        <v>11650</v>
      </c>
      <c r="H298" s="417">
        <v>11650</v>
      </c>
    </row>
  </sheetData>
  <mergeCells count="49">
    <mergeCell ref="B59:B62"/>
    <mergeCell ref="C59:C62"/>
    <mergeCell ref="F1:H1"/>
    <mergeCell ref="F3:H3"/>
    <mergeCell ref="F2:H2"/>
    <mergeCell ref="B5:H5"/>
    <mergeCell ref="B9:C9"/>
    <mergeCell ref="D9:D11"/>
    <mergeCell ref="C10:C11"/>
    <mergeCell ref="B10:B11"/>
    <mergeCell ref="H10:H11"/>
    <mergeCell ref="G10:G11"/>
    <mergeCell ref="F10:F11"/>
    <mergeCell ref="E10:E11"/>
    <mergeCell ref="E9:H9"/>
    <mergeCell ref="B16:B24"/>
    <mergeCell ref="C65:C68"/>
    <mergeCell ref="B65:B68"/>
    <mergeCell ref="C74:C105"/>
    <mergeCell ref="B74:B105"/>
    <mergeCell ref="C108:C111"/>
    <mergeCell ref="B108:B111"/>
    <mergeCell ref="C16:C24"/>
    <mergeCell ref="C27:C30"/>
    <mergeCell ref="B27:B30"/>
    <mergeCell ref="C33:C56"/>
    <mergeCell ref="B33:B56"/>
    <mergeCell ref="B249:B298"/>
    <mergeCell ref="C249:C298"/>
    <mergeCell ref="C169:C202"/>
    <mergeCell ref="B169:B202"/>
    <mergeCell ref="C205:C228"/>
    <mergeCell ref="B205:B228"/>
    <mergeCell ref="C231:C242"/>
    <mergeCell ref="B231:B242"/>
    <mergeCell ref="C133:C142"/>
    <mergeCell ref="B133:B142"/>
    <mergeCell ref="C114:C124"/>
    <mergeCell ref="B114:B124"/>
    <mergeCell ref="B245:B246"/>
    <mergeCell ref="C245:C246"/>
    <mergeCell ref="C145:C148"/>
    <mergeCell ref="B145:B148"/>
    <mergeCell ref="C157:C163"/>
    <mergeCell ref="B157:B163"/>
    <mergeCell ref="C151:C154"/>
    <mergeCell ref="B151:B154"/>
    <mergeCell ref="C127:C130"/>
    <mergeCell ref="B127:B130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73"/>
  <sheetViews>
    <sheetView zoomScale="70" zoomScaleNormal="70" zoomScaleSheetLayoutView="100" workbookViewId="0">
      <selection activeCell="I13" sqref="I13"/>
    </sheetView>
  </sheetViews>
  <sheetFormatPr defaultColWidth="9.09765625" defaultRowHeight="18"/>
  <cols>
    <col min="1" max="1" width="5.296875" style="159" customWidth="1"/>
    <col min="2" max="2" width="24.59765625" style="159" customWidth="1"/>
    <col min="3" max="3" width="67.8984375" style="159" customWidth="1"/>
    <col min="4" max="7" width="13.296875" style="159" customWidth="1"/>
    <col min="8" max="8" width="10" style="159" customWidth="1"/>
    <col min="9" max="9" width="49.8984375" style="159" customWidth="1"/>
    <col min="10" max="16384" width="9.09765625" style="159"/>
  </cols>
  <sheetData>
    <row r="1" spans="1:7" ht="37.5" customHeight="1">
      <c r="E1" s="763" t="s">
        <v>535</v>
      </c>
      <c r="F1" s="763"/>
      <c r="G1" s="763"/>
    </row>
    <row r="2" spans="1:7" ht="17.350000000000001" customHeight="1">
      <c r="D2" s="236"/>
      <c r="E2" s="236" t="s">
        <v>533</v>
      </c>
      <c r="F2" s="236"/>
      <c r="G2" s="236"/>
    </row>
    <row r="3" spans="1:7" ht="17.350000000000001" customHeight="1">
      <c r="D3" s="236" t="s">
        <v>9</v>
      </c>
      <c r="E3" s="236" t="s">
        <v>9</v>
      </c>
      <c r="F3" s="236"/>
      <c r="G3" s="236"/>
    </row>
    <row r="5" spans="1:7" ht="59.35" customHeight="1">
      <c r="A5" s="1"/>
      <c r="B5" s="765" t="s">
        <v>529</v>
      </c>
      <c r="C5" s="765"/>
      <c r="D5" s="765"/>
      <c r="E5" s="765"/>
      <c r="F5" s="765"/>
      <c r="G5" s="765"/>
    </row>
    <row r="6" spans="1:7" ht="23.35" customHeight="1"/>
    <row r="7" spans="1:7" ht="21.85" customHeight="1">
      <c r="A7" s="764" t="s">
        <v>519</v>
      </c>
      <c r="B7" s="764"/>
      <c r="C7" s="764"/>
      <c r="D7" s="764"/>
      <c r="E7" s="764"/>
      <c r="F7" s="764"/>
      <c r="G7" s="764"/>
    </row>
    <row r="8" spans="1:7" ht="38.75" customHeight="1">
      <c r="B8" s="16"/>
      <c r="C8" s="183" t="s">
        <v>232</v>
      </c>
      <c r="D8" s="16"/>
      <c r="E8" s="16"/>
      <c r="F8" s="16"/>
      <c r="G8" s="184"/>
    </row>
    <row r="9" spans="1:7">
      <c r="B9" s="778" t="s">
        <v>11</v>
      </c>
      <c r="C9" s="779"/>
      <c r="D9" s="780"/>
      <c r="E9" s="779"/>
      <c r="F9" s="779"/>
      <c r="G9" s="781"/>
    </row>
    <row r="10" spans="1:7" s="185" customFormat="1">
      <c r="B10" s="186"/>
      <c r="C10" s="186"/>
      <c r="D10" s="187"/>
      <c r="E10" s="187"/>
      <c r="F10" s="187"/>
      <c r="G10" s="187"/>
    </row>
    <row r="11" spans="1:7" s="185" customFormat="1">
      <c r="B11" s="186"/>
      <c r="C11" s="186"/>
    </row>
    <row r="12" spans="1:7">
      <c r="B12" s="188" t="s">
        <v>1</v>
      </c>
      <c r="C12" s="188" t="s">
        <v>2</v>
      </c>
      <c r="D12" s="189"/>
      <c r="E12" s="189"/>
      <c r="F12" s="189"/>
      <c r="G12" s="189"/>
    </row>
    <row r="13" spans="1:7" ht="36">
      <c r="B13" s="190">
        <v>1045</v>
      </c>
      <c r="C13" s="191" t="s">
        <v>150</v>
      </c>
      <c r="D13" s="192"/>
      <c r="E13" s="192"/>
      <c r="F13" s="192"/>
      <c r="G13" s="192"/>
    </row>
    <row r="15" spans="1:7" s="39" customFormat="1">
      <c r="B15" s="758" t="s">
        <v>3</v>
      </c>
      <c r="C15" s="759"/>
      <c r="D15" s="193"/>
      <c r="E15" s="193"/>
      <c r="F15" s="193"/>
      <c r="G15" s="193"/>
    </row>
    <row r="16" spans="1:7" s="39" customFormat="1" ht="58.4" customHeight="1">
      <c r="B16" s="194" t="s">
        <v>4</v>
      </c>
      <c r="C16" s="77">
        <v>1045</v>
      </c>
      <c r="D16" s="644" t="s">
        <v>252</v>
      </c>
      <c r="E16" s="645"/>
      <c r="F16" s="645"/>
      <c r="G16" s="646"/>
    </row>
    <row r="17" spans="2:8" s="39" customFormat="1" ht="36">
      <c r="B17" s="194" t="s">
        <v>5</v>
      </c>
      <c r="C17" s="77">
        <v>32001</v>
      </c>
      <c r="D17" s="195" t="s">
        <v>395</v>
      </c>
      <c r="E17" s="195" t="s">
        <v>12</v>
      </c>
      <c r="F17" s="195" t="s">
        <v>13</v>
      </c>
      <c r="G17" s="195" t="s">
        <v>14</v>
      </c>
    </row>
    <row r="18" spans="2:8" s="39" customFormat="1" ht="54">
      <c r="B18" s="194" t="s">
        <v>6</v>
      </c>
      <c r="C18" s="196" t="s">
        <v>213</v>
      </c>
      <c r="D18" s="684"/>
      <c r="E18" s="684"/>
      <c r="F18" s="684"/>
      <c r="G18" s="684"/>
    </row>
    <row r="19" spans="2:8" s="39" customFormat="1" ht="72">
      <c r="B19" s="194" t="s">
        <v>10</v>
      </c>
      <c r="C19" s="196" t="s">
        <v>214</v>
      </c>
      <c r="D19" s="685"/>
      <c r="E19" s="685"/>
      <c r="F19" s="685"/>
      <c r="G19" s="685"/>
    </row>
    <row r="20" spans="2:8" s="39" customFormat="1" ht="36">
      <c r="B20" s="194" t="s">
        <v>7</v>
      </c>
      <c r="C20" s="196" t="s">
        <v>215</v>
      </c>
      <c r="D20" s="685"/>
      <c r="E20" s="685"/>
      <c r="F20" s="685"/>
      <c r="G20" s="685"/>
    </row>
    <row r="21" spans="2:8" s="39" customFormat="1" ht="54">
      <c r="B21" s="49" t="s">
        <v>216</v>
      </c>
      <c r="C21" s="196" t="s">
        <v>421</v>
      </c>
      <c r="D21" s="685"/>
      <c r="E21" s="685"/>
      <c r="F21" s="685"/>
      <c r="G21" s="685"/>
    </row>
    <row r="22" spans="2:8" s="39" customFormat="1">
      <c r="B22" s="752" t="s">
        <v>0</v>
      </c>
      <c r="C22" s="753"/>
      <c r="D22" s="686"/>
      <c r="E22" s="686"/>
      <c r="F22" s="686"/>
      <c r="G22" s="686"/>
    </row>
    <row r="23" spans="2:8" s="39" customFormat="1" ht="34.950000000000003" customHeight="1">
      <c r="B23" s="766" t="s">
        <v>233</v>
      </c>
      <c r="C23" s="767"/>
      <c r="D23" s="199">
        <v>1</v>
      </c>
      <c r="E23" s="199">
        <v>1</v>
      </c>
      <c r="F23" s="199">
        <v>1</v>
      </c>
      <c r="G23" s="199">
        <v>1</v>
      </c>
    </row>
    <row r="24" spans="2:8" s="39" customFormat="1" ht="34.950000000000003" customHeight="1">
      <c r="B24" s="766" t="s">
        <v>420</v>
      </c>
      <c r="C24" s="767"/>
      <c r="D24" s="199">
        <v>1</v>
      </c>
      <c r="E24" s="199">
        <v>1</v>
      </c>
      <c r="F24" s="199">
        <v>2</v>
      </c>
      <c r="G24" s="199">
        <v>2</v>
      </c>
    </row>
    <row r="25" spans="2:8" s="39" customFormat="1">
      <c r="B25" s="197" t="s">
        <v>8</v>
      </c>
      <c r="C25" s="197"/>
      <c r="D25" s="198">
        <f>+'Havelvats 1'!D21</f>
        <v>-4953.9000000000015</v>
      </c>
      <c r="E25" s="198">
        <f>+'Havelvats 1'!E21</f>
        <v>44565.39999999998</v>
      </c>
      <c r="F25" s="198">
        <f>+'Havelvats 1'!F21</f>
        <v>114833.90000000002</v>
      </c>
      <c r="G25" s="198">
        <f>+'Havelvats 1'!G21</f>
        <v>35092</v>
      </c>
      <c r="H25" s="158"/>
    </row>
    <row r="26" spans="2:8" ht="9.85" customHeight="1"/>
    <row r="27" spans="2:8" s="39" customFormat="1">
      <c r="B27" s="758" t="s">
        <v>3</v>
      </c>
      <c r="C27" s="759"/>
      <c r="D27" s="193"/>
      <c r="E27" s="193"/>
      <c r="F27" s="193"/>
      <c r="G27" s="193"/>
    </row>
    <row r="28" spans="2:8" s="39" customFormat="1" ht="58.4" customHeight="1">
      <c r="B28" s="194" t="s">
        <v>4</v>
      </c>
      <c r="C28" s="77">
        <v>1045</v>
      </c>
      <c r="D28" s="644" t="s">
        <v>167</v>
      </c>
      <c r="E28" s="645"/>
      <c r="F28" s="645"/>
      <c r="G28" s="646"/>
    </row>
    <row r="29" spans="2:8" s="39" customFormat="1" ht="36">
      <c r="B29" s="194" t="s">
        <v>5</v>
      </c>
      <c r="C29" s="77">
        <v>32004</v>
      </c>
      <c r="D29" s="195" t="s">
        <v>395</v>
      </c>
      <c r="E29" s="195" t="s">
        <v>12</v>
      </c>
      <c r="F29" s="195" t="s">
        <v>13</v>
      </c>
      <c r="G29" s="195" t="s">
        <v>14</v>
      </c>
    </row>
    <row r="30" spans="2:8" s="39" customFormat="1" ht="54">
      <c r="B30" s="194" t="s">
        <v>6</v>
      </c>
      <c r="C30" s="196" t="s">
        <v>404</v>
      </c>
      <c r="D30" s="684"/>
      <c r="E30" s="684"/>
      <c r="F30" s="684"/>
      <c r="G30" s="684"/>
    </row>
    <row r="31" spans="2:8" s="39" customFormat="1" ht="36">
      <c r="B31" s="194" t="s">
        <v>10</v>
      </c>
      <c r="C31" s="196" t="s">
        <v>405</v>
      </c>
      <c r="D31" s="685"/>
      <c r="E31" s="685"/>
      <c r="F31" s="685"/>
      <c r="G31" s="685"/>
    </row>
    <row r="32" spans="2:8" s="39" customFormat="1" ht="36">
      <c r="B32" s="194" t="s">
        <v>7</v>
      </c>
      <c r="C32" s="196" t="s">
        <v>218</v>
      </c>
      <c r="D32" s="685"/>
      <c r="E32" s="685"/>
      <c r="F32" s="685"/>
      <c r="G32" s="685"/>
    </row>
    <row r="33" spans="2:8" s="39" customFormat="1" ht="54">
      <c r="B33" s="49" t="s">
        <v>216</v>
      </c>
      <c r="C33" s="196" t="s">
        <v>421</v>
      </c>
      <c r="D33" s="685"/>
      <c r="E33" s="685"/>
      <c r="F33" s="685"/>
      <c r="G33" s="685"/>
    </row>
    <row r="34" spans="2:8" s="39" customFormat="1">
      <c r="B34" s="752" t="s">
        <v>0</v>
      </c>
      <c r="C34" s="753"/>
      <c r="D34" s="686"/>
      <c r="E34" s="686"/>
      <c r="F34" s="686"/>
      <c r="G34" s="686"/>
    </row>
    <row r="35" spans="2:8" s="39" customFormat="1">
      <c r="B35" s="766" t="s">
        <v>422</v>
      </c>
      <c r="C35" s="767"/>
      <c r="D35" s="199"/>
      <c r="E35" s="199"/>
      <c r="F35" s="199">
        <v>1</v>
      </c>
      <c r="G35" s="199">
        <v>1</v>
      </c>
    </row>
    <row r="36" spans="2:8" s="39" customFormat="1">
      <c r="B36" s="197" t="s">
        <v>8</v>
      </c>
      <c r="C36" s="197"/>
      <c r="D36" s="198">
        <f>+'Havelvats 1'!D27</f>
        <v>0</v>
      </c>
      <c r="E36" s="198">
        <f>+'Havelvats 1'!E27</f>
        <v>0</v>
      </c>
      <c r="F36" s="198">
        <f>+'Havelvats 1'!F27</f>
        <v>121155.5</v>
      </c>
      <c r="G36" s="198">
        <f>+'Havelvats 1'!G27</f>
        <v>121155.5</v>
      </c>
      <c r="H36" s="158"/>
    </row>
    <row r="38" spans="2:8" s="39" customFormat="1">
      <c r="B38" s="200" t="s">
        <v>1</v>
      </c>
      <c r="C38" s="200" t="s">
        <v>2</v>
      </c>
      <c r="D38" s="144"/>
      <c r="E38" s="144"/>
      <c r="F38" s="144"/>
      <c r="G38" s="144"/>
    </row>
    <row r="39" spans="2:8" s="39" customFormat="1">
      <c r="B39" s="201">
        <v>1075</v>
      </c>
      <c r="C39" s="202" t="s">
        <v>217</v>
      </c>
      <c r="D39" s="193"/>
      <c r="E39" s="193"/>
      <c r="F39" s="193"/>
      <c r="G39" s="193"/>
    </row>
    <row r="40" spans="2:8" s="39" customFormat="1"/>
    <row r="41" spans="2:8" s="39" customFormat="1">
      <c r="B41" s="758" t="s">
        <v>3</v>
      </c>
      <c r="C41" s="759"/>
      <c r="D41" s="193"/>
      <c r="E41" s="193"/>
      <c r="F41" s="193"/>
      <c r="G41" s="193"/>
    </row>
    <row r="42" spans="2:8" s="39" customFormat="1" ht="58.4" customHeight="1">
      <c r="B42" s="194" t="s">
        <v>4</v>
      </c>
      <c r="C42" s="77">
        <v>1075</v>
      </c>
      <c r="D42" s="644" t="s">
        <v>252</v>
      </c>
      <c r="E42" s="645"/>
      <c r="F42" s="645"/>
      <c r="G42" s="646"/>
    </row>
    <row r="43" spans="2:8" s="39" customFormat="1" ht="36">
      <c r="B43" s="194" t="s">
        <v>5</v>
      </c>
      <c r="C43" s="77">
        <v>21001</v>
      </c>
      <c r="D43" s="195" t="s">
        <v>428</v>
      </c>
      <c r="E43" s="195" t="s">
        <v>12</v>
      </c>
      <c r="F43" s="195" t="s">
        <v>13</v>
      </c>
      <c r="G43" s="195" t="s">
        <v>14</v>
      </c>
    </row>
    <row r="44" spans="2:8" s="39" customFormat="1" ht="36">
      <c r="B44" s="203" t="s">
        <v>6</v>
      </c>
      <c r="C44" s="196" t="s">
        <v>423</v>
      </c>
      <c r="D44" s="684"/>
      <c r="E44" s="684"/>
      <c r="F44" s="684"/>
      <c r="G44" s="684"/>
    </row>
    <row r="45" spans="2:8" s="39" customFormat="1" ht="72">
      <c r="B45" s="194" t="s">
        <v>10</v>
      </c>
      <c r="C45" s="196" t="s">
        <v>424</v>
      </c>
      <c r="D45" s="685"/>
      <c r="E45" s="685"/>
      <c r="F45" s="685"/>
      <c r="G45" s="685"/>
    </row>
    <row r="46" spans="2:8" s="39" customFormat="1" ht="36">
      <c r="B46" s="204" t="s">
        <v>7</v>
      </c>
      <c r="C46" s="196" t="s">
        <v>425</v>
      </c>
      <c r="D46" s="685"/>
      <c r="E46" s="685"/>
      <c r="F46" s="685"/>
      <c r="G46" s="685"/>
    </row>
    <row r="47" spans="2:8" s="39" customFormat="1" ht="54">
      <c r="B47" s="49" t="s">
        <v>426</v>
      </c>
      <c r="C47" s="196" t="s">
        <v>157</v>
      </c>
      <c r="D47" s="685"/>
      <c r="E47" s="685"/>
      <c r="F47" s="685"/>
      <c r="G47" s="685"/>
    </row>
    <row r="48" spans="2:8" s="39" customFormat="1">
      <c r="B48" s="752" t="s">
        <v>0</v>
      </c>
      <c r="C48" s="753"/>
      <c r="D48" s="686"/>
      <c r="E48" s="686"/>
      <c r="F48" s="686"/>
      <c r="G48" s="686"/>
    </row>
    <row r="49" spans="2:8" s="39" customFormat="1" ht="34.5" customHeight="1">
      <c r="B49" s="766" t="s">
        <v>429</v>
      </c>
      <c r="C49" s="767"/>
      <c r="D49" s="385"/>
      <c r="E49" s="199">
        <v>3</v>
      </c>
      <c r="F49" s="199">
        <v>4</v>
      </c>
      <c r="G49" s="199">
        <v>4</v>
      </c>
    </row>
    <row r="50" spans="2:8" s="39" customFormat="1">
      <c r="B50" s="766" t="s">
        <v>427</v>
      </c>
      <c r="C50" s="767"/>
      <c r="D50" s="199"/>
      <c r="E50" s="199">
        <v>4</v>
      </c>
      <c r="F50" s="199">
        <v>4</v>
      </c>
      <c r="G50" s="216">
        <v>-2</v>
      </c>
    </row>
    <row r="51" spans="2:8" s="39" customFormat="1" ht="34.950000000000003" customHeight="1">
      <c r="B51" s="766" t="s">
        <v>430</v>
      </c>
      <c r="C51" s="767"/>
      <c r="D51" s="199"/>
      <c r="E51" s="199">
        <v>30</v>
      </c>
      <c r="F51" s="199">
        <v>70</v>
      </c>
      <c r="G51" s="199">
        <v>100</v>
      </c>
    </row>
    <row r="52" spans="2:8" s="208" customFormat="1">
      <c r="B52" s="205" t="s">
        <v>8</v>
      </c>
      <c r="C52" s="205"/>
      <c r="D52" s="206">
        <f>+'Havelvats 1'!D40</f>
        <v>0</v>
      </c>
      <c r="E52" s="206">
        <f>+'Havelvats 1'!E40</f>
        <v>0</v>
      </c>
      <c r="F52" s="206">
        <f>+'Havelvats 1'!F40</f>
        <v>0</v>
      </c>
      <c r="G52" s="206">
        <f>+'Havelvats 1'!G40</f>
        <v>0</v>
      </c>
      <c r="H52" s="207"/>
    </row>
    <row r="53" spans="2:8" ht="9.85" customHeight="1"/>
    <row r="54" spans="2:8" s="39" customFormat="1">
      <c r="B54" s="758" t="s">
        <v>3</v>
      </c>
      <c r="C54" s="759"/>
      <c r="D54" s="193"/>
      <c r="E54" s="193"/>
      <c r="F54" s="193"/>
      <c r="G54" s="193"/>
    </row>
    <row r="55" spans="2:8" s="39" customFormat="1" ht="58.4" customHeight="1">
      <c r="B55" s="194" t="s">
        <v>4</v>
      </c>
      <c r="C55" s="77">
        <v>1075</v>
      </c>
      <c r="D55" s="644" t="s">
        <v>167</v>
      </c>
      <c r="E55" s="645"/>
      <c r="F55" s="645"/>
      <c r="G55" s="646"/>
    </row>
    <row r="56" spans="2:8" s="39" customFormat="1" ht="36">
      <c r="B56" s="194" t="s">
        <v>5</v>
      </c>
      <c r="C56" s="77">
        <v>32001</v>
      </c>
      <c r="D56" s="195" t="s">
        <v>428</v>
      </c>
      <c r="E56" s="195" t="s">
        <v>12</v>
      </c>
      <c r="F56" s="195" t="s">
        <v>13</v>
      </c>
      <c r="G56" s="195" t="s">
        <v>14</v>
      </c>
    </row>
    <row r="57" spans="2:8" s="39" customFormat="1" ht="36">
      <c r="B57" s="203" t="s">
        <v>6</v>
      </c>
      <c r="C57" s="196" t="s">
        <v>484</v>
      </c>
      <c r="D57" s="684"/>
      <c r="E57" s="684"/>
      <c r="F57" s="684"/>
      <c r="G57" s="684"/>
    </row>
    <row r="58" spans="2:8" s="39" customFormat="1" ht="72">
      <c r="B58" s="194" t="s">
        <v>10</v>
      </c>
      <c r="C58" s="196" t="s">
        <v>506</v>
      </c>
      <c r="D58" s="685"/>
      <c r="E58" s="685"/>
      <c r="F58" s="685"/>
      <c r="G58" s="685"/>
    </row>
    <row r="59" spans="2:8" s="39" customFormat="1" ht="36">
      <c r="B59" s="204" t="s">
        <v>7</v>
      </c>
      <c r="C59" s="196" t="s">
        <v>218</v>
      </c>
      <c r="D59" s="685"/>
      <c r="E59" s="685"/>
      <c r="F59" s="685"/>
      <c r="G59" s="685"/>
    </row>
    <row r="60" spans="2:8" s="39" customFormat="1" ht="54">
      <c r="B60" s="49" t="s">
        <v>216</v>
      </c>
      <c r="C60" s="196" t="s">
        <v>507</v>
      </c>
      <c r="D60" s="685"/>
      <c r="E60" s="685"/>
      <c r="F60" s="685"/>
      <c r="G60" s="685"/>
    </row>
    <row r="61" spans="2:8" s="39" customFormat="1">
      <c r="B61" s="752" t="s">
        <v>0</v>
      </c>
      <c r="C61" s="753"/>
      <c r="D61" s="686"/>
      <c r="E61" s="686"/>
      <c r="F61" s="686"/>
      <c r="G61" s="686"/>
    </row>
    <row r="62" spans="2:8" s="39" customFormat="1">
      <c r="B62" s="754" t="s">
        <v>508</v>
      </c>
      <c r="C62" s="755"/>
      <c r="D62" s="199">
        <v>1</v>
      </c>
      <c r="E62" s="199">
        <v>1</v>
      </c>
      <c r="F62" s="199">
        <v>1</v>
      </c>
      <c r="G62" s="199">
        <v>1</v>
      </c>
    </row>
    <row r="63" spans="2:8" s="39" customFormat="1" ht="34.5" customHeight="1">
      <c r="B63" s="766" t="s">
        <v>420</v>
      </c>
      <c r="C63" s="767"/>
      <c r="D63" s="199"/>
      <c r="E63" s="199"/>
      <c r="F63" s="199"/>
      <c r="G63" s="216">
        <v>1</v>
      </c>
    </row>
    <row r="64" spans="2:8" s="208" customFormat="1">
      <c r="B64" s="205" t="s">
        <v>8</v>
      </c>
      <c r="C64" s="205"/>
      <c r="D64" s="206">
        <f>+'Havelvats 1'!D46</f>
        <v>12054.3</v>
      </c>
      <c r="E64" s="206">
        <f>+'Havelvats 1'!E46</f>
        <v>36163</v>
      </c>
      <c r="F64" s="206">
        <f>+'Havelvats 1'!F46</f>
        <v>60271.7</v>
      </c>
      <c r="G64" s="206">
        <f>+'Havelvats 1'!G46</f>
        <v>80362.3</v>
      </c>
      <c r="H64" s="207"/>
    </row>
    <row r="66" spans="2:8">
      <c r="B66" s="200" t="s">
        <v>1</v>
      </c>
      <c r="C66" s="200" t="s">
        <v>2</v>
      </c>
      <c r="D66" s="209"/>
      <c r="E66" s="209"/>
      <c r="F66" s="209"/>
      <c r="G66" s="209"/>
    </row>
    <row r="67" spans="2:8" ht="36">
      <c r="B67" s="201">
        <v>1111</v>
      </c>
      <c r="C67" s="210" t="s">
        <v>151</v>
      </c>
      <c r="D67" s="211"/>
      <c r="E67" s="211"/>
      <c r="F67" s="211"/>
      <c r="G67" s="211"/>
    </row>
    <row r="69" spans="2:8">
      <c r="B69" s="758" t="s">
        <v>3</v>
      </c>
      <c r="C69" s="768"/>
      <c r="D69" s="211"/>
      <c r="E69" s="211"/>
      <c r="F69" s="211"/>
      <c r="G69" s="211"/>
    </row>
    <row r="70" spans="2:8" s="39" customFormat="1" ht="58.4" customHeight="1">
      <c r="B70" s="194" t="s">
        <v>4</v>
      </c>
      <c r="C70" s="77">
        <v>1111</v>
      </c>
      <c r="D70" s="644" t="s">
        <v>434</v>
      </c>
      <c r="E70" s="645"/>
      <c r="F70" s="645"/>
      <c r="G70" s="646"/>
    </row>
    <row r="71" spans="2:8" ht="36">
      <c r="B71" s="194" t="s">
        <v>5</v>
      </c>
      <c r="C71" s="77">
        <v>32001</v>
      </c>
      <c r="D71" s="195" t="s">
        <v>428</v>
      </c>
      <c r="E71" s="195" t="s">
        <v>12</v>
      </c>
      <c r="F71" s="195" t="s">
        <v>13</v>
      </c>
      <c r="G71" s="195" t="s">
        <v>14</v>
      </c>
    </row>
    <row r="72" spans="2:8" ht="54">
      <c r="B72" s="212" t="s">
        <v>6</v>
      </c>
      <c r="C72" s="196" t="s">
        <v>431</v>
      </c>
      <c r="D72" s="760"/>
      <c r="E72" s="760"/>
      <c r="F72" s="760"/>
      <c r="G72" s="760"/>
    </row>
    <row r="73" spans="2:8" ht="54">
      <c r="B73" s="213" t="s">
        <v>10</v>
      </c>
      <c r="C73" s="196" t="s">
        <v>432</v>
      </c>
      <c r="D73" s="761"/>
      <c r="E73" s="761"/>
      <c r="F73" s="761"/>
      <c r="G73" s="761"/>
    </row>
    <row r="74" spans="2:8" ht="36">
      <c r="B74" s="214" t="s">
        <v>7</v>
      </c>
      <c r="C74" s="196" t="s">
        <v>215</v>
      </c>
      <c r="D74" s="761"/>
      <c r="E74" s="761"/>
      <c r="F74" s="761"/>
      <c r="G74" s="761"/>
    </row>
    <row r="75" spans="2:8" ht="54">
      <c r="B75" s="215" t="s">
        <v>216</v>
      </c>
      <c r="C75" s="196" t="s">
        <v>433</v>
      </c>
      <c r="D75" s="761"/>
      <c r="E75" s="761"/>
      <c r="F75" s="761"/>
      <c r="G75" s="761"/>
    </row>
    <row r="76" spans="2:8">
      <c r="B76" s="776" t="s">
        <v>0</v>
      </c>
      <c r="C76" s="777"/>
      <c r="D76" s="762"/>
      <c r="E76" s="762"/>
      <c r="F76" s="762"/>
      <c r="G76" s="762"/>
    </row>
    <row r="77" spans="2:8" s="219" customFormat="1">
      <c r="B77" s="217" t="s">
        <v>8</v>
      </c>
      <c r="C77" s="217"/>
      <c r="D77" s="206">
        <f>+'Havelvats 1'!D59</f>
        <v>0</v>
      </c>
      <c r="E77" s="206">
        <f>+'Havelvats 1'!E59</f>
        <v>0</v>
      </c>
      <c r="F77" s="206">
        <f>+'Havelvats 1'!F59</f>
        <v>0</v>
      </c>
      <c r="G77" s="206">
        <f>+'Havelvats 1'!G59</f>
        <v>-126342.90000000001</v>
      </c>
      <c r="H77" s="218"/>
    </row>
    <row r="79" spans="2:8" ht="50.75">
      <c r="B79" s="220" t="s">
        <v>119</v>
      </c>
      <c r="C79" s="769" t="s">
        <v>2</v>
      </c>
      <c r="D79" s="770"/>
      <c r="E79" s="771"/>
      <c r="F79" s="771"/>
      <c r="G79" s="772"/>
    </row>
    <row r="80" spans="2:8">
      <c r="B80" s="201">
        <v>1146</v>
      </c>
      <c r="C80" s="210" t="s">
        <v>435</v>
      </c>
      <c r="D80" s="210"/>
      <c r="E80" s="210"/>
      <c r="F80" s="210"/>
      <c r="G80" s="210"/>
    </row>
    <row r="82" spans="2:7">
      <c r="B82" s="756" t="s">
        <v>3</v>
      </c>
      <c r="C82" s="757"/>
      <c r="D82" s="221"/>
      <c r="E82" s="221"/>
      <c r="F82" s="221"/>
      <c r="G82" s="221"/>
    </row>
    <row r="83" spans="2:7" s="39" customFormat="1" ht="58.4" customHeight="1">
      <c r="B83" s="194" t="s">
        <v>51</v>
      </c>
      <c r="C83" s="77">
        <v>1146</v>
      </c>
      <c r="D83" s="644" t="s">
        <v>434</v>
      </c>
      <c r="E83" s="645"/>
      <c r="F83" s="645"/>
      <c r="G83" s="646"/>
    </row>
    <row r="84" spans="2:7" ht="36">
      <c r="B84" s="215" t="s">
        <v>52</v>
      </c>
      <c r="C84" s="77">
        <v>11001</v>
      </c>
      <c r="D84" s="195" t="s">
        <v>428</v>
      </c>
      <c r="E84" s="195" t="s">
        <v>12</v>
      </c>
      <c r="F84" s="195" t="s">
        <v>13</v>
      </c>
      <c r="G84" s="195" t="s">
        <v>14</v>
      </c>
    </row>
    <row r="85" spans="2:7" ht="36">
      <c r="B85" s="215" t="s">
        <v>53</v>
      </c>
      <c r="C85" s="196" t="s">
        <v>509</v>
      </c>
      <c r="D85" s="735"/>
      <c r="E85" s="735"/>
      <c r="F85" s="735"/>
      <c r="G85" s="735"/>
    </row>
    <row r="86" spans="2:7" ht="54">
      <c r="B86" s="215" t="s">
        <v>54</v>
      </c>
      <c r="C86" s="196" t="s">
        <v>510</v>
      </c>
      <c r="D86" s="736"/>
      <c r="E86" s="736"/>
      <c r="F86" s="736"/>
      <c r="G86" s="736"/>
    </row>
    <row r="87" spans="2:7" ht="36">
      <c r="B87" s="215" t="s">
        <v>55</v>
      </c>
      <c r="C87" s="222" t="s">
        <v>220</v>
      </c>
      <c r="D87" s="736"/>
      <c r="E87" s="736"/>
      <c r="F87" s="736"/>
      <c r="G87" s="736"/>
    </row>
    <row r="88" spans="2:7" ht="72">
      <c r="B88" s="215" t="s">
        <v>512</v>
      </c>
      <c r="C88" s="222" t="s">
        <v>511</v>
      </c>
      <c r="D88" s="736"/>
      <c r="E88" s="736"/>
      <c r="F88" s="736"/>
      <c r="G88" s="736"/>
    </row>
    <row r="89" spans="2:7">
      <c r="B89" s="738" t="s">
        <v>56</v>
      </c>
      <c r="C89" s="738"/>
      <c r="D89" s="737"/>
      <c r="E89" s="737"/>
      <c r="F89" s="737"/>
      <c r="G89" s="737"/>
    </row>
    <row r="90" spans="2:7">
      <c r="B90" s="217" t="s">
        <v>57</v>
      </c>
      <c r="C90" s="217"/>
      <c r="D90" s="206">
        <f>+'Havelvats 1'!D72</f>
        <v>-50000</v>
      </c>
      <c r="E90" s="206">
        <f>+'Havelvats 1'!E72</f>
        <v>-161948.29999999999</v>
      </c>
      <c r="F90" s="206">
        <f>+'Havelvats 1'!F72</f>
        <v>-293486</v>
      </c>
      <c r="G90" s="206">
        <f>+'Havelvats 1'!G72</f>
        <v>-223848.3</v>
      </c>
    </row>
    <row r="91" spans="2:7" ht="9.85" customHeight="1"/>
    <row r="92" spans="2:7">
      <c r="B92" s="756" t="s">
        <v>3</v>
      </c>
      <c r="C92" s="757"/>
      <c r="D92" s="221"/>
      <c r="E92" s="221"/>
      <c r="F92" s="221"/>
      <c r="G92" s="221"/>
    </row>
    <row r="93" spans="2:7" s="39" customFormat="1" ht="58.4" customHeight="1">
      <c r="B93" s="194" t="s">
        <v>51</v>
      </c>
      <c r="C93" s="77">
        <v>1146</v>
      </c>
      <c r="D93" s="644" t="s">
        <v>434</v>
      </c>
      <c r="E93" s="645"/>
      <c r="F93" s="645"/>
      <c r="G93" s="646"/>
    </row>
    <row r="94" spans="2:7" ht="36">
      <c r="B94" s="215" t="s">
        <v>52</v>
      </c>
      <c r="C94" s="77">
        <v>11002</v>
      </c>
      <c r="D94" s="195" t="s">
        <v>428</v>
      </c>
      <c r="E94" s="195" t="s">
        <v>12</v>
      </c>
      <c r="F94" s="195" t="s">
        <v>13</v>
      </c>
      <c r="G94" s="195" t="s">
        <v>14</v>
      </c>
    </row>
    <row r="95" spans="2:7" ht="36">
      <c r="B95" s="215" t="s">
        <v>53</v>
      </c>
      <c r="C95" s="196" t="s">
        <v>513</v>
      </c>
      <c r="D95" s="735"/>
      <c r="E95" s="735"/>
      <c r="F95" s="735"/>
      <c r="G95" s="735"/>
    </row>
    <row r="96" spans="2:7" ht="54">
      <c r="B96" s="215" t="s">
        <v>54</v>
      </c>
      <c r="C96" s="196" t="s">
        <v>514</v>
      </c>
      <c r="D96" s="736"/>
      <c r="E96" s="736"/>
      <c r="F96" s="736"/>
      <c r="G96" s="736"/>
    </row>
    <row r="97" spans="2:7" ht="36">
      <c r="B97" s="215" t="s">
        <v>55</v>
      </c>
      <c r="C97" s="222" t="s">
        <v>220</v>
      </c>
      <c r="D97" s="736"/>
      <c r="E97" s="736"/>
      <c r="F97" s="736"/>
      <c r="G97" s="736"/>
    </row>
    <row r="98" spans="2:7" ht="72">
      <c r="B98" s="215" t="s">
        <v>512</v>
      </c>
      <c r="C98" s="222" t="s">
        <v>511</v>
      </c>
      <c r="D98" s="736"/>
      <c r="E98" s="736"/>
      <c r="F98" s="736"/>
      <c r="G98" s="736"/>
    </row>
    <row r="99" spans="2:7">
      <c r="B99" s="738" t="s">
        <v>56</v>
      </c>
      <c r="C99" s="738"/>
      <c r="D99" s="737"/>
      <c r="E99" s="737"/>
      <c r="F99" s="737"/>
      <c r="G99" s="737"/>
    </row>
    <row r="100" spans="2:7">
      <c r="B100" s="217" t="s">
        <v>57</v>
      </c>
      <c r="C100" s="217"/>
      <c r="D100" s="206">
        <f>+'Havelvats 1'!D78</f>
        <v>-31178.2</v>
      </c>
      <c r="E100" s="206">
        <f>+'Havelvats 1'!E78</f>
        <v>-52000</v>
      </c>
      <c r="F100" s="206">
        <f>+'Havelvats 1'!F78</f>
        <v>-90444.3</v>
      </c>
      <c r="G100" s="206">
        <f>+'Havelvats 1'!G78</f>
        <v>0</v>
      </c>
    </row>
    <row r="101" spans="2:7" ht="9.85" customHeight="1"/>
    <row r="102" spans="2:7">
      <c r="B102" s="756" t="s">
        <v>3</v>
      </c>
      <c r="C102" s="757"/>
      <c r="D102" s="221"/>
      <c r="E102" s="221"/>
      <c r="F102" s="221"/>
      <c r="G102" s="221"/>
    </row>
    <row r="103" spans="2:7" s="39" customFormat="1" ht="58.4" customHeight="1">
      <c r="B103" s="194" t="s">
        <v>51</v>
      </c>
      <c r="C103" s="77">
        <v>1146</v>
      </c>
      <c r="D103" s="644" t="s">
        <v>252</v>
      </c>
      <c r="E103" s="645"/>
      <c r="F103" s="645"/>
      <c r="G103" s="646"/>
    </row>
    <row r="104" spans="2:7" ht="36">
      <c r="B104" s="215" t="s">
        <v>52</v>
      </c>
      <c r="C104" s="77">
        <v>12010</v>
      </c>
      <c r="D104" s="195" t="s">
        <v>428</v>
      </c>
      <c r="E104" s="195" t="s">
        <v>12</v>
      </c>
      <c r="F104" s="195" t="s">
        <v>13</v>
      </c>
      <c r="G104" s="195" t="s">
        <v>14</v>
      </c>
    </row>
    <row r="105" spans="2:7" ht="36">
      <c r="B105" s="215" t="s">
        <v>53</v>
      </c>
      <c r="C105" s="196" t="s">
        <v>436</v>
      </c>
      <c r="D105" s="735"/>
      <c r="E105" s="735"/>
      <c r="F105" s="735"/>
      <c r="G105" s="735"/>
    </row>
    <row r="106" spans="2:7" ht="36">
      <c r="B106" s="215" t="s">
        <v>54</v>
      </c>
      <c r="C106" s="196" t="s">
        <v>437</v>
      </c>
      <c r="D106" s="736"/>
      <c r="E106" s="736"/>
      <c r="F106" s="736"/>
      <c r="G106" s="736"/>
    </row>
    <row r="107" spans="2:7" ht="36">
      <c r="B107" s="215" t="s">
        <v>55</v>
      </c>
      <c r="C107" s="222" t="s">
        <v>212</v>
      </c>
      <c r="D107" s="736"/>
      <c r="E107" s="736"/>
      <c r="F107" s="736"/>
      <c r="G107" s="736"/>
    </row>
    <row r="108" spans="2:7" ht="54">
      <c r="B108" s="215" t="s">
        <v>439</v>
      </c>
      <c r="C108" s="222" t="s">
        <v>438</v>
      </c>
      <c r="D108" s="736"/>
      <c r="E108" s="736"/>
      <c r="F108" s="736"/>
      <c r="G108" s="736"/>
    </row>
    <row r="109" spans="2:7">
      <c r="B109" s="738" t="s">
        <v>56</v>
      </c>
      <c r="C109" s="738"/>
      <c r="D109" s="737"/>
      <c r="E109" s="737"/>
      <c r="F109" s="737"/>
      <c r="G109" s="737"/>
    </row>
    <row r="110" spans="2:7" ht="16.8" customHeight="1">
      <c r="B110" s="754" t="s">
        <v>443</v>
      </c>
      <c r="C110" s="755"/>
      <c r="D110" s="199">
        <v>1</v>
      </c>
      <c r="E110" s="199">
        <v>1</v>
      </c>
      <c r="F110" s="199">
        <v>1</v>
      </c>
      <c r="G110" s="199">
        <v>1</v>
      </c>
    </row>
    <row r="111" spans="2:7">
      <c r="B111" s="217" t="s">
        <v>57</v>
      </c>
      <c r="C111" s="217"/>
      <c r="D111" s="206">
        <f>+'Havelvats 1'!D84</f>
        <v>-2473.3999999999978</v>
      </c>
      <c r="E111" s="206">
        <f>+'Havelvats 1'!E84</f>
        <v>4939.9999999999127</v>
      </c>
      <c r="F111" s="206">
        <f>+'Havelvats 1'!F84</f>
        <v>4939.5999999996857</v>
      </c>
      <c r="G111" s="206">
        <f>+'Havelvats 1'!G84</f>
        <v>-39449.400000001246</v>
      </c>
    </row>
    <row r="113" spans="2:7">
      <c r="B113" s="223" t="s">
        <v>1</v>
      </c>
      <c r="C113" s="769" t="s">
        <v>2</v>
      </c>
      <c r="D113" s="770"/>
      <c r="E113" s="771"/>
      <c r="F113" s="771"/>
      <c r="G113" s="772"/>
    </row>
    <row r="114" spans="2:7">
      <c r="B114" s="201">
        <v>1163</v>
      </c>
      <c r="C114" s="210" t="s">
        <v>68</v>
      </c>
      <c r="D114" s="211"/>
      <c r="E114" s="211"/>
      <c r="F114" s="211"/>
      <c r="G114" s="211"/>
    </row>
    <row r="116" spans="2:7">
      <c r="B116" s="758" t="s">
        <v>3</v>
      </c>
      <c r="C116" s="768"/>
      <c r="D116" s="211"/>
      <c r="E116" s="211"/>
      <c r="F116" s="211"/>
      <c r="G116" s="211"/>
    </row>
    <row r="117" spans="2:7" s="39" customFormat="1" ht="58.4" customHeight="1">
      <c r="B117" s="194" t="s">
        <v>1</v>
      </c>
      <c r="C117" s="77">
        <v>1163</v>
      </c>
      <c r="D117" s="644" t="s">
        <v>434</v>
      </c>
      <c r="E117" s="645"/>
      <c r="F117" s="645"/>
      <c r="G117" s="646"/>
    </row>
    <row r="118" spans="2:7" ht="36">
      <c r="B118" s="213" t="s">
        <v>5</v>
      </c>
      <c r="C118" s="196">
        <v>12001</v>
      </c>
      <c r="D118" s="195" t="s">
        <v>428</v>
      </c>
      <c r="E118" s="195" t="s">
        <v>12</v>
      </c>
      <c r="F118" s="195" t="s">
        <v>13</v>
      </c>
      <c r="G118" s="195" t="s">
        <v>14</v>
      </c>
    </row>
    <row r="119" spans="2:7" ht="36">
      <c r="B119" s="212" t="s">
        <v>6</v>
      </c>
      <c r="C119" s="196" t="s">
        <v>76</v>
      </c>
      <c r="D119" s="773"/>
      <c r="E119" s="773"/>
      <c r="F119" s="773"/>
      <c r="G119" s="739"/>
    </row>
    <row r="120" spans="2:7" ht="36">
      <c r="B120" s="213" t="s">
        <v>10</v>
      </c>
      <c r="C120" s="196" t="s">
        <v>77</v>
      </c>
      <c r="D120" s="774"/>
      <c r="E120" s="774"/>
      <c r="F120" s="774"/>
      <c r="G120" s="740"/>
    </row>
    <row r="121" spans="2:7">
      <c r="B121" s="212" t="s">
        <v>7</v>
      </c>
      <c r="C121" s="196" t="s">
        <v>78</v>
      </c>
      <c r="D121" s="774"/>
      <c r="E121" s="774"/>
      <c r="F121" s="774"/>
      <c r="G121" s="740"/>
    </row>
    <row r="122" spans="2:7" ht="54">
      <c r="B122" s="224" t="s">
        <v>95</v>
      </c>
      <c r="C122" s="196" t="s">
        <v>82</v>
      </c>
      <c r="D122" s="774"/>
      <c r="E122" s="774"/>
      <c r="F122" s="774"/>
      <c r="G122" s="740"/>
    </row>
    <row r="123" spans="2:7">
      <c r="B123" s="776" t="s">
        <v>0</v>
      </c>
      <c r="C123" s="777"/>
      <c r="D123" s="775"/>
      <c r="E123" s="775"/>
      <c r="F123" s="775"/>
      <c r="G123" s="741"/>
    </row>
    <row r="124" spans="2:7">
      <c r="B124" s="744" t="s">
        <v>8</v>
      </c>
      <c r="C124" s="745"/>
      <c r="D124" s="206">
        <f>+'Havelvats 1'!D97</f>
        <v>0</v>
      </c>
      <c r="E124" s="206">
        <f>+'Havelvats 1'!E97</f>
        <v>0</v>
      </c>
      <c r="F124" s="206">
        <f>+'Havelvats 1'!F97</f>
        <v>0</v>
      </c>
      <c r="G124" s="206">
        <f>+'Havelvats 1'!G97</f>
        <v>-43857.100000000006</v>
      </c>
    </row>
    <row r="125" spans="2:7" ht="9.85" customHeight="1"/>
    <row r="126" spans="2:7" s="39" customFormat="1">
      <c r="B126" s="758" t="s">
        <v>3</v>
      </c>
      <c r="C126" s="759"/>
      <c r="D126" s="193"/>
      <c r="E126" s="193"/>
      <c r="F126" s="193"/>
      <c r="G126" s="193"/>
    </row>
    <row r="127" spans="2:7" s="39" customFormat="1" ht="58.4" customHeight="1">
      <c r="B127" s="194" t="s">
        <v>4</v>
      </c>
      <c r="C127" s="77">
        <v>1163</v>
      </c>
      <c r="D127" s="644" t="s">
        <v>252</v>
      </c>
      <c r="E127" s="645"/>
      <c r="F127" s="645"/>
      <c r="G127" s="646"/>
    </row>
    <row r="128" spans="2:7" s="39" customFormat="1" ht="36">
      <c r="B128" s="194" t="s">
        <v>5</v>
      </c>
      <c r="C128" s="77">
        <v>32001</v>
      </c>
      <c r="D128" s="195" t="s">
        <v>428</v>
      </c>
      <c r="E128" s="195" t="s">
        <v>12</v>
      </c>
      <c r="F128" s="195" t="s">
        <v>13</v>
      </c>
      <c r="G128" s="195" t="s">
        <v>14</v>
      </c>
    </row>
    <row r="129" spans="2:8" s="39" customFormat="1" ht="36">
      <c r="B129" s="203" t="s">
        <v>6</v>
      </c>
      <c r="C129" s="196" t="s">
        <v>109</v>
      </c>
      <c r="D129" s="684"/>
      <c r="E129" s="684"/>
      <c r="F129" s="684"/>
      <c r="G129" s="684"/>
    </row>
    <row r="130" spans="2:8" s="39" customFormat="1" ht="72">
      <c r="B130" s="194" t="s">
        <v>10</v>
      </c>
      <c r="C130" s="196" t="s">
        <v>221</v>
      </c>
      <c r="D130" s="685"/>
      <c r="E130" s="685"/>
      <c r="F130" s="685"/>
      <c r="G130" s="685"/>
    </row>
    <row r="131" spans="2:8" s="39" customFormat="1" ht="36">
      <c r="B131" s="204" t="s">
        <v>7</v>
      </c>
      <c r="C131" s="196" t="s">
        <v>218</v>
      </c>
      <c r="D131" s="685"/>
      <c r="E131" s="685"/>
      <c r="F131" s="685"/>
      <c r="G131" s="685"/>
    </row>
    <row r="132" spans="2:8" s="39" customFormat="1" ht="54">
      <c r="B132" s="49" t="s">
        <v>219</v>
      </c>
      <c r="C132" s="196" t="s">
        <v>225</v>
      </c>
      <c r="D132" s="685"/>
      <c r="E132" s="685"/>
      <c r="F132" s="685"/>
      <c r="G132" s="685"/>
    </row>
    <row r="133" spans="2:8" s="39" customFormat="1">
      <c r="B133" s="752" t="s">
        <v>0</v>
      </c>
      <c r="C133" s="753"/>
      <c r="D133" s="686"/>
      <c r="E133" s="686"/>
      <c r="F133" s="686"/>
      <c r="G133" s="686"/>
    </row>
    <row r="134" spans="2:8" s="39" customFormat="1">
      <c r="B134" s="742" t="s">
        <v>83</v>
      </c>
      <c r="C134" s="743"/>
      <c r="D134" s="199"/>
      <c r="E134" s="199"/>
      <c r="F134" s="199"/>
      <c r="G134" s="216">
        <v>-1</v>
      </c>
    </row>
    <row r="135" spans="2:8" s="39" customFormat="1" ht="34.5" customHeight="1">
      <c r="B135" s="742" t="s">
        <v>440</v>
      </c>
      <c r="C135" s="743"/>
      <c r="D135" s="199"/>
      <c r="E135" s="199"/>
      <c r="F135" s="199"/>
      <c r="G135" s="199">
        <v>1</v>
      </c>
    </row>
    <row r="136" spans="2:8" s="208" customFormat="1">
      <c r="B136" s="205" t="s">
        <v>8</v>
      </c>
      <c r="C136" s="205"/>
      <c r="D136" s="206">
        <f>+'Havelvats 1'!D103</f>
        <v>-3244.4000000000015</v>
      </c>
      <c r="E136" s="206">
        <f>+'Havelvats 1'!E103</f>
        <v>-252.80000000000291</v>
      </c>
      <c r="F136" s="206">
        <f>+'Havelvats 1'!F103</f>
        <v>-252.70000000001164</v>
      </c>
      <c r="G136" s="206">
        <f>+'Havelvats 1'!G103</f>
        <v>-800609.5</v>
      </c>
      <c r="H136" s="207"/>
    </row>
    <row r="137" spans="2:8" ht="9.85" customHeight="1"/>
    <row r="138" spans="2:8" s="39" customFormat="1">
      <c r="B138" s="758" t="s">
        <v>3</v>
      </c>
      <c r="C138" s="759"/>
      <c r="D138" s="193"/>
      <c r="E138" s="193"/>
      <c r="F138" s="193"/>
      <c r="G138" s="193"/>
    </row>
    <row r="139" spans="2:8" s="39" customFormat="1" ht="58.4" customHeight="1">
      <c r="B139" s="194" t="s">
        <v>4</v>
      </c>
      <c r="C139" s="77">
        <v>1163</v>
      </c>
      <c r="D139" s="644" t="s">
        <v>167</v>
      </c>
      <c r="E139" s="645"/>
      <c r="F139" s="645"/>
      <c r="G139" s="646"/>
    </row>
    <row r="140" spans="2:8" s="39" customFormat="1" ht="36">
      <c r="B140" s="194" t="s">
        <v>5</v>
      </c>
      <c r="C140" s="77">
        <v>32002</v>
      </c>
      <c r="D140" s="195" t="s">
        <v>428</v>
      </c>
      <c r="E140" s="195" t="s">
        <v>12</v>
      </c>
      <c r="F140" s="195" t="s">
        <v>13</v>
      </c>
      <c r="G140" s="195" t="s">
        <v>14</v>
      </c>
    </row>
    <row r="141" spans="2:8" s="39" customFormat="1" ht="36">
      <c r="B141" s="203" t="s">
        <v>6</v>
      </c>
      <c r="C141" s="196" t="s">
        <v>403</v>
      </c>
      <c r="D141" s="684"/>
      <c r="E141" s="684"/>
      <c r="F141" s="684"/>
      <c r="G141" s="684"/>
    </row>
    <row r="142" spans="2:8" s="39" customFormat="1" ht="36">
      <c r="B142" s="194" t="s">
        <v>10</v>
      </c>
      <c r="C142" s="196" t="s">
        <v>413</v>
      </c>
      <c r="D142" s="685"/>
      <c r="E142" s="685"/>
      <c r="F142" s="685"/>
      <c r="G142" s="685"/>
    </row>
    <row r="143" spans="2:8" s="39" customFormat="1" ht="36">
      <c r="B143" s="204" t="s">
        <v>7</v>
      </c>
      <c r="C143" s="196" t="s">
        <v>441</v>
      </c>
      <c r="D143" s="685"/>
      <c r="E143" s="685"/>
      <c r="F143" s="685"/>
      <c r="G143" s="685"/>
    </row>
    <row r="144" spans="2:8" s="39" customFormat="1" ht="54">
      <c r="B144" s="49" t="s">
        <v>219</v>
      </c>
      <c r="C144" s="196" t="s">
        <v>225</v>
      </c>
      <c r="D144" s="685"/>
      <c r="E144" s="685"/>
      <c r="F144" s="685"/>
      <c r="G144" s="685"/>
    </row>
    <row r="145" spans="2:8" s="39" customFormat="1">
      <c r="B145" s="752" t="s">
        <v>0</v>
      </c>
      <c r="C145" s="753"/>
      <c r="D145" s="686"/>
      <c r="E145" s="686"/>
      <c r="F145" s="686"/>
      <c r="G145" s="686"/>
    </row>
    <row r="146" spans="2:8" s="39" customFormat="1">
      <c r="B146" s="742" t="s">
        <v>442</v>
      </c>
      <c r="C146" s="743"/>
      <c r="D146" s="199"/>
      <c r="E146" s="199">
        <v>1</v>
      </c>
      <c r="F146" s="199">
        <v>1</v>
      </c>
      <c r="G146" s="216">
        <v>1</v>
      </c>
    </row>
    <row r="147" spans="2:8" s="39" customFormat="1" ht="34.5" customHeight="1">
      <c r="B147" s="742" t="s">
        <v>440</v>
      </c>
      <c r="C147" s="743"/>
      <c r="D147" s="199"/>
      <c r="E147" s="199"/>
      <c r="F147" s="199"/>
      <c r="G147" s="199">
        <v>1</v>
      </c>
    </row>
    <row r="148" spans="2:8" s="208" customFormat="1">
      <c r="B148" s="205" t="s">
        <v>8</v>
      </c>
      <c r="C148" s="205"/>
      <c r="D148" s="206">
        <f>+'Havelvats 1'!D109</f>
        <v>0</v>
      </c>
      <c r="E148" s="206">
        <f>+'Havelvats 1'!E109</f>
        <v>177785.3</v>
      </c>
      <c r="F148" s="206">
        <f>+'Havelvats 1'!F109</f>
        <v>330172.59999999998</v>
      </c>
      <c r="G148" s="206">
        <f>+'Havelvats 1'!G109</f>
        <v>507957.9</v>
      </c>
      <c r="H148" s="207"/>
    </row>
    <row r="150" spans="2:8">
      <c r="B150" s="223" t="s">
        <v>1</v>
      </c>
      <c r="C150" s="769" t="s">
        <v>2</v>
      </c>
      <c r="D150" s="770"/>
      <c r="E150" s="771"/>
      <c r="F150" s="771"/>
      <c r="G150" s="772"/>
    </row>
    <row r="151" spans="2:8">
      <c r="B151" s="201">
        <v>1168</v>
      </c>
      <c r="C151" s="210" t="s">
        <v>222</v>
      </c>
      <c r="D151" s="211"/>
      <c r="E151" s="211"/>
      <c r="F151" s="211"/>
      <c r="G151" s="211"/>
    </row>
    <row r="153" spans="2:8" s="39" customFormat="1">
      <c r="B153" s="758" t="s">
        <v>3</v>
      </c>
      <c r="C153" s="759"/>
      <c r="D153" s="193"/>
      <c r="E153" s="193"/>
      <c r="F153" s="193"/>
      <c r="G153" s="193"/>
    </row>
    <row r="154" spans="2:8" s="39" customFormat="1" ht="58.4" customHeight="1">
      <c r="B154" s="194" t="s">
        <v>4</v>
      </c>
      <c r="C154" s="77">
        <v>1168</v>
      </c>
      <c r="D154" s="644" t="s">
        <v>515</v>
      </c>
      <c r="E154" s="645"/>
      <c r="F154" s="645"/>
      <c r="G154" s="646"/>
    </row>
    <row r="155" spans="2:8" s="39" customFormat="1" ht="36">
      <c r="B155" s="194" t="s">
        <v>5</v>
      </c>
      <c r="C155" s="77">
        <v>32001</v>
      </c>
      <c r="D155" s="195" t="s">
        <v>428</v>
      </c>
      <c r="E155" s="195" t="s">
        <v>12</v>
      </c>
      <c r="F155" s="195" t="s">
        <v>13</v>
      </c>
      <c r="G155" s="195" t="s">
        <v>14</v>
      </c>
    </row>
    <row r="156" spans="2:8" s="39" customFormat="1" ht="36">
      <c r="B156" s="203" t="s">
        <v>6</v>
      </c>
      <c r="C156" s="196" t="s">
        <v>185</v>
      </c>
      <c r="D156" s="684"/>
      <c r="E156" s="684"/>
      <c r="F156" s="684"/>
      <c r="G156" s="684"/>
    </row>
    <row r="157" spans="2:8" s="39" customFormat="1" ht="72">
      <c r="B157" s="194" t="s">
        <v>10</v>
      </c>
      <c r="C157" s="196" t="s">
        <v>223</v>
      </c>
      <c r="D157" s="685"/>
      <c r="E157" s="685"/>
      <c r="F157" s="685"/>
      <c r="G157" s="685"/>
    </row>
    <row r="158" spans="2:8" s="39" customFormat="1" ht="36">
      <c r="B158" s="204" t="s">
        <v>7</v>
      </c>
      <c r="C158" s="196" t="s">
        <v>218</v>
      </c>
      <c r="D158" s="685"/>
      <c r="E158" s="685"/>
      <c r="F158" s="685"/>
      <c r="G158" s="685"/>
    </row>
    <row r="159" spans="2:8" s="39" customFormat="1" ht="54">
      <c r="B159" s="49" t="s">
        <v>219</v>
      </c>
      <c r="C159" s="196" t="s">
        <v>224</v>
      </c>
      <c r="D159" s="685"/>
      <c r="E159" s="685"/>
      <c r="F159" s="685"/>
      <c r="G159" s="685"/>
    </row>
    <row r="160" spans="2:8" s="39" customFormat="1">
      <c r="B160" s="752" t="s">
        <v>0</v>
      </c>
      <c r="C160" s="753"/>
      <c r="D160" s="686"/>
      <c r="E160" s="686"/>
      <c r="F160" s="686"/>
      <c r="G160" s="686"/>
    </row>
    <row r="161" spans="2:8" s="39" customFormat="1" ht="16.8" customHeight="1">
      <c r="B161" s="742" t="s">
        <v>443</v>
      </c>
      <c r="C161" s="743"/>
      <c r="D161" s="199"/>
      <c r="E161" s="199"/>
      <c r="F161" s="199"/>
      <c r="G161" s="216">
        <v>-1</v>
      </c>
    </row>
    <row r="162" spans="2:8" s="39" customFormat="1" ht="16.8" customHeight="1">
      <c r="B162" s="742" t="s">
        <v>516</v>
      </c>
      <c r="C162" s="743"/>
      <c r="D162" s="199"/>
      <c r="E162" s="199">
        <v>1</v>
      </c>
      <c r="F162" s="199">
        <v>1</v>
      </c>
      <c r="G162" s="535">
        <v>1</v>
      </c>
    </row>
    <row r="163" spans="2:8" s="39" customFormat="1" ht="16.8" customHeight="1">
      <c r="B163" s="742" t="s">
        <v>420</v>
      </c>
      <c r="C163" s="743"/>
      <c r="D163" s="199"/>
      <c r="E163" s="199"/>
      <c r="F163" s="199">
        <v>2</v>
      </c>
      <c r="G163" s="535">
        <v>2</v>
      </c>
    </row>
    <row r="164" spans="2:8" s="208" customFormat="1">
      <c r="B164" s="205" t="s">
        <v>8</v>
      </c>
      <c r="C164" s="205"/>
      <c r="D164" s="206">
        <f>+'Havelvats 1'!D122</f>
        <v>0</v>
      </c>
      <c r="E164" s="206">
        <f>+'Havelvats 1'!E122</f>
        <v>6766.1</v>
      </c>
      <c r="F164" s="206">
        <f>+'Havelvats 1'!F122</f>
        <v>-17183.400000000023</v>
      </c>
      <c r="G164" s="206">
        <f>+'Havelvats 1'!G122</f>
        <v>-20620.700000000026</v>
      </c>
      <c r="H164" s="207"/>
    </row>
    <row r="165" spans="2:8" ht="9.85" customHeight="1"/>
    <row r="166" spans="2:8" s="39" customFormat="1">
      <c r="B166" s="758" t="s">
        <v>3</v>
      </c>
      <c r="C166" s="759"/>
      <c r="D166" s="193"/>
      <c r="E166" s="193"/>
      <c r="F166" s="193"/>
      <c r="G166" s="193"/>
    </row>
    <row r="167" spans="2:8" s="39" customFormat="1" ht="58.4" customHeight="1">
      <c r="B167" s="194" t="s">
        <v>4</v>
      </c>
      <c r="C167" s="77">
        <v>1168</v>
      </c>
      <c r="D167" s="644" t="s">
        <v>434</v>
      </c>
      <c r="E167" s="645"/>
      <c r="F167" s="645"/>
      <c r="G167" s="646"/>
    </row>
    <row r="168" spans="2:8" s="39" customFormat="1" ht="36">
      <c r="B168" s="194" t="s">
        <v>5</v>
      </c>
      <c r="C168" s="77">
        <v>32007</v>
      </c>
      <c r="D168" s="195" t="s">
        <v>428</v>
      </c>
      <c r="E168" s="195" t="s">
        <v>12</v>
      </c>
      <c r="F168" s="195" t="s">
        <v>13</v>
      </c>
      <c r="G168" s="195" t="s">
        <v>14</v>
      </c>
    </row>
    <row r="169" spans="2:8" s="39" customFormat="1" ht="36">
      <c r="B169" s="203" t="s">
        <v>6</v>
      </c>
      <c r="C169" s="196" t="s">
        <v>444</v>
      </c>
      <c r="D169" s="684"/>
      <c r="E169" s="684"/>
      <c r="F169" s="684"/>
      <c r="G169" s="684"/>
    </row>
    <row r="170" spans="2:8" s="39" customFormat="1" ht="36">
      <c r="B170" s="194" t="s">
        <v>10</v>
      </c>
      <c r="C170" s="196" t="s">
        <v>445</v>
      </c>
      <c r="D170" s="685"/>
      <c r="E170" s="685"/>
      <c r="F170" s="685"/>
      <c r="G170" s="685"/>
    </row>
    <row r="171" spans="2:8" s="39" customFormat="1" ht="36">
      <c r="B171" s="204" t="s">
        <v>7</v>
      </c>
      <c r="C171" s="196" t="s">
        <v>215</v>
      </c>
      <c r="D171" s="685"/>
      <c r="E171" s="685"/>
      <c r="F171" s="685"/>
      <c r="G171" s="685"/>
    </row>
    <row r="172" spans="2:8" s="39" customFormat="1" ht="54">
      <c r="B172" s="49" t="s">
        <v>219</v>
      </c>
      <c r="C172" s="196" t="s">
        <v>446</v>
      </c>
      <c r="D172" s="685"/>
      <c r="E172" s="685"/>
      <c r="F172" s="685"/>
      <c r="G172" s="685"/>
    </row>
    <row r="173" spans="2:8" s="39" customFormat="1">
      <c r="B173" s="752" t="s">
        <v>0</v>
      </c>
      <c r="C173" s="753"/>
      <c r="D173" s="686"/>
      <c r="E173" s="686"/>
      <c r="F173" s="686"/>
      <c r="G173" s="686"/>
    </row>
    <row r="174" spans="2:8" s="39" customFormat="1" ht="16.8" customHeight="1">
      <c r="B174" s="742" t="s">
        <v>447</v>
      </c>
      <c r="C174" s="743"/>
      <c r="D174" s="199"/>
      <c r="E174" s="216">
        <v>-1</v>
      </c>
      <c r="F174" s="216">
        <v>-1</v>
      </c>
      <c r="G174" s="216">
        <v>-1</v>
      </c>
    </row>
    <row r="175" spans="2:8" s="208" customFormat="1">
      <c r="B175" s="205" t="s">
        <v>8</v>
      </c>
      <c r="C175" s="205"/>
      <c r="D175" s="206">
        <f>+'Havelvats 1'!D128</f>
        <v>0</v>
      </c>
      <c r="E175" s="206">
        <f>+'Havelvats 1'!E128</f>
        <v>-6766.1</v>
      </c>
      <c r="F175" s="206">
        <f>+'Havelvats 1'!F128</f>
        <v>-17306</v>
      </c>
      <c r="G175" s="206">
        <f>+'Havelvats 1'!G128</f>
        <v>-17306</v>
      </c>
      <c r="H175" s="207"/>
    </row>
    <row r="177" spans="2:7" ht="50.75">
      <c r="B177" s="220" t="s">
        <v>119</v>
      </c>
      <c r="C177" s="769" t="s">
        <v>2</v>
      </c>
      <c r="D177" s="770"/>
      <c r="E177" s="771"/>
      <c r="F177" s="771"/>
      <c r="G177" s="772"/>
    </row>
    <row r="178" spans="2:7">
      <c r="B178" s="201">
        <v>1183</v>
      </c>
      <c r="C178" s="210" t="s">
        <v>226</v>
      </c>
      <c r="D178" s="210"/>
      <c r="E178" s="210"/>
      <c r="F178" s="210"/>
      <c r="G178" s="210"/>
    </row>
    <row r="180" spans="2:7">
      <c r="B180" s="756" t="s">
        <v>3</v>
      </c>
      <c r="C180" s="757"/>
      <c r="D180" s="221"/>
      <c r="E180" s="221"/>
      <c r="F180" s="221"/>
      <c r="G180" s="221"/>
    </row>
    <row r="181" spans="2:7" s="39" customFormat="1" ht="58.4" customHeight="1">
      <c r="B181" s="194" t="s">
        <v>51</v>
      </c>
      <c r="C181" s="77">
        <v>1183</v>
      </c>
      <c r="D181" s="644" t="s">
        <v>434</v>
      </c>
      <c r="E181" s="645"/>
      <c r="F181" s="645"/>
      <c r="G181" s="646"/>
    </row>
    <row r="182" spans="2:7" ht="36">
      <c r="B182" s="215" t="s">
        <v>52</v>
      </c>
      <c r="C182" s="77" t="s">
        <v>227</v>
      </c>
      <c r="D182" s="195" t="s">
        <v>428</v>
      </c>
      <c r="E182" s="195" t="s">
        <v>12</v>
      </c>
      <c r="F182" s="195" t="s">
        <v>13</v>
      </c>
      <c r="G182" s="195" t="s">
        <v>14</v>
      </c>
    </row>
    <row r="183" spans="2:7" ht="36">
      <c r="B183" s="215" t="s">
        <v>53</v>
      </c>
      <c r="C183" s="196" t="s">
        <v>228</v>
      </c>
      <c r="D183" s="735"/>
      <c r="E183" s="735"/>
      <c r="F183" s="735"/>
      <c r="G183" s="735"/>
    </row>
    <row r="184" spans="2:7" ht="72">
      <c r="B184" s="215" t="s">
        <v>54</v>
      </c>
      <c r="C184" s="196" t="s">
        <v>229</v>
      </c>
      <c r="D184" s="736"/>
      <c r="E184" s="736"/>
      <c r="F184" s="736"/>
      <c r="G184" s="736"/>
    </row>
    <row r="185" spans="2:7" ht="36">
      <c r="B185" s="215" t="s">
        <v>55</v>
      </c>
      <c r="C185" s="222" t="s">
        <v>215</v>
      </c>
      <c r="D185" s="736"/>
      <c r="E185" s="736"/>
      <c r="F185" s="736"/>
      <c r="G185" s="736"/>
    </row>
    <row r="186" spans="2:7" ht="54">
      <c r="B186" s="215" t="s">
        <v>231</v>
      </c>
      <c r="C186" s="222" t="s">
        <v>230</v>
      </c>
      <c r="D186" s="736"/>
      <c r="E186" s="736"/>
      <c r="F186" s="736"/>
      <c r="G186" s="736"/>
    </row>
    <row r="187" spans="2:7">
      <c r="B187" s="738" t="s">
        <v>56</v>
      </c>
      <c r="C187" s="738"/>
      <c r="D187" s="737"/>
      <c r="E187" s="737"/>
      <c r="F187" s="737"/>
      <c r="G187" s="737"/>
    </row>
    <row r="188" spans="2:7">
      <c r="B188" s="217" t="s">
        <v>57</v>
      </c>
      <c r="C188" s="217"/>
      <c r="D188" s="206">
        <f>+'Havelvats 1'!D141</f>
        <v>0</v>
      </c>
      <c r="E188" s="206">
        <f>+'Havelvats 1'!E141</f>
        <v>-49533.599999999991</v>
      </c>
      <c r="F188" s="206">
        <f>+'Havelvats 1'!F141</f>
        <v>-91847.5</v>
      </c>
      <c r="G188" s="206">
        <f>+'Havelvats 1'!G141</f>
        <v>-154319.40000000002</v>
      </c>
    </row>
    <row r="189" spans="2:7" ht="9.85" customHeight="1"/>
    <row r="190" spans="2:7">
      <c r="B190" s="756" t="s">
        <v>3</v>
      </c>
      <c r="C190" s="757"/>
      <c r="D190" s="221"/>
      <c r="E190" s="221"/>
      <c r="F190" s="221"/>
      <c r="G190" s="221"/>
    </row>
    <row r="191" spans="2:7" s="39" customFormat="1" ht="58.4" customHeight="1">
      <c r="B191" s="194" t="s">
        <v>51</v>
      </c>
      <c r="C191" s="77">
        <v>1183</v>
      </c>
      <c r="D191" s="644" t="s">
        <v>517</v>
      </c>
      <c r="E191" s="645"/>
      <c r="F191" s="645"/>
      <c r="G191" s="646"/>
    </row>
    <row r="192" spans="2:7" ht="36">
      <c r="B192" s="215" t="s">
        <v>52</v>
      </c>
      <c r="C192" s="77">
        <v>32002</v>
      </c>
      <c r="D192" s="195" t="s">
        <v>428</v>
      </c>
      <c r="E192" s="195" t="s">
        <v>12</v>
      </c>
      <c r="F192" s="195" t="s">
        <v>13</v>
      </c>
      <c r="G192" s="195" t="s">
        <v>14</v>
      </c>
    </row>
    <row r="193" spans="2:7" ht="36">
      <c r="B193" s="215" t="s">
        <v>53</v>
      </c>
      <c r="C193" s="196" t="s">
        <v>448</v>
      </c>
      <c r="D193" s="735"/>
      <c r="E193" s="735"/>
      <c r="F193" s="735"/>
      <c r="G193" s="735"/>
    </row>
    <row r="194" spans="2:7" ht="72">
      <c r="B194" s="215" t="s">
        <v>54</v>
      </c>
      <c r="C194" s="196" t="s">
        <v>449</v>
      </c>
      <c r="D194" s="736"/>
      <c r="E194" s="736"/>
      <c r="F194" s="736"/>
      <c r="G194" s="736"/>
    </row>
    <row r="195" spans="2:7" ht="36">
      <c r="B195" s="215" t="s">
        <v>55</v>
      </c>
      <c r="C195" s="222" t="s">
        <v>215</v>
      </c>
      <c r="D195" s="736"/>
      <c r="E195" s="736"/>
      <c r="F195" s="736"/>
      <c r="G195" s="736"/>
    </row>
    <row r="196" spans="2:7" ht="54">
      <c r="B196" s="215" t="s">
        <v>231</v>
      </c>
      <c r="C196" s="222" t="s">
        <v>230</v>
      </c>
      <c r="D196" s="736"/>
      <c r="E196" s="736"/>
      <c r="F196" s="736"/>
      <c r="G196" s="736"/>
    </row>
    <row r="197" spans="2:7">
      <c r="B197" s="738" t="s">
        <v>56</v>
      </c>
      <c r="C197" s="738"/>
      <c r="D197" s="737"/>
      <c r="E197" s="737"/>
      <c r="F197" s="737"/>
      <c r="G197" s="737"/>
    </row>
    <row r="198" spans="2:7">
      <c r="B198" s="217" t="s">
        <v>57</v>
      </c>
      <c r="C198" s="217"/>
      <c r="D198" s="206">
        <f>+'Havelvats 1'!D147</f>
        <v>46783</v>
      </c>
      <c r="E198" s="206">
        <f>+'Havelvats 1'!E147</f>
        <v>281.0000000000291</v>
      </c>
      <c r="F198" s="206">
        <f>+'Havelvats 1'!F147</f>
        <v>302.10000000003492</v>
      </c>
      <c r="G198" s="206">
        <f>+'Havelvats 1'!G147</f>
        <v>-192441.69999999995</v>
      </c>
    </row>
    <row r="199" spans="2:7" ht="9.85" customHeight="1"/>
    <row r="200" spans="2:7">
      <c r="B200" s="756" t="s">
        <v>3</v>
      </c>
      <c r="C200" s="757"/>
      <c r="D200" s="221"/>
      <c r="E200" s="221"/>
      <c r="F200" s="221"/>
      <c r="G200" s="221"/>
    </row>
    <row r="201" spans="2:7" s="39" customFormat="1" ht="58.4" customHeight="1">
      <c r="B201" s="194" t="s">
        <v>51</v>
      </c>
      <c r="C201" s="77">
        <v>1183</v>
      </c>
      <c r="D201" s="644" t="s">
        <v>246</v>
      </c>
      <c r="E201" s="645"/>
      <c r="F201" s="645"/>
      <c r="G201" s="646"/>
    </row>
    <row r="202" spans="2:7" ht="36">
      <c r="B202" s="215" t="s">
        <v>52</v>
      </c>
      <c r="C202" s="77">
        <v>32003</v>
      </c>
      <c r="D202" s="195" t="s">
        <v>428</v>
      </c>
      <c r="E202" s="195" t="s">
        <v>12</v>
      </c>
      <c r="F202" s="195" t="s">
        <v>13</v>
      </c>
      <c r="G202" s="195" t="s">
        <v>14</v>
      </c>
    </row>
    <row r="203" spans="2:7" ht="36">
      <c r="B203" s="215" t="s">
        <v>53</v>
      </c>
      <c r="C203" s="196" t="s">
        <v>450</v>
      </c>
      <c r="D203" s="735"/>
      <c r="E203" s="735"/>
      <c r="F203" s="735"/>
      <c r="G203" s="735"/>
    </row>
    <row r="204" spans="2:7" ht="36">
      <c r="B204" s="215" t="s">
        <v>54</v>
      </c>
      <c r="C204" s="196" t="s">
        <v>451</v>
      </c>
      <c r="D204" s="736"/>
      <c r="E204" s="736"/>
      <c r="F204" s="736"/>
      <c r="G204" s="736"/>
    </row>
    <row r="205" spans="2:7" ht="36">
      <c r="B205" s="215" t="s">
        <v>55</v>
      </c>
      <c r="C205" s="222" t="s">
        <v>215</v>
      </c>
      <c r="D205" s="736"/>
      <c r="E205" s="736"/>
      <c r="F205" s="736"/>
      <c r="G205" s="736"/>
    </row>
    <row r="206" spans="2:7" ht="54">
      <c r="B206" s="215" t="s">
        <v>231</v>
      </c>
      <c r="C206" s="222" t="s">
        <v>452</v>
      </c>
      <c r="D206" s="736"/>
      <c r="E206" s="736"/>
      <c r="F206" s="736"/>
      <c r="G206" s="736"/>
    </row>
    <row r="207" spans="2:7">
      <c r="B207" s="738" t="s">
        <v>56</v>
      </c>
      <c r="C207" s="738"/>
      <c r="D207" s="737"/>
      <c r="E207" s="737"/>
      <c r="F207" s="737"/>
      <c r="G207" s="737"/>
    </row>
    <row r="208" spans="2:7" ht="16.8" customHeight="1">
      <c r="B208" s="742" t="s">
        <v>443</v>
      </c>
      <c r="C208" s="743"/>
      <c r="D208" s="537">
        <v>-15</v>
      </c>
      <c r="E208" s="537">
        <v>-11</v>
      </c>
      <c r="F208" s="537">
        <v>-11</v>
      </c>
      <c r="G208" s="537">
        <v>-11</v>
      </c>
    </row>
    <row r="209" spans="2:7" ht="16.8" customHeight="1">
      <c r="B209" s="742" t="s">
        <v>522</v>
      </c>
      <c r="C209" s="743"/>
      <c r="D209" s="536">
        <v>15</v>
      </c>
      <c r="E209" s="536">
        <v>11</v>
      </c>
      <c r="F209" s="536">
        <v>11</v>
      </c>
      <c r="G209" s="536">
        <v>11</v>
      </c>
    </row>
    <row r="210" spans="2:7" ht="33.15" customHeight="1">
      <c r="B210" s="742" t="s">
        <v>420</v>
      </c>
      <c r="C210" s="743"/>
      <c r="D210" s="536"/>
      <c r="E210" s="536"/>
      <c r="F210" s="536"/>
      <c r="G210" s="536">
        <v>3</v>
      </c>
    </row>
    <row r="211" spans="2:7">
      <c r="B211" s="217" t="s">
        <v>57</v>
      </c>
      <c r="C211" s="217"/>
      <c r="D211" s="206">
        <f>+'Havelvats 1'!D153</f>
        <v>-36111.300000000047</v>
      </c>
      <c r="E211" s="206">
        <f>+'Havelvats 1'!E153</f>
        <v>0</v>
      </c>
      <c r="F211" s="206">
        <f>+'Havelvats 1'!F153</f>
        <v>882692.4</v>
      </c>
      <c r="G211" s="206">
        <f>+'Havelvats 1'!G153</f>
        <v>2257855.6000000006</v>
      </c>
    </row>
    <row r="212" spans="2:7" ht="9.85" customHeight="1"/>
    <row r="213" spans="2:7">
      <c r="B213" s="756" t="s">
        <v>3</v>
      </c>
      <c r="C213" s="757"/>
      <c r="D213" s="221"/>
      <c r="E213" s="221"/>
      <c r="F213" s="221"/>
      <c r="G213" s="221"/>
    </row>
    <row r="214" spans="2:7" s="39" customFormat="1" ht="58.4" customHeight="1">
      <c r="B214" s="194" t="s">
        <v>51</v>
      </c>
      <c r="C214" s="77">
        <v>1183</v>
      </c>
      <c r="D214" s="644" t="s">
        <v>434</v>
      </c>
      <c r="E214" s="645"/>
      <c r="F214" s="645"/>
      <c r="G214" s="646"/>
    </row>
    <row r="215" spans="2:7" ht="36">
      <c r="B215" s="215" t="s">
        <v>52</v>
      </c>
      <c r="C215" s="77">
        <v>32007</v>
      </c>
      <c r="D215" s="195" t="s">
        <v>428</v>
      </c>
      <c r="E215" s="195" t="s">
        <v>12</v>
      </c>
      <c r="F215" s="195" t="s">
        <v>13</v>
      </c>
      <c r="G215" s="195" t="s">
        <v>14</v>
      </c>
    </row>
    <row r="216" spans="2:7" ht="36">
      <c r="B216" s="215" t="s">
        <v>53</v>
      </c>
      <c r="C216" s="196" t="s">
        <v>453</v>
      </c>
      <c r="D216" s="735"/>
      <c r="E216" s="735"/>
      <c r="F216" s="735"/>
      <c r="G216" s="735"/>
    </row>
    <row r="217" spans="2:7" ht="54">
      <c r="B217" s="215" t="s">
        <v>54</v>
      </c>
      <c r="C217" s="196" t="s">
        <v>454</v>
      </c>
      <c r="D217" s="736"/>
      <c r="E217" s="736"/>
      <c r="F217" s="736"/>
      <c r="G217" s="736"/>
    </row>
    <row r="218" spans="2:7" ht="36">
      <c r="B218" s="215" t="s">
        <v>55</v>
      </c>
      <c r="C218" s="222" t="s">
        <v>215</v>
      </c>
      <c r="D218" s="736"/>
      <c r="E218" s="736"/>
      <c r="F218" s="736"/>
      <c r="G218" s="736"/>
    </row>
    <row r="219" spans="2:7" ht="54">
      <c r="B219" s="215" t="s">
        <v>231</v>
      </c>
      <c r="C219" s="222" t="s">
        <v>230</v>
      </c>
      <c r="D219" s="736"/>
      <c r="E219" s="736"/>
      <c r="F219" s="736"/>
      <c r="G219" s="736"/>
    </row>
    <row r="220" spans="2:7">
      <c r="B220" s="738" t="s">
        <v>56</v>
      </c>
      <c r="C220" s="738"/>
      <c r="D220" s="737"/>
      <c r="E220" s="737"/>
      <c r="F220" s="737"/>
      <c r="G220" s="737"/>
    </row>
    <row r="221" spans="2:7" ht="33.15" customHeight="1">
      <c r="B221" s="742" t="s">
        <v>420</v>
      </c>
      <c r="C221" s="743"/>
      <c r="D221" s="498"/>
      <c r="E221" s="498"/>
      <c r="F221" s="498"/>
      <c r="G221" s="537">
        <v>-17</v>
      </c>
    </row>
    <row r="222" spans="2:7">
      <c r="B222" s="217" t="s">
        <v>57</v>
      </c>
      <c r="C222" s="217"/>
      <c r="D222" s="206">
        <f>+'Havelvats 1'!D159</f>
        <v>0</v>
      </c>
      <c r="E222" s="206">
        <f>+'Havelvats 1'!E159</f>
        <v>0</v>
      </c>
      <c r="F222" s="206">
        <f>+'Havelvats 1'!F159</f>
        <v>-750652.10000000009</v>
      </c>
      <c r="G222" s="206">
        <f>+'Havelvats 1'!G159</f>
        <v>-853876.50000000012</v>
      </c>
    </row>
    <row r="223" spans="2:7" ht="9.85" customHeight="1"/>
    <row r="224" spans="2:7">
      <c r="B224" s="756" t="s">
        <v>3</v>
      </c>
      <c r="C224" s="757"/>
      <c r="D224" s="221"/>
      <c r="E224" s="221"/>
      <c r="F224" s="221"/>
      <c r="G224" s="221"/>
    </row>
    <row r="225" spans="2:7" s="39" customFormat="1" ht="58.4" customHeight="1">
      <c r="B225" s="194" t="s">
        <v>51</v>
      </c>
      <c r="C225" s="77">
        <v>1183</v>
      </c>
      <c r="D225" s="644" t="s">
        <v>434</v>
      </c>
      <c r="E225" s="645"/>
      <c r="F225" s="645"/>
      <c r="G225" s="646"/>
    </row>
    <row r="226" spans="2:7" ht="36">
      <c r="B226" s="215" t="s">
        <v>52</v>
      </c>
      <c r="C226" s="77">
        <v>32009</v>
      </c>
      <c r="D226" s="195" t="s">
        <v>428</v>
      </c>
      <c r="E226" s="195" t="s">
        <v>12</v>
      </c>
      <c r="F226" s="195" t="s">
        <v>13</v>
      </c>
      <c r="G226" s="195" t="s">
        <v>14</v>
      </c>
    </row>
    <row r="227" spans="2:7" ht="36">
      <c r="B227" s="215" t="s">
        <v>53</v>
      </c>
      <c r="C227" s="196" t="s">
        <v>455</v>
      </c>
      <c r="D227" s="735"/>
      <c r="E227" s="735"/>
      <c r="F227" s="735"/>
      <c r="G227" s="735"/>
    </row>
    <row r="228" spans="2:7" ht="54">
      <c r="B228" s="215" t="s">
        <v>54</v>
      </c>
      <c r="C228" s="196" t="s">
        <v>456</v>
      </c>
      <c r="D228" s="736"/>
      <c r="E228" s="736"/>
      <c r="F228" s="736"/>
      <c r="G228" s="736"/>
    </row>
    <row r="229" spans="2:7" ht="36">
      <c r="B229" s="215" t="s">
        <v>55</v>
      </c>
      <c r="C229" s="222" t="s">
        <v>215</v>
      </c>
      <c r="D229" s="736"/>
      <c r="E229" s="736"/>
      <c r="F229" s="736"/>
      <c r="G229" s="736"/>
    </row>
    <row r="230" spans="2:7" ht="54">
      <c r="B230" s="215" t="s">
        <v>231</v>
      </c>
      <c r="C230" s="222" t="s">
        <v>230</v>
      </c>
      <c r="D230" s="736"/>
      <c r="E230" s="736"/>
      <c r="F230" s="736"/>
      <c r="G230" s="736"/>
    </row>
    <row r="231" spans="2:7">
      <c r="B231" s="738" t="s">
        <v>56</v>
      </c>
      <c r="C231" s="738"/>
      <c r="D231" s="737"/>
      <c r="E231" s="737"/>
      <c r="F231" s="737"/>
      <c r="G231" s="737"/>
    </row>
    <row r="232" spans="2:7" ht="33.15" customHeight="1">
      <c r="B232" s="742" t="s">
        <v>420</v>
      </c>
      <c r="C232" s="743"/>
      <c r="D232" s="498"/>
      <c r="E232" s="498"/>
      <c r="F232" s="498"/>
      <c r="G232" s="537">
        <v>-4</v>
      </c>
    </row>
    <row r="233" spans="2:7">
      <c r="B233" s="217" t="s">
        <v>57</v>
      </c>
      <c r="C233" s="217"/>
      <c r="D233" s="206">
        <f>+'Havelvats 1'!D165</f>
        <v>0</v>
      </c>
      <c r="E233" s="206">
        <f>+'Havelvats 1'!E165</f>
        <v>0</v>
      </c>
      <c r="F233" s="206">
        <f>+'Havelvats 1'!F165</f>
        <v>-132040.29999999999</v>
      </c>
      <c r="G233" s="206">
        <f>+'Havelvats 1'!G165</f>
        <v>-108596.30000000006</v>
      </c>
    </row>
    <row r="234" spans="2:7" ht="9.85" customHeight="1"/>
    <row r="235" spans="2:7">
      <c r="B235" s="756" t="s">
        <v>3</v>
      </c>
      <c r="C235" s="757"/>
      <c r="D235" s="221"/>
      <c r="E235" s="221"/>
      <c r="F235" s="221"/>
      <c r="G235" s="221"/>
    </row>
    <row r="236" spans="2:7" s="39" customFormat="1" ht="58.4" customHeight="1">
      <c r="B236" s="194" t="s">
        <v>51</v>
      </c>
      <c r="C236" s="77">
        <v>1183</v>
      </c>
      <c r="D236" s="644" t="s">
        <v>246</v>
      </c>
      <c r="E236" s="645"/>
      <c r="F236" s="645"/>
      <c r="G236" s="646"/>
    </row>
    <row r="237" spans="2:7" ht="36">
      <c r="B237" s="215" t="s">
        <v>52</v>
      </c>
      <c r="C237" s="77">
        <v>32012</v>
      </c>
      <c r="D237" s="195" t="s">
        <v>428</v>
      </c>
      <c r="E237" s="195" t="s">
        <v>12</v>
      </c>
      <c r="F237" s="195" t="s">
        <v>13</v>
      </c>
      <c r="G237" s="195" t="s">
        <v>14</v>
      </c>
    </row>
    <row r="238" spans="2:7" ht="36">
      <c r="B238" s="215" t="s">
        <v>53</v>
      </c>
      <c r="C238" s="196" t="s">
        <v>457</v>
      </c>
      <c r="D238" s="735"/>
      <c r="E238" s="735"/>
      <c r="F238" s="735"/>
      <c r="G238" s="735"/>
    </row>
    <row r="239" spans="2:7" ht="36">
      <c r="B239" s="215" t="s">
        <v>54</v>
      </c>
      <c r="C239" s="196" t="s">
        <v>458</v>
      </c>
      <c r="D239" s="736"/>
      <c r="E239" s="736"/>
      <c r="F239" s="736"/>
      <c r="G239" s="736"/>
    </row>
    <row r="240" spans="2:7" ht="36">
      <c r="B240" s="215" t="s">
        <v>55</v>
      </c>
      <c r="C240" s="222" t="s">
        <v>215</v>
      </c>
      <c r="D240" s="736"/>
      <c r="E240" s="736"/>
      <c r="F240" s="736"/>
      <c r="G240" s="736"/>
    </row>
    <row r="241" spans="1:7" ht="54">
      <c r="B241" s="215" t="s">
        <v>231</v>
      </c>
      <c r="C241" s="222" t="s">
        <v>230</v>
      </c>
      <c r="D241" s="736"/>
      <c r="E241" s="736"/>
      <c r="F241" s="736"/>
      <c r="G241" s="736"/>
    </row>
    <row r="242" spans="1:7">
      <c r="B242" s="738" t="s">
        <v>56</v>
      </c>
      <c r="C242" s="738"/>
      <c r="D242" s="737"/>
      <c r="E242" s="737"/>
      <c r="F242" s="737"/>
      <c r="G242" s="737"/>
    </row>
    <row r="243" spans="1:7" ht="16.8" customHeight="1">
      <c r="B243" s="742" t="s">
        <v>459</v>
      </c>
      <c r="C243" s="743"/>
      <c r="D243" s="386"/>
      <c r="E243" s="386"/>
      <c r="F243" s="216">
        <v>-1</v>
      </c>
      <c r="G243" s="216">
        <v>-1</v>
      </c>
    </row>
    <row r="244" spans="1:7" ht="16.8" customHeight="1">
      <c r="B244" s="742" t="s">
        <v>518</v>
      </c>
      <c r="C244" s="743"/>
      <c r="D244" s="498"/>
      <c r="E244" s="498"/>
      <c r="F244" s="535"/>
      <c r="G244" s="535">
        <v>3</v>
      </c>
    </row>
    <row r="245" spans="1:7">
      <c r="B245" s="217" t="s">
        <v>57</v>
      </c>
      <c r="C245" s="217"/>
      <c r="D245" s="206">
        <f>+'Havelvats 1'!D171</f>
        <v>0</v>
      </c>
      <c r="E245" s="206">
        <f>+'Havelvats 1'!E171</f>
        <v>0</v>
      </c>
      <c r="F245" s="206">
        <f>+'Havelvats 1'!F171</f>
        <v>-121155.5</v>
      </c>
      <c r="G245" s="206">
        <f>+'Havelvats 1'!G171</f>
        <v>-421155.5</v>
      </c>
    </row>
    <row r="249" spans="1:7">
      <c r="A249" s="747" t="s">
        <v>120</v>
      </c>
      <c r="B249" s="747"/>
      <c r="C249" s="747"/>
      <c r="D249" s="747"/>
      <c r="E249" s="747"/>
      <c r="F249" s="747"/>
      <c r="G249" s="747"/>
    </row>
    <row r="250" spans="1:7">
      <c r="B250" s="16"/>
      <c r="C250" s="225" t="s">
        <v>63</v>
      </c>
      <c r="D250" s="16"/>
      <c r="E250" s="16"/>
      <c r="F250" s="16"/>
      <c r="G250" s="184"/>
    </row>
    <row r="251" spans="1:7">
      <c r="B251" s="226" t="s">
        <v>11</v>
      </c>
      <c r="C251" s="227"/>
      <c r="D251" s="227"/>
      <c r="E251" s="227"/>
      <c r="F251" s="227"/>
      <c r="G251" s="228"/>
    </row>
    <row r="252" spans="1:7">
      <c r="B252" s="144"/>
      <c r="C252" s="144"/>
      <c r="D252" s="229"/>
      <c r="E252" s="229"/>
      <c r="F252" s="229"/>
      <c r="G252" s="229"/>
    </row>
    <row r="253" spans="1:7">
      <c r="B253" s="144"/>
      <c r="C253" s="144"/>
      <c r="D253" s="209"/>
      <c r="E253" s="209"/>
      <c r="F253" s="209"/>
      <c r="G253" s="209"/>
    </row>
    <row r="254" spans="1:7">
      <c r="B254" s="200" t="s">
        <v>1</v>
      </c>
      <c r="C254" s="200" t="s">
        <v>2</v>
      </c>
      <c r="D254" s="209"/>
      <c r="E254" s="209"/>
      <c r="F254" s="209"/>
      <c r="G254" s="209"/>
    </row>
    <row r="255" spans="1:7">
      <c r="B255" s="201">
        <v>1139</v>
      </c>
      <c r="C255" s="210" t="s">
        <v>117</v>
      </c>
      <c r="D255" s="211"/>
      <c r="E255" s="211"/>
      <c r="F255" s="211"/>
      <c r="G255" s="211"/>
    </row>
    <row r="256" spans="1:7" ht="33.85">
      <c r="B256" s="230" t="s">
        <v>3</v>
      </c>
      <c r="C256" s="144"/>
      <c r="D256" s="209"/>
      <c r="E256" s="209"/>
      <c r="F256" s="209"/>
      <c r="G256" s="209"/>
    </row>
    <row r="257" spans="2:7" s="39" customFormat="1" ht="58.4" customHeight="1">
      <c r="B257" s="194" t="s">
        <v>4</v>
      </c>
      <c r="C257" s="77">
        <v>1139</v>
      </c>
      <c r="D257" s="644" t="s">
        <v>167</v>
      </c>
      <c r="E257" s="645"/>
      <c r="F257" s="645"/>
      <c r="G257" s="646"/>
    </row>
    <row r="258" spans="2:7" ht="36">
      <c r="B258" s="231" t="s">
        <v>5</v>
      </c>
      <c r="C258" s="232">
        <v>11001</v>
      </c>
      <c r="D258" s="195" t="s">
        <v>428</v>
      </c>
      <c r="E258" s="195" t="s">
        <v>12</v>
      </c>
      <c r="F258" s="195" t="s">
        <v>13</v>
      </c>
      <c r="G258" s="195" t="s">
        <v>14</v>
      </c>
    </row>
    <row r="259" spans="2:7" ht="36">
      <c r="B259" s="231" t="s">
        <v>6</v>
      </c>
      <c r="C259" s="196" t="s">
        <v>117</v>
      </c>
      <c r="D259" s="633"/>
      <c r="E259" s="633"/>
      <c r="F259" s="633"/>
      <c r="G259" s="633"/>
    </row>
    <row r="260" spans="2:7" ht="72">
      <c r="B260" s="231" t="s">
        <v>10</v>
      </c>
      <c r="C260" s="196" t="s">
        <v>118</v>
      </c>
      <c r="D260" s="634"/>
      <c r="E260" s="634"/>
      <c r="F260" s="634"/>
      <c r="G260" s="634"/>
    </row>
    <row r="261" spans="2:7">
      <c r="B261" s="231" t="s">
        <v>7</v>
      </c>
      <c r="C261" s="196" t="s">
        <v>84</v>
      </c>
      <c r="D261" s="634"/>
      <c r="E261" s="634"/>
      <c r="F261" s="634"/>
      <c r="G261" s="634"/>
    </row>
    <row r="262" spans="2:7" ht="54">
      <c r="B262" s="114" t="s">
        <v>50</v>
      </c>
      <c r="C262" s="196" t="s">
        <v>63</v>
      </c>
      <c r="D262" s="634"/>
      <c r="E262" s="634"/>
      <c r="F262" s="634"/>
      <c r="G262" s="634"/>
    </row>
    <row r="263" spans="2:7">
      <c r="B263" s="233"/>
      <c r="C263" s="234" t="s">
        <v>0</v>
      </c>
      <c r="D263" s="635"/>
      <c r="E263" s="635"/>
      <c r="F263" s="635"/>
      <c r="G263" s="635"/>
    </row>
    <row r="264" spans="2:7">
      <c r="B264" s="746" t="s">
        <v>8</v>
      </c>
      <c r="C264" s="746"/>
      <c r="D264" s="138">
        <f>+'Havelvats 1'!D185</f>
        <v>81178.2</v>
      </c>
      <c r="E264" s="138">
        <f>+'Havelvats 1'!E185</f>
        <v>213948.3</v>
      </c>
      <c r="F264" s="138">
        <f>+'Havelvats 1'!F185</f>
        <v>511599.8</v>
      </c>
      <c r="G264" s="138">
        <f>+'Havelvats 1'!G185</f>
        <v>709475.70000000007</v>
      </c>
    </row>
    <row r="265" spans="2:7">
      <c r="B265" s="748"/>
      <c r="C265" s="749"/>
      <c r="D265" s="750"/>
      <c r="E265" s="749"/>
      <c r="F265" s="749"/>
      <c r="G265" s="751"/>
    </row>
    <row r="266" spans="2:7" s="39" customFormat="1" ht="58.4" customHeight="1">
      <c r="B266" s="194" t="s">
        <v>4</v>
      </c>
      <c r="C266" s="77">
        <v>1139</v>
      </c>
      <c r="D266" s="644" t="s">
        <v>434</v>
      </c>
      <c r="E266" s="645"/>
      <c r="F266" s="645"/>
      <c r="G266" s="646"/>
    </row>
    <row r="267" spans="2:7" ht="36">
      <c r="B267" s="231" t="s">
        <v>5</v>
      </c>
      <c r="C267" s="232">
        <v>11001</v>
      </c>
      <c r="D267" s="195" t="s">
        <v>428</v>
      </c>
      <c r="E267" s="195" t="s">
        <v>12</v>
      </c>
      <c r="F267" s="195" t="s">
        <v>13</v>
      </c>
      <c r="G267" s="195" t="s">
        <v>14</v>
      </c>
    </row>
    <row r="268" spans="2:7" ht="36">
      <c r="B268" s="231" t="s">
        <v>6</v>
      </c>
      <c r="C268" s="196" t="s">
        <v>117</v>
      </c>
      <c r="D268" s="633"/>
      <c r="E268" s="633"/>
      <c r="F268" s="633"/>
      <c r="G268" s="633"/>
    </row>
    <row r="269" spans="2:7" ht="72">
      <c r="B269" s="231" t="s">
        <v>10</v>
      </c>
      <c r="C269" s="196" t="s">
        <v>118</v>
      </c>
      <c r="D269" s="634"/>
      <c r="E269" s="634"/>
      <c r="F269" s="634"/>
      <c r="G269" s="634"/>
    </row>
    <row r="270" spans="2:7">
      <c r="B270" s="231" t="s">
        <v>7</v>
      </c>
      <c r="C270" s="196" t="s">
        <v>84</v>
      </c>
      <c r="D270" s="634"/>
      <c r="E270" s="634"/>
      <c r="F270" s="634"/>
      <c r="G270" s="634"/>
    </row>
    <row r="271" spans="2:7" ht="54">
      <c r="B271" s="114" t="s">
        <v>50</v>
      </c>
      <c r="C271" s="196" t="s">
        <v>63</v>
      </c>
      <c r="D271" s="634"/>
      <c r="E271" s="634"/>
      <c r="F271" s="634"/>
      <c r="G271" s="634"/>
    </row>
    <row r="272" spans="2:7">
      <c r="B272" s="233"/>
      <c r="C272" s="234" t="s">
        <v>0</v>
      </c>
      <c r="D272" s="635"/>
      <c r="E272" s="635"/>
      <c r="F272" s="635"/>
      <c r="G272" s="635"/>
    </row>
    <row r="273" spans="2:7">
      <c r="B273" s="746" t="s">
        <v>8</v>
      </c>
      <c r="C273" s="746"/>
      <c r="D273" s="99">
        <f>+'Havelvats 1'!D191</f>
        <v>-12054.3</v>
      </c>
      <c r="E273" s="99">
        <f>+'Havelvats 1'!E191</f>
        <v>-213948.3</v>
      </c>
      <c r="F273" s="99">
        <f>+'Havelvats 1'!F191</f>
        <v>-511599.8</v>
      </c>
      <c r="G273" s="99">
        <f>+'Havelvats 1'!G191</f>
        <v>-709475.70000000007</v>
      </c>
    </row>
  </sheetData>
  <mergeCells count="180">
    <mergeCell ref="D141:D145"/>
    <mergeCell ref="D119:D123"/>
    <mergeCell ref="D129:D133"/>
    <mergeCell ref="B153:C153"/>
    <mergeCell ref="D191:G191"/>
    <mergeCell ref="C177:G177"/>
    <mergeCell ref="B180:C180"/>
    <mergeCell ref="D266:G266"/>
    <mergeCell ref="D236:G236"/>
    <mergeCell ref="D238:D242"/>
    <mergeCell ref="E238:E242"/>
    <mergeCell ref="F238:F242"/>
    <mergeCell ref="G238:G242"/>
    <mergeCell ref="B242:C242"/>
    <mergeCell ref="B243:C243"/>
    <mergeCell ref="D257:G257"/>
    <mergeCell ref="G259:G263"/>
    <mergeCell ref="D259:D263"/>
    <mergeCell ref="E183:E187"/>
    <mergeCell ref="F183:F187"/>
    <mergeCell ref="G183:G187"/>
    <mergeCell ref="D203:D207"/>
    <mergeCell ref="E203:E207"/>
    <mergeCell ref="F203:F207"/>
    <mergeCell ref="B35:C35"/>
    <mergeCell ref="B49:C49"/>
    <mergeCell ref="B51:C51"/>
    <mergeCell ref="D42:G42"/>
    <mergeCell ref="D70:G70"/>
    <mergeCell ref="D103:G103"/>
    <mergeCell ref="D117:G117"/>
    <mergeCell ref="D127:G127"/>
    <mergeCell ref="D139:G139"/>
    <mergeCell ref="D44:D48"/>
    <mergeCell ref="D72:D76"/>
    <mergeCell ref="D105:D109"/>
    <mergeCell ref="E44:E48"/>
    <mergeCell ref="B63:C63"/>
    <mergeCell ref="G85:G89"/>
    <mergeCell ref="B89:C89"/>
    <mergeCell ref="B92:C92"/>
    <mergeCell ref="D93:G93"/>
    <mergeCell ref="D95:D99"/>
    <mergeCell ref="E95:E99"/>
    <mergeCell ref="F95:F99"/>
    <mergeCell ref="G95:G99"/>
    <mergeCell ref="B48:C48"/>
    <mergeCell ref="B99:C99"/>
    <mergeCell ref="D16:G16"/>
    <mergeCell ref="B24:C24"/>
    <mergeCell ref="B27:C27"/>
    <mergeCell ref="D28:G28"/>
    <mergeCell ref="D30:D34"/>
    <mergeCell ref="E30:E34"/>
    <mergeCell ref="F30:F34"/>
    <mergeCell ref="G30:G34"/>
    <mergeCell ref="B34:C34"/>
    <mergeCell ref="D18:D22"/>
    <mergeCell ref="B9:G9"/>
    <mergeCell ref="B134:C134"/>
    <mergeCell ref="B135:C135"/>
    <mergeCell ref="B161:C161"/>
    <mergeCell ref="C150:G150"/>
    <mergeCell ref="E129:E133"/>
    <mergeCell ref="F129:F133"/>
    <mergeCell ref="G129:G133"/>
    <mergeCell ref="B133:C133"/>
    <mergeCell ref="B146:C146"/>
    <mergeCell ref="B147:C147"/>
    <mergeCell ref="G156:G160"/>
    <mergeCell ref="E156:E160"/>
    <mergeCell ref="F156:F160"/>
    <mergeCell ref="D156:D160"/>
    <mergeCell ref="G72:G76"/>
    <mergeCell ref="B76:C76"/>
    <mergeCell ref="B50:C50"/>
    <mergeCell ref="B126:C126"/>
    <mergeCell ref="G44:G48"/>
    <mergeCell ref="F44:F48"/>
    <mergeCell ref="G105:G109"/>
    <mergeCell ref="F105:F109"/>
    <mergeCell ref="B138:C138"/>
    <mergeCell ref="G203:G207"/>
    <mergeCell ref="E193:E197"/>
    <mergeCell ref="F193:F197"/>
    <mergeCell ref="C113:G113"/>
    <mergeCell ref="B116:C116"/>
    <mergeCell ref="B109:C109"/>
    <mergeCell ref="B102:C102"/>
    <mergeCell ref="C79:G79"/>
    <mergeCell ref="D183:D187"/>
    <mergeCell ref="D193:D197"/>
    <mergeCell ref="D154:G154"/>
    <mergeCell ref="D167:G167"/>
    <mergeCell ref="D169:D173"/>
    <mergeCell ref="E169:E173"/>
    <mergeCell ref="F119:F123"/>
    <mergeCell ref="E119:E123"/>
    <mergeCell ref="B123:C123"/>
    <mergeCell ref="E105:E109"/>
    <mergeCell ref="B110:C110"/>
    <mergeCell ref="B82:C82"/>
    <mergeCell ref="D83:G83"/>
    <mergeCell ref="D85:D89"/>
    <mergeCell ref="E85:E89"/>
    <mergeCell ref="F85:F89"/>
    <mergeCell ref="E72:E76"/>
    <mergeCell ref="F72:F76"/>
    <mergeCell ref="E1:G1"/>
    <mergeCell ref="A7:G7"/>
    <mergeCell ref="B5:G5"/>
    <mergeCell ref="B200:C200"/>
    <mergeCell ref="B207:C207"/>
    <mergeCell ref="B213:C213"/>
    <mergeCell ref="G193:G197"/>
    <mergeCell ref="B23:C23"/>
    <mergeCell ref="B15:C15"/>
    <mergeCell ref="E18:E22"/>
    <mergeCell ref="F18:F22"/>
    <mergeCell ref="G18:G22"/>
    <mergeCell ref="B22:C22"/>
    <mergeCell ref="B145:C145"/>
    <mergeCell ref="B41:C41"/>
    <mergeCell ref="B69:C69"/>
    <mergeCell ref="B54:C54"/>
    <mergeCell ref="D55:G55"/>
    <mergeCell ref="D57:D61"/>
    <mergeCell ref="E57:E61"/>
    <mergeCell ref="F57:F61"/>
    <mergeCell ref="G57:G61"/>
    <mergeCell ref="B61:C61"/>
    <mergeCell ref="B62:C62"/>
    <mergeCell ref="B244:C244"/>
    <mergeCell ref="B209:C209"/>
    <mergeCell ref="B210:C210"/>
    <mergeCell ref="B208:C208"/>
    <mergeCell ref="B221:C221"/>
    <mergeCell ref="B232:C232"/>
    <mergeCell ref="B235:C235"/>
    <mergeCell ref="B224:C224"/>
    <mergeCell ref="B160:C160"/>
    <mergeCell ref="B166:C166"/>
    <mergeCell ref="B173:C173"/>
    <mergeCell ref="B174:C174"/>
    <mergeCell ref="B187:C187"/>
    <mergeCell ref="B197:C197"/>
    <mergeCell ref="B190:C190"/>
    <mergeCell ref="B273:C273"/>
    <mergeCell ref="B264:C264"/>
    <mergeCell ref="A249:G249"/>
    <mergeCell ref="E268:E272"/>
    <mergeCell ref="F268:F272"/>
    <mergeCell ref="G268:G272"/>
    <mergeCell ref="B265:G265"/>
    <mergeCell ref="E259:E263"/>
    <mergeCell ref="F259:F263"/>
    <mergeCell ref="D225:G225"/>
    <mergeCell ref="D227:D231"/>
    <mergeCell ref="E227:E231"/>
    <mergeCell ref="F227:F231"/>
    <mergeCell ref="G227:G231"/>
    <mergeCell ref="B231:C231"/>
    <mergeCell ref="D268:D272"/>
    <mergeCell ref="G119:G123"/>
    <mergeCell ref="E141:E145"/>
    <mergeCell ref="F141:F145"/>
    <mergeCell ref="B220:C220"/>
    <mergeCell ref="D214:G214"/>
    <mergeCell ref="D216:D220"/>
    <mergeCell ref="E216:E220"/>
    <mergeCell ref="F216:F220"/>
    <mergeCell ref="F169:F173"/>
    <mergeCell ref="G169:G173"/>
    <mergeCell ref="D181:G181"/>
    <mergeCell ref="G216:G220"/>
    <mergeCell ref="D201:G201"/>
    <mergeCell ref="G141:G145"/>
    <mergeCell ref="B162:C162"/>
    <mergeCell ref="B163:C163"/>
    <mergeCell ref="B124:C1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01"/>
  <sheetViews>
    <sheetView topLeftCell="A201" zoomScale="70" zoomScaleNormal="70" zoomScaleSheetLayoutView="100" workbookViewId="0">
      <selection activeCell="B214" sqref="B214:C214"/>
    </sheetView>
  </sheetViews>
  <sheetFormatPr defaultColWidth="9.09765625" defaultRowHeight="18"/>
  <cols>
    <col min="1" max="1" width="5.296875" style="159" customWidth="1"/>
    <col min="2" max="2" width="24.59765625" style="159" customWidth="1"/>
    <col min="3" max="3" width="67.8984375" style="159" customWidth="1"/>
    <col min="4" max="7" width="13.296875" style="159" customWidth="1"/>
    <col min="8" max="8" width="10" style="159" customWidth="1"/>
    <col min="9" max="9" width="49.8984375" style="159" customWidth="1"/>
    <col min="10" max="16384" width="9.09765625" style="159"/>
  </cols>
  <sheetData>
    <row r="1" spans="1:7" ht="37.5" customHeight="1">
      <c r="E1" s="763" t="s">
        <v>143</v>
      </c>
      <c r="F1" s="763"/>
      <c r="G1" s="763"/>
    </row>
    <row r="2" spans="1:7" ht="17.350000000000001" customHeight="1">
      <c r="D2" s="236"/>
      <c r="E2" s="236" t="s">
        <v>533</v>
      </c>
      <c r="F2" s="236"/>
      <c r="G2" s="236"/>
    </row>
    <row r="3" spans="1:7" ht="17.350000000000001" customHeight="1">
      <c r="D3" s="236" t="s">
        <v>9</v>
      </c>
      <c r="E3" s="236" t="s">
        <v>9</v>
      </c>
      <c r="F3" s="236"/>
      <c r="G3" s="236"/>
    </row>
    <row r="5" spans="1:7" ht="59.35" customHeight="1">
      <c r="A5" s="1"/>
      <c r="B5" s="765" t="s">
        <v>530</v>
      </c>
      <c r="C5" s="765"/>
      <c r="D5" s="765"/>
      <c r="E5" s="765"/>
      <c r="F5" s="765"/>
      <c r="G5" s="765"/>
    </row>
    <row r="6" spans="1:7" ht="23.35" customHeight="1"/>
    <row r="7" spans="1:7" ht="21.85" customHeight="1">
      <c r="A7" s="764" t="s">
        <v>159</v>
      </c>
      <c r="B7" s="764"/>
      <c r="C7" s="764"/>
      <c r="D7" s="764"/>
      <c r="E7" s="764"/>
      <c r="F7" s="764"/>
      <c r="G7" s="764"/>
    </row>
    <row r="8" spans="1:7" ht="38.75" customHeight="1">
      <c r="B8" s="16"/>
      <c r="C8" s="183" t="s">
        <v>232</v>
      </c>
      <c r="D8" s="16"/>
      <c r="E8" s="16"/>
      <c r="F8" s="16"/>
      <c r="G8" s="184"/>
    </row>
    <row r="9" spans="1:7">
      <c r="B9" s="778" t="s">
        <v>460</v>
      </c>
      <c r="C9" s="779"/>
      <c r="D9" s="780"/>
      <c r="E9" s="779"/>
      <c r="F9" s="779"/>
      <c r="G9" s="781"/>
    </row>
    <row r="10" spans="1:7" s="185" customFormat="1">
      <c r="B10" s="186"/>
      <c r="C10" s="186"/>
      <c r="D10" s="187"/>
      <c r="E10" s="187"/>
      <c r="F10" s="187"/>
      <c r="G10" s="187"/>
    </row>
    <row r="11" spans="1:7" s="185" customFormat="1">
      <c r="B11" s="186"/>
      <c r="C11" s="186"/>
    </row>
    <row r="12" spans="1:7" s="39" customFormat="1">
      <c r="B12" s="188" t="s">
        <v>1</v>
      </c>
      <c r="C12" s="188" t="s">
        <v>2</v>
      </c>
      <c r="D12" s="448"/>
      <c r="E12" s="448"/>
      <c r="F12" s="448"/>
      <c r="G12" s="448"/>
    </row>
    <row r="13" spans="1:7" s="39" customFormat="1" ht="36">
      <c r="B13" s="410">
        <v>1045</v>
      </c>
      <c r="C13" s="449" t="s">
        <v>150</v>
      </c>
      <c r="D13" s="450"/>
      <c r="E13" s="450"/>
      <c r="F13" s="450"/>
      <c r="G13" s="450"/>
    </row>
    <row r="14" spans="1:7" s="447" customFormat="1"/>
    <row r="15" spans="1:7" s="39" customFormat="1">
      <c r="B15" s="758" t="s">
        <v>3</v>
      </c>
      <c r="C15" s="759"/>
      <c r="D15" s="193"/>
      <c r="E15" s="193"/>
      <c r="F15" s="193"/>
      <c r="G15" s="193"/>
    </row>
    <row r="16" spans="1:7" s="39" customFormat="1" ht="58.4" customHeight="1">
      <c r="B16" s="194" t="s">
        <v>4</v>
      </c>
      <c r="C16" s="77">
        <v>1045</v>
      </c>
      <c r="D16" s="644" t="s">
        <v>167</v>
      </c>
      <c r="E16" s="645"/>
      <c r="F16" s="645"/>
      <c r="G16" s="646"/>
    </row>
    <row r="17" spans="2:8" s="39" customFormat="1" ht="36">
      <c r="B17" s="194" t="s">
        <v>5</v>
      </c>
      <c r="C17" s="77">
        <v>32004</v>
      </c>
      <c r="D17" s="195" t="s">
        <v>395</v>
      </c>
      <c r="E17" s="195" t="s">
        <v>12</v>
      </c>
      <c r="F17" s="195" t="s">
        <v>13</v>
      </c>
      <c r="G17" s="195" t="s">
        <v>14</v>
      </c>
    </row>
    <row r="18" spans="2:8" s="39" customFormat="1" ht="54">
      <c r="B18" s="194" t="s">
        <v>6</v>
      </c>
      <c r="C18" s="196" t="s">
        <v>404</v>
      </c>
      <c r="D18" s="684"/>
      <c r="E18" s="684"/>
      <c r="F18" s="684"/>
      <c r="G18" s="684"/>
    </row>
    <row r="19" spans="2:8" s="39" customFormat="1" ht="36">
      <c r="B19" s="194" t="s">
        <v>10</v>
      </c>
      <c r="C19" s="196" t="s">
        <v>405</v>
      </c>
      <c r="D19" s="685"/>
      <c r="E19" s="685"/>
      <c r="F19" s="685"/>
      <c r="G19" s="685"/>
    </row>
    <row r="20" spans="2:8" s="39" customFormat="1" ht="36">
      <c r="B20" s="194" t="s">
        <v>7</v>
      </c>
      <c r="C20" s="196" t="s">
        <v>218</v>
      </c>
      <c r="D20" s="685"/>
      <c r="E20" s="685"/>
      <c r="F20" s="685"/>
      <c r="G20" s="685"/>
    </row>
    <row r="21" spans="2:8" s="39" customFormat="1" ht="54">
      <c r="B21" s="49" t="s">
        <v>216</v>
      </c>
      <c r="C21" s="196" t="s">
        <v>421</v>
      </c>
      <c r="D21" s="685"/>
      <c r="E21" s="685"/>
      <c r="F21" s="685"/>
      <c r="G21" s="685"/>
    </row>
    <row r="22" spans="2:8" s="39" customFormat="1">
      <c r="B22" s="752" t="s">
        <v>0</v>
      </c>
      <c r="C22" s="753"/>
      <c r="D22" s="686"/>
      <c r="E22" s="686"/>
      <c r="F22" s="686"/>
      <c r="G22" s="686"/>
    </row>
    <row r="23" spans="2:8" s="39" customFormat="1">
      <c r="B23" s="766" t="s">
        <v>422</v>
      </c>
      <c r="C23" s="767"/>
      <c r="D23" s="199"/>
      <c r="E23" s="199"/>
      <c r="F23" s="199">
        <v>1</v>
      </c>
      <c r="G23" s="199">
        <v>1</v>
      </c>
    </row>
    <row r="24" spans="2:8" s="39" customFormat="1">
      <c r="B24" s="197" t="s">
        <v>8</v>
      </c>
      <c r="C24" s="197"/>
      <c r="D24" s="198">
        <f>+'Havelvats 2 '!G137</f>
        <v>0</v>
      </c>
      <c r="E24" s="198">
        <f>+'Havelvats 2 '!H137</f>
        <v>0</v>
      </c>
      <c r="F24" s="198">
        <f>+'Havelvats 2 '!I137</f>
        <v>121155.5</v>
      </c>
      <c r="G24" s="198">
        <f>+'Havelvats 2 '!J137</f>
        <v>121155.5</v>
      </c>
      <c r="H24" s="158"/>
    </row>
    <row r="26" spans="2:8" s="39" customFormat="1">
      <c r="B26" s="200" t="s">
        <v>1</v>
      </c>
      <c r="C26" s="200" t="s">
        <v>2</v>
      </c>
      <c r="D26" s="144"/>
      <c r="E26" s="144"/>
      <c r="F26" s="144"/>
      <c r="G26" s="144"/>
    </row>
    <row r="27" spans="2:8" s="39" customFormat="1">
      <c r="B27" s="201">
        <v>1075</v>
      </c>
      <c r="C27" s="202" t="s">
        <v>217</v>
      </c>
      <c r="D27" s="193"/>
      <c r="E27" s="193"/>
      <c r="F27" s="193"/>
      <c r="G27" s="193"/>
    </row>
    <row r="28" spans="2:8" s="39" customFormat="1"/>
    <row r="29" spans="2:8" s="39" customFormat="1">
      <c r="B29" s="758" t="s">
        <v>3</v>
      </c>
      <c r="C29" s="759"/>
      <c r="D29" s="193"/>
      <c r="E29" s="193"/>
      <c r="F29" s="193"/>
      <c r="G29" s="193"/>
    </row>
    <row r="30" spans="2:8" s="39" customFormat="1" ht="58.4" customHeight="1">
      <c r="B30" s="194" t="s">
        <v>4</v>
      </c>
      <c r="C30" s="77">
        <v>1075</v>
      </c>
      <c r="D30" s="644" t="s">
        <v>252</v>
      </c>
      <c r="E30" s="645"/>
      <c r="F30" s="645"/>
      <c r="G30" s="646"/>
    </row>
    <row r="31" spans="2:8" s="39" customFormat="1" ht="36">
      <c r="B31" s="194" t="s">
        <v>5</v>
      </c>
      <c r="C31" s="77">
        <v>21001</v>
      </c>
      <c r="D31" s="195" t="s">
        <v>428</v>
      </c>
      <c r="E31" s="195" t="s">
        <v>12</v>
      </c>
      <c r="F31" s="195" t="s">
        <v>13</v>
      </c>
      <c r="G31" s="195" t="s">
        <v>14</v>
      </c>
    </row>
    <row r="32" spans="2:8" s="39" customFormat="1" ht="36">
      <c r="B32" s="203" t="s">
        <v>6</v>
      </c>
      <c r="C32" s="196" t="s">
        <v>423</v>
      </c>
      <c r="D32" s="684"/>
      <c r="E32" s="684"/>
      <c r="F32" s="684"/>
      <c r="G32" s="684"/>
    </row>
    <row r="33" spans="2:8" s="39" customFormat="1" ht="72">
      <c r="B33" s="194" t="s">
        <v>10</v>
      </c>
      <c r="C33" s="196" t="s">
        <v>424</v>
      </c>
      <c r="D33" s="685"/>
      <c r="E33" s="685"/>
      <c r="F33" s="685"/>
      <c r="G33" s="685"/>
    </row>
    <row r="34" spans="2:8" s="39" customFormat="1" ht="36">
      <c r="B34" s="204" t="s">
        <v>7</v>
      </c>
      <c r="C34" s="196" t="s">
        <v>425</v>
      </c>
      <c r="D34" s="685"/>
      <c r="E34" s="685"/>
      <c r="F34" s="685"/>
      <c r="G34" s="685"/>
    </row>
    <row r="35" spans="2:8" s="39" customFormat="1" ht="54">
      <c r="B35" s="49" t="s">
        <v>426</v>
      </c>
      <c r="C35" s="196" t="s">
        <v>157</v>
      </c>
      <c r="D35" s="685"/>
      <c r="E35" s="685"/>
      <c r="F35" s="685"/>
      <c r="G35" s="685"/>
    </row>
    <row r="36" spans="2:8" s="39" customFormat="1">
      <c r="B36" s="752" t="s">
        <v>0</v>
      </c>
      <c r="C36" s="753"/>
      <c r="D36" s="686"/>
      <c r="E36" s="686"/>
      <c r="F36" s="686"/>
      <c r="G36" s="686"/>
    </row>
    <row r="37" spans="2:8" s="39" customFormat="1" ht="34.5" customHeight="1">
      <c r="B37" s="766" t="s">
        <v>429</v>
      </c>
      <c r="C37" s="767"/>
      <c r="D37" s="385"/>
      <c r="E37" s="199">
        <v>3</v>
      </c>
      <c r="F37" s="199">
        <v>4</v>
      </c>
      <c r="G37" s="199">
        <v>4</v>
      </c>
    </row>
    <row r="38" spans="2:8" s="39" customFormat="1">
      <c r="B38" s="766" t="s">
        <v>427</v>
      </c>
      <c r="C38" s="767"/>
      <c r="D38" s="199"/>
      <c r="E38" s="199">
        <v>4</v>
      </c>
      <c r="F38" s="199">
        <v>4</v>
      </c>
      <c r="G38" s="216">
        <v>-2</v>
      </c>
    </row>
    <row r="39" spans="2:8" s="39" customFormat="1" ht="34.950000000000003" customHeight="1">
      <c r="B39" s="766" t="s">
        <v>430</v>
      </c>
      <c r="C39" s="767"/>
      <c r="D39" s="199"/>
      <c r="E39" s="199">
        <v>30</v>
      </c>
      <c r="F39" s="199">
        <v>70</v>
      </c>
      <c r="G39" s="199">
        <v>100</v>
      </c>
    </row>
    <row r="40" spans="2:8" s="208" customFormat="1">
      <c r="B40" s="205" t="s">
        <v>8</v>
      </c>
      <c r="C40" s="205"/>
      <c r="D40" s="206">
        <f>+'Havelvats 2 '!G73</f>
        <v>0</v>
      </c>
      <c r="E40" s="206">
        <f>+'Havelvats 1'!E40</f>
        <v>0</v>
      </c>
      <c r="F40" s="206">
        <f>+'Havelvats 1'!F40</f>
        <v>0</v>
      </c>
      <c r="G40" s="206">
        <f>+'Havelvats 1'!G40</f>
        <v>0</v>
      </c>
      <c r="H40" s="207"/>
    </row>
    <row r="41" spans="2:8" ht="9.85" customHeight="1"/>
    <row r="42" spans="2:8" s="39" customFormat="1">
      <c r="B42" s="758" t="s">
        <v>3</v>
      </c>
      <c r="C42" s="759"/>
      <c r="D42" s="193"/>
      <c r="E42" s="193"/>
      <c r="F42" s="193"/>
      <c r="G42" s="193"/>
    </row>
    <row r="43" spans="2:8" s="39" customFormat="1" ht="58.4" customHeight="1">
      <c r="B43" s="194" t="s">
        <v>4</v>
      </c>
      <c r="C43" s="77">
        <v>1075</v>
      </c>
      <c r="D43" s="644" t="s">
        <v>167</v>
      </c>
      <c r="E43" s="645"/>
      <c r="F43" s="645"/>
      <c r="G43" s="646"/>
    </row>
    <row r="44" spans="2:8" s="39" customFormat="1" ht="36">
      <c r="B44" s="194" t="s">
        <v>5</v>
      </c>
      <c r="C44" s="77">
        <v>32001</v>
      </c>
      <c r="D44" s="195" t="s">
        <v>428</v>
      </c>
      <c r="E44" s="195" t="s">
        <v>12</v>
      </c>
      <c r="F44" s="195" t="s">
        <v>13</v>
      </c>
      <c r="G44" s="195" t="s">
        <v>14</v>
      </c>
    </row>
    <row r="45" spans="2:8" s="39" customFormat="1" ht="36">
      <c r="B45" s="203" t="s">
        <v>6</v>
      </c>
      <c r="C45" s="196" t="s">
        <v>484</v>
      </c>
      <c r="D45" s="684"/>
      <c r="E45" s="684"/>
      <c r="F45" s="684"/>
      <c r="G45" s="684"/>
    </row>
    <row r="46" spans="2:8" s="39" customFormat="1" ht="72">
      <c r="B46" s="194" t="s">
        <v>10</v>
      </c>
      <c r="C46" s="196" t="s">
        <v>506</v>
      </c>
      <c r="D46" s="685"/>
      <c r="E46" s="685"/>
      <c r="F46" s="685"/>
      <c r="G46" s="685"/>
    </row>
    <row r="47" spans="2:8" s="39" customFormat="1" ht="36">
      <c r="B47" s="204" t="s">
        <v>7</v>
      </c>
      <c r="C47" s="196" t="s">
        <v>218</v>
      </c>
      <c r="D47" s="685"/>
      <c r="E47" s="685"/>
      <c r="F47" s="685"/>
      <c r="G47" s="685"/>
    </row>
    <row r="48" spans="2:8" s="39" customFormat="1" ht="54">
      <c r="B48" s="49" t="s">
        <v>216</v>
      </c>
      <c r="C48" s="196" t="s">
        <v>507</v>
      </c>
      <c r="D48" s="685"/>
      <c r="E48" s="685"/>
      <c r="F48" s="685"/>
      <c r="G48" s="685"/>
    </row>
    <row r="49" spans="2:8" s="39" customFormat="1">
      <c r="B49" s="752" t="s">
        <v>0</v>
      </c>
      <c r="C49" s="753"/>
      <c r="D49" s="686"/>
      <c r="E49" s="686"/>
      <c r="F49" s="686"/>
      <c r="G49" s="686"/>
    </row>
    <row r="50" spans="2:8" s="39" customFormat="1">
      <c r="B50" s="754" t="s">
        <v>508</v>
      </c>
      <c r="C50" s="755"/>
      <c r="D50" s="199">
        <v>1</v>
      </c>
      <c r="E50" s="199">
        <v>1</v>
      </c>
      <c r="F50" s="199">
        <v>1</v>
      </c>
      <c r="G50" s="199">
        <v>1</v>
      </c>
    </row>
    <row r="51" spans="2:8" s="39" customFormat="1" ht="34.5" customHeight="1">
      <c r="B51" s="766" t="s">
        <v>420</v>
      </c>
      <c r="C51" s="767"/>
      <c r="D51" s="199"/>
      <c r="E51" s="199"/>
      <c r="F51" s="199"/>
      <c r="G51" s="216">
        <v>1</v>
      </c>
    </row>
    <row r="52" spans="2:8" s="208" customFormat="1">
      <c r="B52" s="205" t="s">
        <v>8</v>
      </c>
      <c r="C52" s="205"/>
      <c r="D52" s="206">
        <f>+'Havelvats 2 '!G25</f>
        <v>12054.3</v>
      </c>
      <c r="E52" s="206">
        <f>+'Havelvats 2 '!H25</f>
        <v>36163</v>
      </c>
      <c r="F52" s="206">
        <f>+'Havelvats 2 '!I25</f>
        <v>60271.7</v>
      </c>
      <c r="G52" s="206">
        <f>+'Havelvats 2 '!J25</f>
        <v>80362.3</v>
      </c>
      <c r="H52" s="207"/>
    </row>
    <row r="54" spans="2:8" ht="50.75">
      <c r="B54" s="220" t="s">
        <v>119</v>
      </c>
      <c r="C54" s="769" t="s">
        <v>2</v>
      </c>
      <c r="D54" s="770"/>
      <c r="E54" s="771"/>
      <c r="F54" s="771"/>
      <c r="G54" s="772"/>
    </row>
    <row r="55" spans="2:8">
      <c r="B55" s="201">
        <v>1146</v>
      </c>
      <c r="C55" s="210" t="s">
        <v>435</v>
      </c>
      <c r="D55" s="210"/>
      <c r="E55" s="210"/>
      <c r="F55" s="210"/>
      <c r="G55" s="210"/>
    </row>
    <row r="57" spans="2:8">
      <c r="B57" s="756" t="s">
        <v>3</v>
      </c>
      <c r="C57" s="757"/>
      <c r="D57" s="221"/>
      <c r="E57" s="221"/>
      <c r="F57" s="221"/>
      <c r="G57" s="221"/>
    </row>
    <row r="58" spans="2:8" s="39" customFormat="1" ht="58.4" customHeight="1">
      <c r="B58" s="194" t="s">
        <v>51</v>
      </c>
      <c r="C58" s="77">
        <v>1146</v>
      </c>
      <c r="D58" s="644" t="s">
        <v>434</v>
      </c>
      <c r="E58" s="645"/>
      <c r="F58" s="645"/>
      <c r="G58" s="646"/>
    </row>
    <row r="59" spans="2:8" ht="36">
      <c r="B59" s="215" t="s">
        <v>52</v>
      </c>
      <c r="C59" s="77">
        <v>11001</v>
      </c>
      <c r="D59" s="195" t="s">
        <v>428</v>
      </c>
      <c r="E59" s="195" t="s">
        <v>12</v>
      </c>
      <c r="F59" s="195" t="s">
        <v>13</v>
      </c>
      <c r="G59" s="195" t="s">
        <v>14</v>
      </c>
    </row>
    <row r="60" spans="2:8" ht="36">
      <c r="B60" s="215" t="s">
        <v>53</v>
      </c>
      <c r="C60" s="196" t="s">
        <v>509</v>
      </c>
      <c r="D60" s="735"/>
      <c r="E60" s="735"/>
      <c r="F60" s="735"/>
      <c r="G60" s="735"/>
    </row>
    <row r="61" spans="2:8" ht="54">
      <c r="B61" s="215" t="s">
        <v>54</v>
      </c>
      <c r="C61" s="196" t="s">
        <v>510</v>
      </c>
      <c r="D61" s="736"/>
      <c r="E61" s="736"/>
      <c r="F61" s="736"/>
      <c r="G61" s="736"/>
    </row>
    <row r="62" spans="2:8" ht="36">
      <c r="B62" s="215" t="s">
        <v>55</v>
      </c>
      <c r="C62" s="222" t="s">
        <v>220</v>
      </c>
      <c r="D62" s="736"/>
      <c r="E62" s="736"/>
      <c r="F62" s="736"/>
      <c r="G62" s="736"/>
    </row>
    <row r="63" spans="2:8" ht="72">
      <c r="B63" s="215" t="s">
        <v>512</v>
      </c>
      <c r="C63" s="222" t="s">
        <v>520</v>
      </c>
      <c r="D63" s="736"/>
      <c r="E63" s="736"/>
      <c r="F63" s="736"/>
      <c r="G63" s="736"/>
    </row>
    <row r="64" spans="2:8">
      <c r="B64" s="738" t="s">
        <v>56</v>
      </c>
      <c r="C64" s="738"/>
      <c r="D64" s="737"/>
      <c r="E64" s="737"/>
      <c r="F64" s="737"/>
      <c r="G64" s="737"/>
    </row>
    <row r="65" spans="2:7">
      <c r="B65" s="217" t="s">
        <v>57</v>
      </c>
      <c r="C65" s="217"/>
      <c r="D65" s="206">
        <f>+'Havelvats 2 '!G94</f>
        <v>-50000</v>
      </c>
      <c r="E65" s="206">
        <f>+'Havelvats 2 '!H94</f>
        <v>-161948.29999999999</v>
      </c>
      <c r="F65" s="206">
        <f>+'Havelvats 2 '!I94</f>
        <v>-293486</v>
      </c>
      <c r="G65" s="206">
        <f>+'Havelvats 2 '!J94</f>
        <v>-223848.3</v>
      </c>
    </row>
    <row r="66" spans="2:7" ht="9.85" customHeight="1"/>
    <row r="67" spans="2:7">
      <c r="B67" s="756" t="s">
        <v>3</v>
      </c>
      <c r="C67" s="757"/>
      <c r="D67" s="221"/>
      <c r="E67" s="221"/>
      <c r="F67" s="221"/>
      <c r="G67" s="221"/>
    </row>
    <row r="68" spans="2:7" s="39" customFormat="1" ht="58.4" customHeight="1">
      <c r="B68" s="194" t="s">
        <v>51</v>
      </c>
      <c r="C68" s="77">
        <v>1146</v>
      </c>
      <c r="D68" s="644" t="s">
        <v>434</v>
      </c>
      <c r="E68" s="645"/>
      <c r="F68" s="645"/>
      <c r="G68" s="646"/>
    </row>
    <row r="69" spans="2:7" ht="36">
      <c r="B69" s="215" t="s">
        <v>52</v>
      </c>
      <c r="C69" s="77">
        <v>11002</v>
      </c>
      <c r="D69" s="195" t="s">
        <v>428</v>
      </c>
      <c r="E69" s="195" t="s">
        <v>12</v>
      </c>
      <c r="F69" s="195" t="s">
        <v>13</v>
      </c>
      <c r="G69" s="195" t="s">
        <v>14</v>
      </c>
    </row>
    <row r="70" spans="2:7" ht="36">
      <c r="B70" s="215" t="s">
        <v>53</v>
      </c>
      <c r="C70" s="196" t="s">
        <v>513</v>
      </c>
      <c r="D70" s="735"/>
      <c r="E70" s="735"/>
      <c r="F70" s="735"/>
      <c r="G70" s="735"/>
    </row>
    <row r="71" spans="2:7" ht="54">
      <c r="B71" s="215" t="s">
        <v>54</v>
      </c>
      <c r="C71" s="196" t="s">
        <v>514</v>
      </c>
      <c r="D71" s="736"/>
      <c r="E71" s="736"/>
      <c r="F71" s="736"/>
      <c r="G71" s="736"/>
    </row>
    <row r="72" spans="2:7" ht="36">
      <c r="B72" s="215" t="s">
        <v>55</v>
      </c>
      <c r="C72" s="222" t="s">
        <v>220</v>
      </c>
      <c r="D72" s="736"/>
      <c r="E72" s="736"/>
      <c r="F72" s="736"/>
      <c r="G72" s="736"/>
    </row>
    <row r="73" spans="2:7" ht="72">
      <c r="B73" s="215" t="s">
        <v>512</v>
      </c>
      <c r="C73" s="222" t="s">
        <v>521</v>
      </c>
      <c r="D73" s="736"/>
      <c r="E73" s="736"/>
      <c r="F73" s="736"/>
      <c r="G73" s="736"/>
    </row>
    <row r="74" spans="2:7">
      <c r="B74" s="738" t="s">
        <v>56</v>
      </c>
      <c r="C74" s="738"/>
      <c r="D74" s="737"/>
      <c r="E74" s="737"/>
      <c r="F74" s="737"/>
      <c r="G74" s="737"/>
    </row>
    <row r="75" spans="2:7">
      <c r="B75" s="217" t="s">
        <v>57</v>
      </c>
      <c r="C75" s="217"/>
      <c r="D75" s="206">
        <f>+'Havelvats 2 '!G111</f>
        <v>-31178.2</v>
      </c>
      <c r="E75" s="206">
        <f>+'Havelvats 2 '!H111</f>
        <v>-52000</v>
      </c>
      <c r="F75" s="206">
        <f>+'Havelvats 2 '!I111</f>
        <v>-90444.3</v>
      </c>
      <c r="G75" s="206">
        <f>+'Havelvats 2 '!J111</f>
        <v>0</v>
      </c>
    </row>
    <row r="77" spans="2:7">
      <c r="B77" s="223" t="s">
        <v>1</v>
      </c>
      <c r="C77" s="769" t="s">
        <v>2</v>
      </c>
      <c r="D77" s="770"/>
      <c r="E77" s="771"/>
      <c r="F77" s="771"/>
      <c r="G77" s="772"/>
    </row>
    <row r="78" spans="2:7">
      <c r="B78" s="201">
        <v>1163</v>
      </c>
      <c r="C78" s="210" t="s">
        <v>68</v>
      </c>
      <c r="D78" s="211"/>
      <c r="E78" s="211"/>
      <c r="F78" s="211"/>
      <c r="G78" s="211"/>
    </row>
    <row r="80" spans="2:7" s="39" customFormat="1">
      <c r="B80" s="758" t="s">
        <v>3</v>
      </c>
      <c r="C80" s="759"/>
      <c r="D80" s="193"/>
      <c r="E80" s="193"/>
      <c r="F80" s="193"/>
      <c r="G80" s="193"/>
    </row>
    <row r="81" spans="2:8" s="39" customFormat="1" ht="58.4" customHeight="1">
      <c r="B81" s="194" t="s">
        <v>4</v>
      </c>
      <c r="C81" s="77">
        <v>1163</v>
      </c>
      <c r="D81" s="644" t="s">
        <v>434</v>
      </c>
      <c r="E81" s="645"/>
      <c r="F81" s="645"/>
      <c r="G81" s="646"/>
    </row>
    <row r="82" spans="2:8" s="39" customFormat="1" ht="36">
      <c r="B82" s="194" t="s">
        <v>5</v>
      </c>
      <c r="C82" s="77">
        <v>32001</v>
      </c>
      <c r="D82" s="195" t="s">
        <v>428</v>
      </c>
      <c r="E82" s="195" t="s">
        <v>12</v>
      </c>
      <c r="F82" s="195" t="s">
        <v>13</v>
      </c>
      <c r="G82" s="195" t="s">
        <v>14</v>
      </c>
    </row>
    <row r="83" spans="2:8" s="39" customFormat="1" ht="36">
      <c r="B83" s="203" t="s">
        <v>6</v>
      </c>
      <c r="C83" s="196" t="s">
        <v>109</v>
      </c>
      <c r="D83" s="684"/>
      <c r="E83" s="684"/>
      <c r="F83" s="684"/>
      <c r="G83" s="684"/>
    </row>
    <row r="84" spans="2:8" s="39" customFormat="1" ht="72">
      <c r="B84" s="194" t="s">
        <v>10</v>
      </c>
      <c r="C84" s="196" t="s">
        <v>221</v>
      </c>
      <c r="D84" s="685"/>
      <c r="E84" s="685"/>
      <c r="F84" s="685"/>
      <c r="G84" s="685"/>
    </row>
    <row r="85" spans="2:8" s="39" customFormat="1" ht="36">
      <c r="B85" s="204" t="s">
        <v>7</v>
      </c>
      <c r="C85" s="196" t="s">
        <v>218</v>
      </c>
      <c r="D85" s="685"/>
      <c r="E85" s="685"/>
      <c r="F85" s="685"/>
      <c r="G85" s="685"/>
    </row>
    <row r="86" spans="2:8" s="39" customFormat="1" ht="54">
      <c r="B86" s="49" t="s">
        <v>219</v>
      </c>
      <c r="C86" s="196" t="s">
        <v>225</v>
      </c>
      <c r="D86" s="685"/>
      <c r="E86" s="685"/>
      <c r="F86" s="685"/>
      <c r="G86" s="685"/>
    </row>
    <row r="87" spans="2:8" s="39" customFormat="1">
      <c r="B87" s="752" t="s">
        <v>0</v>
      </c>
      <c r="C87" s="753"/>
      <c r="D87" s="686"/>
      <c r="E87" s="686"/>
      <c r="F87" s="686"/>
      <c r="G87" s="686"/>
    </row>
    <row r="88" spans="2:8" s="39" customFormat="1">
      <c r="B88" s="742" t="s">
        <v>83</v>
      </c>
      <c r="C88" s="743"/>
      <c r="D88" s="199"/>
      <c r="E88" s="199"/>
      <c r="F88" s="199"/>
      <c r="G88" s="216">
        <v>-1</v>
      </c>
    </row>
    <row r="89" spans="2:8" s="208" customFormat="1">
      <c r="B89" s="205" t="s">
        <v>8</v>
      </c>
      <c r="C89" s="205"/>
      <c r="D89" s="206">
        <f>+'Havelvats 2 '!G181</f>
        <v>0</v>
      </c>
      <c r="E89" s="206">
        <f>+'Havelvats 2 '!H181</f>
        <v>0</v>
      </c>
      <c r="F89" s="206">
        <f>+'Havelvats 2 '!I181</f>
        <v>0</v>
      </c>
      <c r="G89" s="206">
        <f>+'Havelvats 2 '!J181</f>
        <v>-507957.9</v>
      </c>
      <c r="H89" s="207"/>
    </row>
    <row r="91" spans="2:8">
      <c r="B91" s="223" t="s">
        <v>1</v>
      </c>
      <c r="C91" s="769" t="s">
        <v>2</v>
      </c>
      <c r="D91" s="770"/>
      <c r="E91" s="771"/>
      <c r="F91" s="771"/>
      <c r="G91" s="772"/>
    </row>
    <row r="92" spans="2:8">
      <c r="B92" s="201">
        <v>1168</v>
      </c>
      <c r="C92" s="210" t="s">
        <v>222</v>
      </c>
      <c r="D92" s="211"/>
      <c r="E92" s="211"/>
      <c r="F92" s="211"/>
      <c r="G92" s="211"/>
    </row>
    <row r="94" spans="2:8" s="39" customFormat="1">
      <c r="B94" s="758" t="s">
        <v>3</v>
      </c>
      <c r="C94" s="759"/>
      <c r="D94" s="193"/>
      <c r="E94" s="193"/>
      <c r="F94" s="193"/>
      <c r="G94" s="193"/>
    </row>
    <row r="95" spans="2:8" s="39" customFormat="1" ht="58.4" customHeight="1">
      <c r="B95" s="194" t="s">
        <v>4</v>
      </c>
      <c r="C95" s="77">
        <v>1168</v>
      </c>
      <c r="D95" s="644" t="s">
        <v>246</v>
      </c>
      <c r="E95" s="645"/>
      <c r="F95" s="645"/>
      <c r="G95" s="646"/>
    </row>
    <row r="96" spans="2:8" s="39" customFormat="1" ht="36">
      <c r="B96" s="194" t="s">
        <v>5</v>
      </c>
      <c r="C96" s="77">
        <v>32001</v>
      </c>
      <c r="D96" s="195" t="s">
        <v>428</v>
      </c>
      <c r="E96" s="195" t="s">
        <v>12</v>
      </c>
      <c r="F96" s="195" t="s">
        <v>13</v>
      </c>
      <c r="G96" s="195" t="s">
        <v>14</v>
      </c>
    </row>
    <row r="97" spans="2:8" s="39" customFormat="1" ht="36">
      <c r="B97" s="203" t="s">
        <v>6</v>
      </c>
      <c r="C97" s="196" t="s">
        <v>185</v>
      </c>
      <c r="D97" s="684"/>
      <c r="E97" s="684"/>
      <c r="F97" s="684"/>
      <c r="G97" s="684"/>
    </row>
    <row r="98" spans="2:8" s="39" customFormat="1" ht="72">
      <c r="B98" s="194" t="s">
        <v>10</v>
      </c>
      <c r="C98" s="196" t="s">
        <v>223</v>
      </c>
      <c r="D98" s="685"/>
      <c r="E98" s="685"/>
      <c r="F98" s="685"/>
      <c r="G98" s="685"/>
    </row>
    <row r="99" spans="2:8" s="39" customFormat="1" ht="36">
      <c r="B99" s="204" t="s">
        <v>7</v>
      </c>
      <c r="C99" s="196" t="s">
        <v>218</v>
      </c>
      <c r="D99" s="685"/>
      <c r="E99" s="685"/>
      <c r="F99" s="685"/>
      <c r="G99" s="685"/>
    </row>
    <row r="100" spans="2:8" s="39" customFormat="1" ht="54">
      <c r="B100" s="49" t="s">
        <v>219</v>
      </c>
      <c r="C100" s="196" t="s">
        <v>224</v>
      </c>
      <c r="D100" s="685"/>
      <c r="E100" s="685"/>
      <c r="F100" s="685"/>
      <c r="G100" s="685"/>
    </row>
    <row r="101" spans="2:8" s="39" customFormat="1">
      <c r="B101" s="752" t="s">
        <v>0</v>
      </c>
      <c r="C101" s="753"/>
      <c r="D101" s="686"/>
      <c r="E101" s="686"/>
      <c r="F101" s="686"/>
      <c r="G101" s="686"/>
    </row>
    <row r="102" spans="2:8" s="39" customFormat="1" ht="16.8" customHeight="1">
      <c r="B102" s="742" t="s">
        <v>443</v>
      </c>
      <c r="C102" s="743"/>
      <c r="D102" s="199"/>
      <c r="E102" s="199"/>
      <c r="F102" s="199"/>
      <c r="G102" s="216">
        <v>-1</v>
      </c>
    </row>
    <row r="103" spans="2:8" s="39" customFormat="1" ht="16.8" customHeight="1">
      <c r="B103" s="742" t="s">
        <v>516</v>
      </c>
      <c r="C103" s="743"/>
      <c r="D103" s="199"/>
      <c r="E103" s="199">
        <v>1</v>
      </c>
      <c r="F103" s="199">
        <v>1</v>
      </c>
      <c r="G103" s="535">
        <v>1</v>
      </c>
    </row>
    <row r="104" spans="2:8" s="39" customFormat="1" ht="16.8" customHeight="1">
      <c r="B104" s="742" t="s">
        <v>420</v>
      </c>
      <c r="C104" s="743"/>
      <c r="D104" s="199"/>
      <c r="E104" s="199"/>
      <c r="F104" s="199">
        <v>1</v>
      </c>
      <c r="G104" s="535">
        <v>1</v>
      </c>
    </row>
    <row r="105" spans="2:8" s="208" customFormat="1">
      <c r="B105" s="205" t="s">
        <v>8</v>
      </c>
      <c r="C105" s="205"/>
      <c r="D105" s="206">
        <f>+'Havelvats 2 '!G40</f>
        <v>0</v>
      </c>
      <c r="E105" s="206">
        <f>+'Havelvats 2 '!H40</f>
        <v>6766.1</v>
      </c>
      <c r="F105" s="206">
        <f>+'Havelvats 2 '!I40</f>
        <v>10792</v>
      </c>
      <c r="G105" s="206">
        <f>+'Havelvats 2 '!J40</f>
        <v>7354.6999999999971</v>
      </c>
      <c r="H105" s="207"/>
    </row>
    <row r="106" spans="2:8" ht="9.85" customHeight="1"/>
    <row r="107" spans="2:8" s="39" customFormat="1">
      <c r="B107" s="758" t="s">
        <v>3</v>
      </c>
      <c r="C107" s="759"/>
      <c r="D107" s="193"/>
      <c r="E107" s="193"/>
      <c r="F107" s="193"/>
      <c r="G107" s="193"/>
    </row>
    <row r="108" spans="2:8" s="39" customFormat="1" ht="58.4" customHeight="1">
      <c r="B108" s="194" t="s">
        <v>4</v>
      </c>
      <c r="C108" s="77">
        <v>1168</v>
      </c>
      <c r="D108" s="644" t="s">
        <v>434</v>
      </c>
      <c r="E108" s="645"/>
      <c r="F108" s="645"/>
      <c r="G108" s="646"/>
    </row>
    <row r="109" spans="2:8" s="39" customFormat="1" ht="36">
      <c r="B109" s="194" t="s">
        <v>5</v>
      </c>
      <c r="C109" s="77">
        <v>32007</v>
      </c>
      <c r="D109" s="195" t="s">
        <v>428</v>
      </c>
      <c r="E109" s="195" t="s">
        <v>12</v>
      </c>
      <c r="F109" s="195" t="s">
        <v>13</v>
      </c>
      <c r="G109" s="195" t="s">
        <v>14</v>
      </c>
    </row>
    <row r="110" spans="2:8" s="39" customFormat="1" ht="36">
      <c r="B110" s="203" t="s">
        <v>6</v>
      </c>
      <c r="C110" s="196" t="s">
        <v>444</v>
      </c>
      <c r="D110" s="684"/>
      <c r="E110" s="684"/>
      <c r="F110" s="684"/>
      <c r="G110" s="684"/>
    </row>
    <row r="111" spans="2:8" s="39" customFormat="1" ht="36">
      <c r="B111" s="194" t="s">
        <v>10</v>
      </c>
      <c r="C111" s="196" t="s">
        <v>445</v>
      </c>
      <c r="D111" s="685"/>
      <c r="E111" s="685"/>
      <c r="F111" s="685"/>
      <c r="G111" s="685"/>
    </row>
    <row r="112" spans="2:8" s="39" customFormat="1" ht="36">
      <c r="B112" s="204" t="s">
        <v>7</v>
      </c>
      <c r="C112" s="196" t="s">
        <v>215</v>
      </c>
      <c r="D112" s="685"/>
      <c r="E112" s="685"/>
      <c r="F112" s="685"/>
      <c r="G112" s="685"/>
    </row>
    <row r="113" spans="2:8" s="39" customFormat="1" ht="54">
      <c r="B113" s="49" t="s">
        <v>219</v>
      </c>
      <c r="C113" s="196" t="s">
        <v>446</v>
      </c>
      <c r="D113" s="685"/>
      <c r="E113" s="685"/>
      <c r="F113" s="685"/>
      <c r="G113" s="685"/>
    </row>
    <row r="114" spans="2:8" s="39" customFormat="1">
      <c r="B114" s="752" t="s">
        <v>0</v>
      </c>
      <c r="C114" s="753"/>
      <c r="D114" s="686"/>
      <c r="E114" s="686"/>
      <c r="F114" s="686"/>
      <c r="G114" s="686"/>
    </row>
    <row r="115" spans="2:8" s="39" customFormat="1" ht="16.8" customHeight="1">
      <c r="B115" s="742" t="s">
        <v>447</v>
      </c>
      <c r="C115" s="743"/>
      <c r="D115" s="199"/>
      <c r="E115" s="216">
        <v>-1</v>
      </c>
      <c r="F115" s="216">
        <v>-1</v>
      </c>
      <c r="G115" s="216">
        <v>-1</v>
      </c>
    </row>
    <row r="116" spans="2:8" s="208" customFormat="1">
      <c r="B116" s="205" t="s">
        <v>8</v>
      </c>
      <c r="C116" s="205"/>
      <c r="D116" s="206">
        <f>+'Havelvats 2 '!G58</f>
        <v>0</v>
      </c>
      <c r="E116" s="206">
        <f>+'Havelvats 2 '!H58</f>
        <v>-6766.1</v>
      </c>
      <c r="F116" s="206">
        <f>+'Havelvats 2 '!I58</f>
        <v>-17306</v>
      </c>
      <c r="G116" s="206">
        <f>+'Havelvats 2 '!J58</f>
        <v>-17306</v>
      </c>
      <c r="H116" s="207"/>
    </row>
    <row r="118" spans="2:8" s="39" customFormat="1" ht="50.75">
      <c r="B118" s="436" t="s">
        <v>119</v>
      </c>
      <c r="C118" s="783" t="s">
        <v>2</v>
      </c>
      <c r="D118" s="784"/>
      <c r="E118" s="785"/>
      <c r="F118" s="785"/>
      <c r="G118" s="786"/>
    </row>
    <row r="119" spans="2:8" s="39" customFormat="1">
      <c r="B119" s="201">
        <v>1183</v>
      </c>
      <c r="C119" s="202" t="s">
        <v>226</v>
      </c>
      <c r="D119" s="202"/>
      <c r="E119" s="202"/>
      <c r="F119" s="202"/>
      <c r="G119" s="202"/>
    </row>
    <row r="120" spans="2:8" s="39" customFormat="1"/>
    <row r="121" spans="2:8">
      <c r="B121" s="756" t="s">
        <v>3</v>
      </c>
      <c r="C121" s="757"/>
      <c r="D121" s="221"/>
      <c r="E121" s="221"/>
      <c r="F121" s="221"/>
      <c r="G121" s="221"/>
    </row>
    <row r="122" spans="2:8" s="39" customFormat="1" ht="58.4" customHeight="1">
      <c r="B122" s="194" t="s">
        <v>51</v>
      </c>
      <c r="C122" s="77">
        <v>1183</v>
      </c>
      <c r="D122" s="644" t="s">
        <v>246</v>
      </c>
      <c r="E122" s="645"/>
      <c r="F122" s="645"/>
      <c r="G122" s="646"/>
    </row>
    <row r="123" spans="2:8" ht="36">
      <c r="B123" s="215" t="s">
        <v>52</v>
      </c>
      <c r="C123" s="77">
        <v>32012</v>
      </c>
      <c r="D123" s="195" t="s">
        <v>428</v>
      </c>
      <c r="E123" s="195" t="s">
        <v>12</v>
      </c>
      <c r="F123" s="195" t="s">
        <v>13</v>
      </c>
      <c r="G123" s="195" t="s">
        <v>14</v>
      </c>
    </row>
    <row r="124" spans="2:8" ht="36">
      <c r="B124" s="215" t="s">
        <v>53</v>
      </c>
      <c r="C124" s="196" t="s">
        <v>457</v>
      </c>
      <c r="D124" s="735"/>
      <c r="E124" s="735"/>
      <c r="F124" s="735"/>
      <c r="G124" s="735"/>
    </row>
    <row r="125" spans="2:8" ht="36">
      <c r="B125" s="215" t="s">
        <v>54</v>
      </c>
      <c r="C125" s="196" t="s">
        <v>458</v>
      </c>
      <c r="D125" s="736"/>
      <c r="E125" s="736"/>
      <c r="F125" s="736"/>
      <c r="G125" s="736"/>
    </row>
    <row r="126" spans="2:8" ht="36">
      <c r="B126" s="215" t="s">
        <v>55</v>
      </c>
      <c r="C126" s="222" t="s">
        <v>215</v>
      </c>
      <c r="D126" s="736"/>
      <c r="E126" s="736"/>
      <c r="F126" s="736"/>
      <c r="G126" s="736"/>
    </row>
    <row r="127" spans="2:8" ht="54">
      <c r="B127" s="215" t="s">
        <v>231</v>
      </c>
      <c r="C127" s="222" t="s">
        <v>230</v>
      </c>
      <c r="D127" s="736"/>
      <c r="E127" s="736"/>
      <c r="F127" s="736"/>
      <c r="G127" s="736"/>
    </row>
    <row r="128" spans="2:8">
      <c r="B128" s="738" t="s">
        <v>56</v>
      </c>
      <c r="C128" s="738"/>
      <c r="D128" s="737"/>
      <c r="E128" s="737"/>
      <c r="F128" s="737"/>
      <c r="G128" s="737"/>
    </row>
    <row r="129" spans="1:7" ht="16.8" customHeight="1">
      <c r="B129" s="742" t="s">
        <v>459</v>
      </c>
      <c r="C129" s="743"/>
      <c r="D129" s="386"/>
      <c r="E129" s="386"/>
      <c r="F129" s="216">
        <v>-1</v>
      </c>
      <c r="G129" s="216">
        <v>-1</v>
      </c>
    </row>
    <row r="130" spans="1:7" ht="16.8" customHeight="1">
      <c r="B130" s="742" t="s">
        <v>518</v>
      </c>
      <c r="C130" s="743"/>
      <c r="D130" s="498"/>
      <c r="E130" s="498"/>
      <c r="F130" s="535"/>
      <c r="G130" s="535">
        <v>3</v>
      </c>
    </row>
    <row r="131" spans="1:7">
      <c r="B131" s="217" t="s">
        <v>57</v>
      </c>
      <c r="C131" s="217"/>
      <c r="D131" s="206">
        <f>+'Havelvats 2 '!G255</f>
        <v>0</v>
      </c>
      <c r="E131" s="206">
        <f>+'Havelvats 2 '!H255</f>
        <v>0</v>
      </c>
      <c r="F131" s="206">
        <f>+'Havelvats 2 '!I255</f>
        <v>-121155.5</v>
      </c>
      <c r="G131" s="206">
        <f>+'Havelvats 2 '!J255</f>
        <v>-421155.5</v>
      </c>
    </row>
    <row r="133" spans="1:7" s="185" customFormat="1">
      <c r="B133" s="787"/>
      <c r="C133" s="787"/>
      <c r="D133" s="787"/>
      <c r="E133" s="787"/>
      <c r="F133" s="787"/>
    </row>
    <row r="134" spans="1:7" s="185" customFormat="1">
      <c r="B134" s="387"/>
      <c r="C134" s="387"/>
      <c r="D134" s="387"/>
      <c r="E134" s="387"/>
      <c r="F134" s="387"/>
    </row>
    <row r="135" spans="1:7" ht="21.85" customHeight="1">
      <c r="A135" s="764" t="s">
        <v>160</v>
      </c>
      <c r="B135" s="764"/>
      <c r="C135" s="764"/>
      <c r="D135" s="764"/>
      <c r="E135" s="764"/>
      <c r="F135" s="764"/>
      <c r="G135" s="764"/>
    </row>
    <row r="136" spans="1:7" ht="38.75" customHeight="1">
      <c r="B136" s="16"/>
      <c r="C136" s="183" t="s">
        <v>110</v>
      </c>
      <c r="D136" s="16"/>
      <c r="E136" s="16"/>
      <c r="F136" s="16"/>
      <c r="G136" s="184"/>
    </row>
    <row r="137" spans="1:7">
      <c r="B137" s="778" t="s">
        <v>158</v>
      </c>
      <c r="C137" s="779"/>
      <c r="D137" s="780"/>
      <c r="E137" s="779"/>
      <c r="F137" s="779"/>
      <c r="G137" s="781"/>
    </row>
    <row r="139" spans="1:7" s="39" customFormat="1">
      <c r="B139" s="188" t="s">
        <v>1</v>
      </c>
      <c r="C139" s="188" t="s">
        <v>2</v>
      </c>
      <c r="D139" s="448"/>
      <c r="E139" s="448"/>
      <c r="F139" s="448"/>
      <c r="G139" s="448"/>
    </row>
    <row r="140" spans="1:7" s="39" customFormat="1" ht="36">
      <c r="B140" s="410">
        <v>1045</v>
      </c>
      <c r="C140" s="449" t="s">
        <v>150</v>
      </c>
      <c r="D140" s="450"/>
      <c r="E140" s="450"/>
      <c r="F140" s="450"/>
      <c r="G140" s="450"/>
    </row>
    <row r="141" spans="1:7" s="39" customFormat="1"/>
    <row r="142" spans="1:7" s="39" customFormat="1">
      <c r="B142" s="758" t="s">
        <v>3</v>
      </c>
      <c r="C142" s="759"/>
      <c r="D142" s="193"/>
      <c r="E142" s="193"/>
      <c r="F142" s="193"/>
      <c r="G142" s="193"/>
    </row>
    <row r="143" spans="1:7" s="39" customFormat="1" ht="58.4" customHeight="1">
      <c r="B143" s="194" t="s">
        <v>4</v>
      </c>
      <c r="C143" s="77">
        <v>1045</v>
      </c>
      <c r="D143" s="644" t="s">
        <v>252</v>
      </c>
      <c r="E143" s="645"/>
      <c r="F143" s="645"/>
      <c r="G143" s="646"/>
    </row>
    <row r="144" spans="1:7" s="39" customFormat="1" ht="36">
      <c r="B144" s="194" t="s">
        <v>5</v>
      </c>
      <c r="C144" s="77">
        <v>32001</v>
      </c>
      <c r="D144" s="195" t="s">
        <v>395</v>
      </c>
      <c r="E144" s="195" t="s">
        <v>12</v>
      </c>
      <c r="F144" s="195" t="s">
        <v>13</v>
      </c>
      <c r="G144" s="195" t="s">
        <v>14</v>
      </c>
    </row>
    <row r="145" spans="2:8" s="39" customFormat="1" ht="54">
      <c r="B145" s="194" t="s">
        <v>6</v>
      </c>
      <c r="C145" s="196" t="s">
        <v>213</v>
      </c>
      <c r="D145" s="684"/>
      <c r="E145" s="684"/>
      <c r="F145" s="684"/>
      <c r="G145" s="684"/>
    </row>
    <row r="146" spans="2:8" s="39" customFormat="1" ht="72">
      <c r="B146" s="194" t="s">
        <v>10</v>
      </c>
      <c r="C146" s="196" t="s">
        <v>214</v>
      </c>
      <c r="D146" s="685"/>
      <c r="E146" s="685"/>
      <c r="F146" s="685"/>
      <c r="G146" s="685"/>
    </row>
    <row r="147" spans="2:8" s="39" customFormat="1" ht="36">
      <c r="B147" s="194" t="s">
        <v>7</v>
      </c>
      <c r="C147" s="196" t="s">
        <v>215</v>
      </c>
      <c r="D147" s="685"/>
      <c r="E147" s="685"/>
      <c r="F147" s="685"/>
      <c r="G147" s="685"/>
    </row>
    <row r="148" spans="2:8" s="39" customFormat="1" ht="54">
      <c r="B148" s="49" t="s">
        <v>216</v>
      </c>
      <c r="C148" s="196" t="s">
        <v>421</v>
      </c>
      <c r="D148" s="685"/>
      <c r="E148" s="685"/>
      <c r="F148" s="685"/>
      <c r="G148" s="685"/>
    </row>
    <row r="149" spans="2:8" s="39" customFormat="1">
      <c r="B149" s="752" t="s">
        <v>0</v>
      </c>
      <c r="C149" s="753"/>
      <c r="D149" s="686"/>
      <c r="E149" s="686"/>
      <c r="F149" s="686"/>
      <c r="G149" s="686"/>
    </row>
    <row r="150" spans="2:8" s="39" customFormat="1" ht="34.950000000000003" customHeight="1">
      <c r="B150" s="766" t="s">
        <v>233</v>
      </c>
      <c r="C150" s="782"/>
      <c r="D150" s="199">
        <v>1</v>
      </c>
      <c r="E150" s="199">
        <v>1</v>
      </c>
      <c r="F150" s="199">
        <v>1</v>
      </c>
      <c r="G150" s="199">
        <v>1</v>
      </c>
    </row>
    <row r="151" spans="2:8" s="39" customFormat="1" ht="34.950000000000003" customHeight="1">
      <c r="B151" s="766" t="s">
        <v>420</v>
      </c>
      <c r="C151" s="782"/>
      <c r="D151" s="199">
        <v>1</v>
      </c>
      <c r="E151" s="199">
        <v>1</v>
      </c>
      <c r="F151" s="199">
        <v>2</v>
      </c>
      <c r="G151" s="199">
        <v>2</v>
      </c>
    </row>
    <row r="152" spans="2:8" s="39" customFormat="1">
      <c r="B152" s="197" t="s">
        <v>8</v>
      </c>
      <c r="C152" s="197"/>
      <c r="D152" s="198">
        <f>+'Havelvats 2 '!G128</f>
        <v>-4953.9000000000015</v>
      </c>
      <c r="E152" s="198">
        <f>+'Havelvats 2 '!H128</f>
        <v>44565.39999999998</v>
      </c>
      <c r="F152" s="198">
        <f>+'Havelvats 2 '!I128</f>
        <v>114833.90000000002</v>
      </c>
      <c r="G152" s="198">
        <f>+'Havelvats 2 '!J128</f>
        <v>35092</v>
      </c>
      <c r="H152" s="158"/>
    </row>
    <row r="153" spans="2:8" s="39" customFormat="1"/>
    <row r="154" spans="2:8" s="39" customFormat="1">
      <c r="B154" s="200" t="s">
        <v>1</v>
      </c>
      <c r="C154" s="200" t="s">
        <v>2</v>
      </c>
      <c r="D154" s="144"/>
      <c r="E154" s="144"/>
      <c r="F154" s="144"/>
      <c r="G154" s="144"/>
    </row>
    <row r="155" spans="2:8" s="39" customFormat="1" ht="36">
      <c r="B155" s="201">
        <v>1111</v>
      </c>
      <c r="C155" s="202" t="s">
        <v>151</v>
      </c>
      <c r="D155" s="193"/>
      <c r="E155" s="193"/>
      <c r="F155" s="193"/>
      <c r="G155" s="193"/>
    </row>
    <row r="156" spans="2:8" s="39" customFormat="1"/>
    <row r="157" spans="2:8" s="39" customFormat="1">
      <c r="B157" s="758" t="s">
        <v>3</v>
      </c>
      <c r="C157" s="759"/>
      <c r="D157" s="193"/>
      <c r="E157" s="193"/>
      <c r="F157" s="193"/>
      <c r="G157" s="193"/>
    </row>
    <row r="158" spans="2:8" s="39" customFormat="1" ht="58.4" customHeight="1">
      <c r="B158" s="194" t="s">
        <v>4</v>
      </c>
      <c r="C158" s="77">
        <v>1111</v>
      </c>
      <c r="D158" s="644" t="s">
        <v>434</v>
      </c>
      <c r="E158" s="645"/>
      <c r="F158" s="645"/>
      <c r="G158" s="646"/>
    </row>
    <row r="159" spans="2:8" s="39" customFormat="1" ht="36">
      <c r="B159" s="194" t="s">
        <v>5</v>
      </c>
      <c r="C159" s="77">
        <v>32001</v>
      </c>
      <c r="D159" s="195" t="s">
        <v>428</v>
      </c>
      <c r="E159" s="195" t="s">
        <v>12</v>
      </c>
      <c r="F159" s="195" t="s">
        <v>13</v>
      </c>
      <c r="G159" s="195" t="s">
        <v>14</v>
      </c>
    </row>
    <row r="160" spans="2:8" s="39" customFormat="1" ht="54">
      <c r="B160" s="203" t="s">
        <v>6</v>
      </c>
      <c r="C160" s="196" t="s">
        <v>431</v>
      </c>
      <c r="D160" s="684"/>
      <c r="E160" s="684"/>
      <c r="F160" s="684"/>
      <c r="G160" s="684"/>
    </row>
    <row r="161" spans="2:8" s="39" customFormat="1" ht="54">
      <c r="B161" s="194" t="s">
        <v>10</v>
      </c>
      <c r="C161" s="196" t="s">
        <v>432</v>
      </c>
      <c r="D161" s="685"/>
      <c r="E161" s="685"/>
      <c r="F161" s="685"/>
      <c r="G161" s="685"/>
    </row>
    <row r="162" spans="2:8" s="39" customFormat="1" ht="36">
      <c r="B162" s="204" t="s">
        <v>7</v>
      </c>
      <c r="C162" s="196" t="s">
        <v>215</v>
      </c>
      <c r="D162" s="685"/>
      <c r="E162" s="685"/>
      <c r="F162" s="685"/>
      <c r="G162" s="685"/>
    </row>
    <row r="163" spans="2:8" s="39" customFormat="1" ht="54">
      <c r="B163" s="49" t="s">
        <v>216</v>
      </c>
      <c r="C163" s="196" t="s">
        <v>433</v>
      </c>
      <c r="D163" s="685"/>
      <c r="E163" s="685"/>
      <c r="F163" s="685"/>
      <c r="G163" s="685"/>
    </row>
    <row r="164" spans="2:8" s="39" customFormat="1">
      <c r="B164" s="752" t="s">
        <v>0</v>
      </c>
      <c r="C164" s="753"/>
      <c r="D164" s="686"/>
      <c r="E164" s="686"/>
      <c r="F164" s="686"/>
      <c r="G164" s="686"/>
    </row>
    <row r="165" spans="2:8" s="208" customFormat="1">
      <c r="B165" s="205" t="s">
        <v>8</v>
      </c>
      <c r="C165" s="205"/>
      <c r="D165" s="206">
        <f>+'Havelvats 2 '!G148</f>
        <v>0</v>
      </c>
      <c r="E165" s="206">
        <f>+'Havelvats 2 '!H148</f>
        <v>0</v>
      </c>
      <c r="F165" s="206">
        <f>+'Havelvats 2 '!I148</f>
        <v>0</v>
      </c>
      <c r="G165" s="206">
        <f>+'Havelvats 2 '!J148</f>
        <v>-126342.90000000001</v>
      </c>
      <c r="H165" s="207"/>
    </row>
    <row r="166" spans="2:8" s="39" customFormat="1"/>
    <row r="167" spans="2:8" s="39" customFormat="1" ht="50.75">
      <c r="B167" s="436" t="s">
        <v>119</v>
      </c>
      <c r="C167" s="783" t="s">
        <v>2</v>
      </c>
      <c r="D167" s="784"/>
      <c r="E167" s="785"/>
      <c r="F167" s="785"/>
      <c r="G167" s="786"/>
    </row>
    <row r="168" spans="2:8" s="39" customFormat="1">
      <c r="B168" s="201">
        <v>1146</v>
      </c>
      <c r="C168" s="202" t="s">
        <v>435</v>
      </c>
      <c r="D168" s="202"/>
      <c r="E168" s="202"/>
      <c r="F168" s="202"/>
      <c r="G168" s="202"/>
    </row>
    <row r="169" spans="2:8" s="39" customFormat="1"/>
    <row r="170" spans="2:8" s="39" customFormat="1">
      <c r="B170" s="788" t="s">
        <v>3</v>
      </c>
      <c r="C170" s="789"/>
      <c r="D170" s="451"/>
      <c r="E170" s="451"/>
      <c r="F170" s="451"/>
      <c r="G170" s="451"/>
    </row>
    <row r="171" spans="2:8" s="39" customFormat="1" ht="58.4" customHeight="1">
      <c r="B171" s="194" t="s">
        <v>51</v>
      </c>
      <c r="C171" s="77">
        <v>1146</v>
      </c>
      <c r="D171" s="644" t="s">
        <v>246</v>
      </c>
      <c r="E171" s="645"/>
      <c r="F171" s="645"/>
      <c r="G171" s="646"/>
    </row>
    <row r="172" spans="2:8" s="39" customFormat="1" ht="36">
      <c r="B172" s="49" t="s">
        <v>52</v>
      </c>
      <c r="C172" s="77">
        <v>12010</v>
      </c>
      <c r="D172" s="195" t="s">
        <v>428</v>
      </c>
      <c r="E172" s="195" t="s">
        <v>12</v>
      </c>
      <c r="F172" s="195" t="s">
        <v>13</v>
      </c>
      <c r="G172" s="195" t="s">
        <v>14</v>
      </c>
    </row>
    <row r="173" spans="2:8" s="39" customFormat="1" ht="36">
      <c r="B173" s="49" t="s">
        <v>53</v>
      </c>
      <c r="C173" s="196" t="s">
        <v>436</v>
      </c>
      <c r="D173" s="790"/>
      <c r="E173" s="790"/>
      <c r="F173" s="790"/>
      <c r="G173" s="790"/>
    </row>
    <row r="174" spans="2:8" s="39" customFormat="1" ht="36">
      <c r="B174" s="49" t="s">
        <v>54</v>
      </c>
      <c r="C174" s="196" t="s">
        <v>437</v>
      </c>
      <c r="D174" s="791"/>
      <c r="E174" s="791"/>
      <c r="F174" s="791"/>
      <c r="G174" s="791"/>
    </row>
    <row r="175" spans="2:8" s="39" customFormat="1" ht="36">
      <c r="B175" s="49" t="s">
        <v>55</v>
      </c>
      <c r="C175" s="222" t="s">
        <v>212</v>
      </c>
      <c r="D175" s="791"/>
      <c r="E175" s="791"/>
      <c r="F175" s="791"/>
      <c r="G175" s="791"/>
    </row>
    <row r="176" spans="2:8" s="39" customFormat="1" ht="54">
      <c r="B176" s="49" t="s">
        <v>439</v>
      </c>
      <c r="C176" s="222" t="s">
        <v>438</v>
      </c>
      <c r="D176" s="791"/>
      <c r="E176" s="791"/>
      <c r="F176" s="791"/>
      <c r="G176" s="791"/>
    </row>
    <row r="177" spans="2:7" s="39" customFormat="1">
      <c r="B177" s="628" t="s">
        <v>56</v>
      </c>
      <c r="C177" s="628"/>
      <c r="D177" s="627"/>
      <c r="E177" s="627"/>
      <c r="F177" s="627"/>
      <c r="G177" s="627"/>
    </row>
    <row r="178" spans="2:7" ht="16.8" customHeight="1">
      <c r="B178" s="754" t="s">
        <v>443</v>
      </c>
      <c r="C178" s="755"/>
      <c r="D178" s="199">
        <v>1</v>
      </c>
      <c r="E178" s="199">
        <v>1</v>
      </c>
      <c r="F178" s="199">
        <v>1</v>
      </c>
      <c r="G178" s="199">
        <v>1</v>
      </c>
    </row>
    <row r="179" spans="2:7" s="39" customFormat="1">
      <c r="B179" s="205" t="s">
        <v>57</v>
      </c>
      <c r="C179" s="205"/>
      <c r="D179" s="206">
        <f>+'Havelvats 2 '!G159</f>
        <v>-2473.3999999999978</v>
      </c>
      <c r="E179" s="206">
        <f>+'Havelvats 2 '!H159</f>
        <v>4939.9999999999127</v>
      </c>
      <c r="F179" s="206">
        <f>+'Havelvats 2 '!I159</f>
        <v>4939.5999999996857</v>
      </c>
      <c r="G179" s="206">
        <f>+'Havelvats 2 '!J159</f>
        <v>-39449.400000001246</v>
      </c>
    </row>
    <row r="180" spans="2:7" s="39" customFormat="1"/>
    <row r="181" spans="2:7" s="39" customFormat="1">
      <c r="B181" s="200" t="s">
        <v>1</v>
      </c>
      <c r="C181" s="783" t="s">
        <v>2</v>
      </c>
      <c r="D181" s="784"/>
      <c r="E181" s="785"/>
      <c r="F181" s="785"/>
      <c r="G181" s="786"/>
    </row>
    <row r="182" spans="2:7" s="39" customFormat="1">
      <c r="B182" s="201">
        <v>1163</v>
      </c>
      <c r="C182" s="202" t="s">
        <v>68</v>
      </c>
      <c r="D182" s="193"/>
      <c r="E182" s="193"/>
      <c r="F182" s="193"/>
      <c r="G182" s="193"/>
    </row>
    <row r="183" spans="2:7" s="39" customFormat="1"/>
    <row r="184" spans="2:7" s="39" customFormat="1">
      <c r="B184" s="758" t="s">
        <v>3</v>
      </c>
      <c r="C184" s="759"/>
      <c r="D184" s="193"/>
      <c r="E184" s="193"/>
      <c r="F184" s="193"/>
      <c r="G184" s="193"/>
    </row>
    <row r="185" spans="2:7" s="39" customFormat="1" ht="58.4" customHeight="1">
      <c r="B185" s="194" t="s">
        <v>1</v>
      </c>
      <c r="C185" s="77">
        <v>1163</v>
      </c>
      <c r="D185" s="644" t="s">
        <v>434</v>
      </c>
      <c r="E185" s="645"/>
      <c r="F185" s="645"/>
      <c r="G185" s="646"/>
    </row>
    <row r="186" spans="2:7" s="39" customFormat="1" ht="36">
      <c r="B186" s="194" t="s">
        <v>5</v>
      </c>
      <c r="C186" s="196">
        <v>12001</v>
      </c>
      <c r="D186" s="195" t="s">
        <v>428</v>
      </c>
      <c r="E186" s="195" t="s">
        <v>12</v>
      </c>
      <c r="F186" s="195" t="s">
        <v>13</v>
      </c>
      <c r="G186" s="195" t="s">
        <v>14</v>
      </c>
    </row>
    <row r="187" spans="2:7" s="39" customFormat="1" ht="36">
      <c r="B187" s="203" t="s">
        <v>6</v>
      </c>
      <c r="C187" s="196" t="s">
        <v>76</v>
      </c>
      <c r="D187" s="699"/>
      <c r="E187" s="699"/>
      <c r="F187" s="699"/>
      <c r="G187" s="792"/>
    </row>
    <row r="188" spans="2:7" s="39" customFormat="1" ht="36">
      <c r="B188" s="194" t="s">
        <v>10</v>
      </c>
      <c r="C188" s="196" t="s">
        <v>77</v>
      </c>
      <c r="D188" s="697"/>
      <c r="E188" s="697"/>
      <c r="F188" s="697"/>
      <c r="G188" s="793"/>
    </row>
    <row r="189" spans="2:7" s="39" customFormat="1">
      <c r="B189" s="203" t="s">
        <v>7</v>
      </c>
      <c r="C189" s="196" t="s">
        <v>78</v>
      </c>
      <c r="D189" s="697"/>
      <c r="E189" s="697"/>
      <c r="F189" s="697"/>
      <c r="G189" s="793"/>
    </row>
    <row r="190" spans="2:7" s="39" customFormat="1" ht="54">
      <c r="B190" s="92" t="s">
        <v>95</v>
      </c>
      <c r="C190" s="196" t="s">
        <v>82</v>
      </c>
      <c r="D190" s="697"/>
      <c r="E190" s="697"/>
      <c r="F190" s="697"/>
      <c r="G190" s="793"/>
    </row>
    <row r="191" spans="2:7" s="39" customFormat="1">
      <c r="B191" s="752" t="s">
        <v>0</v>
      </c>
      <c r="C191" s="753"/>
      <c r="D191" s="698"/>
      <c r="E191" s="698"/>
      <c r="F191" s="698"/>
      <c r="G191" s="794"/>
    </row>
    <row r="192" spans="2:7" s="39" customFormat="1">
      <c r="B192" s="795" t="s">
        <v>8</v>
      </c>
      <c r="C192" s="796"/>
      <c r="D192" s="206">
        <f>+'Havelvats 2 '!G172</f>
        <v>0</v>
      </c>
      <c r="E192" s="206">
        <f>+'Havelvats 2 '!H172</f>
        <v>0</v>
      </c>
      <c r="F192" s="206">
        <f>+'Havelvats 2 '!I172</f>
        <v>0</v>
      </c>
      <c r="G192" s="206">
        <f>+'Havelvats 2 '!J172</f>
        <v>-43857.100000000006</v>
      </c>
    </row>
    <row r="193" spans="2:8" s="39" customFormat="1" ht="9.85" customHeight="1"/>
    <row r="194" spans="2:8" s="39" customFormat="1">
      <c r="B194" s="758" t="s">
        <v>3</v>
      </c>
      <c r="C194" s="759"/>
      <c r="D194" s="193"/>
      <c r="E194" s="193"/>
      <c r="F194" s="193"/>
      <c r="G194" s="193"/>
    </row>
    <row r="195" spans="2:8" s="39" customFormat="1" ht="58.4" customHeight="1">
      <c r="B195" s="194" t="s">
        <v>4</v>
      </c>
      <c r="C195" s="77">
        <v>1163</v>
      </c>
      <c r="D195" s="644" t="s">
        <v>252</v>
      </c>
      <c r="E195" s="645"/>
      <c r="F195" s="645"/>
      <c r="G195" s="646"/>
    </row>
    <row r="196" spans="2:8" s="39" customFormat="1" ht="36">
      <c r="B196" s="194" t="s">
        <v>5</v>
      </c>
      <c r="C196" s="77">
        <v>32001</v>
      </c>
      <c r="D196" s="195" t="s">
        <v>428</v>
      </c>
      <c r="E196" s="195" t="s">
        <v>12</v>
      </c>
      <c r="F196" s="195" t="s">
        <v>13</v>
      </c>
      <c r="G196" s="195" t="s">
        <v>14</v>
      </c>
    </row>
    <row r="197" spans="2:8" s="39" customFormat="1" ht="36">
      <c r="B197" s="203" t="s">
        <v>6</v>
      </c>
      <c r="C197" s="196" t="s">
        <v>109</v>
      </c>
      <c r="D197" s="684"/>
      <c r="E197" s="684"/>
      <c r="F197" s="684"/>
      <c r="G197" s="684"/>
    </row>
    <row r="198" spans="2:8" s="39" customFormat="1" ht="72">
      <c r="B198" s="194" t="s">
        <v>10</v>
      </c>
      <c r="C198" s="196" t="s">
        <v>221</v>
      </c>
      <c r="D198" s="685"/>
      <c r="E198" s="685"/>
      <c r="F198" s="685"/>
      <c r="G198" s="685"/>
    </row>
    <row r="199" spans="2:8" s="39" customFormat="1" ht="36">
      <c r="B199" s="204" t="s">
        <v>7</v>
      </c>
      <c r="C199" s="196" t="s">
        <v>218</v>
      </c>
      <c r="D199" s="685"/>
      <c r="E199" s="685"/>
      <c r="F199" s="685"/>
      <c r="G199" s="685"/>
    </row>
    <row r="200" spans="2:8" s="39" customFormat="1" ht="54">
      <c r="B200" s="49" t="s">
        <v>219</v>
      </c>
      <c r="C200" s="196" t="s">
        <v>225</v>
      </c>
      <c r="D200" s="685"/>
      <c r="E200" s="685"/>
      <c r="F200" s="685"/>
      <c r="G200" s="685"/>
    </row>
    <row r="201" spans="2:8" s="39" customFormat="1">
      <c r="B201" s="752" t="s">
        <v>0</v>
      </c>
      <c r="C201" s="753"/>
      <c r="D201" s="686"/>
      <c r="E201" s="686"/>
      <c r="F201" s="686"/>
      <c r="G201" s="686"/>
    </row>
    <row r="202" spans="2:8" s="39" customFormat="1" ht="34.5" customHeight="1">
      <c r="B202" s="742" t="s">
        <v>440</v>
      </c>
      <c r="C202" s="743"/>
      <c r="D202" s="199"/>
      <c r="E202" s="199"/>
      <c r="F202" s="199"/>
      <c r="G202" s="199">
        <v>1</v>
      </c>
    </row>
    <row r="203" spans="2:8" s="208" customFormat="1">
      <c r="B203" s="205" t="s">
        <v>8</v>
      </c>
      <c r="C203" s="205"/>
      <c r="D203" s="206">
        <f>+'Havelvats 2 '!G188</f>
        <v>-3244.4000000000015</v>
      </c>
      <c r="E203" s="206">
        <f>+'Havelvats 2 '!H188</f>
        <v>-252.80000000000291</v>
      </c>
      <c r="F203" s="206">
        <f>+'Havelvats 2 '!I188</f>
        <v>-252.70000000001164</v>
      </c>
      <c r="G203" s="206">
        <f>+'Havelvats 2 '!J188</f>
        <v>-292651.59999999992</v>
      </c>
      <c r="H203" s="207"/>
    </row>
    <row r="204" spans="2:8" ht="9.85" customHeight="1"/>
    <row r="205" spans="2:8" s="39" customFormat="1">
      <c r="B205" s="758" t="s">
        <v>3</v>
      </c>
      <c r="C205" s="759"/>
      <c r="D205" s="193"/>
      <c r="E205" s="193"/>
      <c r="F205" s="193"/>
      <c r="G205" s="193"/>
    </row>
    <row r="206" spans="2:8" s="39" customFormat="1" ht="58.4" customHeight="1">
      <c r="B206" s="194" t="s">
        <v>4</v>
      </c>
      <c r="C206" s="77">
        <v>1163</v>
      </c>
      <c r="D206" s="644" t="s">
        <v>167</v>
      </c>
      <c r="E206" s="645"/>
      <c r="F206" s="645"/>
      <c r="G206" s="646"/>
    </row>
    <row r="207" spans="2:8" s="39" customFormat="1" ht="36">
      <c r="B207" s="194" t="s">
        <v>5</v>
      </c>
      <c r="C207" s="77">
        <v>32002</v>
      </c>
      <c r="D207" s="195" t="s">
        <v>428</v>
      </c>
      <c r="E207" s="195" t="s">
        <v>12</v>
      </c>
      <c r="F207" s="195" t="s">
        <v>13</v>
      </c>
      <c r="G207" s="195" t="s">
        <v>14</v>
      </c>
    </row>
    <row r="208" spans="2:8" s="39" customFormat="1" ht="36">
      <c r="B208" s="203" t="s">
        <v>6</v>
      </c>
      <c r="C208" s="196" t="s">
        <v>403</v>
      </c>
      <c r="D208" s="684"/>
      <c r="E208" s="684"/>
      <c r="F208" s="684"/>
      <c r="G208" s="684"/>
    </row>
    <row r="209" spans="2:8" s="39" customFormat="1" ht="36">
      <c r="B209" s="194" t="s">
        <v>10</v>
      </c>
      <c r="C209" s="196" t="s">
        <v>413</v>
      </c>
      <c r="D209" s="685"/>
      <c r="E209" s="685"/>
      <c r="F209" s="685"/>
      <c r="G209" s="685"/>
    </row>
    <row r="210" spans="2:8" s="39" customFormat="1" ht="36">
      <c r="B210" s="204" t="s">
        <v>7</v>
      </c>
      <c r="C210" s="196" t="s">
        <v>441</v>
      </c>
      <c r="D210" s="685"/>
      <c r="E210" s="685"/>
      <c r="F210" s="685"/>
      <c r="G210" s="685"/>
    </row>
    <row r="211" spans="2:8" s="39" customFormat="1" ht="54">
      <c r="B211" s="49" t="s">
        <v>219</v>
      </c>
      <c r="C211" s="196" t="s">
        <v>225</v>
      </c>
      <c r="D211" s="685"/>
      <c r="E211" s="685"/>
      <c r="F211" s="685"/>
      <c r="G211" s="685"/>
    </row>
    <row r="212" spans="2:8" s="39" customFormat="1">
      <c r="B212" s="752" t="s">
        <v>0</v>
      </c>
      <c r="C212" s="753"/>
      <c r="D212" s="686"/>
      <c r="E212" s="686"/>
      <c r="F212" s="686"/>
      <c r="G212" s="686"/>
    </row>
    <row r="213" spans="2:8" s="39" customFormat="1">
      <c r="B213" s="742" t="s">
        <v>442</v>
      </c>
      <c r="C213" s="743"/>
      <c r="D213" s="199"/>
      <c r="E213" s="199">
        <v>1</v>
      </c>
      <c r="F213" s="199">
        <v>1</v>
      </c>
      <c r="G213" s="216">
        <v>1</v>
      </c>
    </row>
    <row r="214" spans="2:8" s="39" customFormat="1" ht="34.5" customHeight="1">
      <c r="B214" s="742" t="s">
        <v>440</v>
      </c>
      <c r="C214" s="743"/>
      <c r="D214" s="199"/>
      <c r="E214" s="199"/>
      <c r="F214" s="199"/>
      <c r="G214" s="199">
        <v>1</v>
      </c>
    </row>
    <row r="215" spans="2:8" s="208" customFormat="1">
      <c r="B215" s="205" t="s">
        <v>8</v>
      </c>
      <c r="C215" s="205"/>
      <c r="D215" s="206">
        <f>+'Havelvats 2 '!G197</f>
        <v>0</v>
      </c>
      <c r="E215" s="206">
        <f>+'Havelvats 2 '!H197</f>
        <v>177785.3</v>
      </c>
      <c r="F215" s="206">
        <f>+'Havelvats 2 '!I197</f>
        <v>330172.59999999998</v>
      </c>
      <c r="G215" s="206">
        <f>+'Havelvats 2 '!J197</f>
        <v>507957.9</v>
      </c>
      <c r="H215" s="207"/>
    </row>
    <row r="216" spans="2:8" s="39" customFormat="1"/>
    <row r="217" spans="2:8" s="39" customFormat="1" ht="50.75">
      <c r="B217" s="436" t="s">
        <v>119</v>
      </c>
      <c r="C217" s="783" t="s">
        <v>2</v>
      </c>
      <c r="D217" s="784"/>
      <c r="E217" s="785"/>
      <c r="F217" s="785"/>
      <c r="G217" s="786"/>
    </row>
    <row r="218" spans="2:8" s="39" customFormat="1">
      <c r="B218" s="201">
        <v>1183</v>
      </c>
      <c r="C218" s="202" t="s">
        <v>226</v>
      </c>
      <c r="D218" s="202"/>
      <c r="E218" s="202"/>
      <c r="F218" s="202"/>
      <c r="G218" s="202"/>
    </row>
    <row r="219" spans="2:8" s="39" customFormat="1"/>
    <row r="220" spans="2:8" s="39" customFormat="1">
      <c r="B220" s="788" t="s">
        <v>3</v>
      </c>
      <c r="C220" s="789"/>
      <c r="D220" s="451"/>
      <c r="E220" s="451"/>
      <c r="F220" s="451"/>
      <c r="G220" s="451"/>
    </row>
    <row r="221" spans="2:8" s="39" customFormat="1" ht="58.4" customHeight="1">
      <c r="B221" s="194" t="s">
        <v>51</v>
      </c>
      <c r="C221" s="77">
        <v>1183</v>
      </c>
      <c r="D221" s="644" t="s">
        <v>434</v>
      </c>
      <c r="E221" s="645"/>
      <c r="F221" s="645"/>
      <c r="G221" s="646"/>
    </row>
    <row r="222" spans="2:8" s="39" customFormat="1" ht="36">
      <c r="B222" s="49" t="s">
        <v>52</v>
      </c>
      <c r="C222" s="77" t="s">
        <v>227</v>
      </c>
      <c r="D222" s="195" t="s">
        <v>428</v>
      </c>
      <c r="E222" s="195" t="s">
        <v>12</v>
      </c>
      <c r="F222" s="195" t="s">
        <v>13</v>
      </c>
      <c r="G222" s="195" t="s">
        <v>14</v>
      </c>
    </row>
    <row r="223" spans="2:8" s="39" customFormat="1" ht="36">
      <c r="B223" s="49" t="s">
        <v>53</v>
      </c>
      <c r="C223" s="196" t="s">
        <v>228</v>
      </c>
      <c r="D223" s="790"/>
      <c r="E223" s="790"/>
      <c r="F223" s="790"/>
      <c r="G223" s="790"/>
    </row>
    <row r="224" spans="2:8" s="39" customFormat="1" ht="72">
      <c r="B224" s="49" t="s">
        <v>54</v>
      </c>
      <c r="C224" s="196" t="s">
        <v>229</v>
      </c>
      <c r="D224" s="791"/>
      <c r="E224" s="791"/>
      <c r="F224" s="791"/>
      <c r="G224" s="791"/>
    </row>
    <row r="225" spans="2:7" s="39" customFormat="1" ht="36">
      <c r="B225" s="49" t="s">
        <v>55</v>
      </c>
      <c r="C225" s="222" t="s">
        <v>215</v>
      </c>
      <c r="D225" s="791"/>
      <c r="E225" s="791"/>
      <c r="F225" s="791"/>
      <c r="G225" s="791"/>
    </row>
    <row r="226" spans="2:7" s="39" customFormat="1" ht="54">
      <c r="B226" s="49" t="s">
        <v>231</v>
      </c>
      <c r="C226" s="222" t="s">
        <v>230</v>
      </c>
      <c r="D226" s="791"/>
      <c r="E226" s="791"/>
      <c r="F226" s="791"/>
      <c r="G226" s="791"/>
    </row>
    <row r="227" spans="2:7" s="39" customFormat="1">
      <c r="B227" s="628" t="s">
        <v>56</v>
      </c>
      <c r="C227" s="628"/>
      <c r="D227" s="627"/>
      <c r="E227" s="627"/>
      <c r="F227" s="627"/>
      <c r="G227" s="627"/>
    </row>
    <row r="228" spans="2:7" s="39" customFormat="1">
      <c r="B228" s="205" t="s">
        <v>57</v>
      </c>
      <c r="C228" s="205"/>
      <c r="D228" s="206">
        <f>+'Havelvats 2 '!G208</f>
        <v>0</v>
      </c>
      <c r="E228" s="206">
        <f>+'Havelvats 2 '!H208</f>
        <v>-49533.599999999991</v>
      </c>
      <c r="F228" s="206">
        <f>+'Havelvats 2 '!I208</f>
        <v>-91847.5</v>
      </c>
      <c r="G228" s="206">
        <f>+'Havelvats 2 '!J208</f>
        <v>-154319.40000000002</v>
      </c>
    </row>
    <row r="229" spans="2:7" s="39" customFormat="1" ht="9.85" customHeight="1"/>
    <row r="230" spans="2:7" s="39" customFormat="1">
      <c r="B230" s="788" t="s">
        <v>3</v>
      </c>
      <c r="C230" s="789"/>
      <c r="D230" s="451"/>
      <c r="E230" s="451"/>
      <c r="F230" s="451"/>
      <c r="G230" s="451"/>
    </row>
    <row r="231" spans="2:7" s="39" customFormat="1" ht="58.4" customHeight="1">
      <c r="B231" s="194" t="s">
        <v>51</v>
      </c>
      <c r="C231" s="77">
        <v>1183</v>
      </c>
      <c r="D231" s="644" t="s">
        <v>252</v>
      </c>
      <c r="E231" s="645"/>
      <c r="F231" s="645"/>
      <c r="G231" s="646"/>
    </row>
    <row r="232" spans="2:7" s="39" customFormat="1" ht="36">
      <c r="B232" s="49" t="s">
        <v>52</v>
      </c>
      <c r="C232" s="77">
        <v>32002</v>
      </c>
      <c r="D232" s="195" t="s">
        <v>428</v>
      </c>
      <c r="E232" s="195" t="s">
        <v>12</v>
      </c>
      <c r="F232" s="195" t="s">
        <v>13</v>
      </c>
      <c r="G232" s="195" t="s">
        <v>14</v>
      </c>
    </row>
    <row r="233" spans="2:7" s="39" customFormat="1" ht="36">
      <c r="B233" s="49" t="s">
        <v>53</v>
      </c>
      <c r="C233" s="196" t="s">
        <v>448</v>
      </c>
      <c r="D233" s="790"/>
      <c r="E233" s="790"/>
      <c r="F233" s="790"/>
      <c r="G233" s="790"/>
    </row>
    <row r="234" spans="2:7" s="39" customFormat="1" ht="72">
      <c r="B234" s="49" t="s">
        <v>54</v>
      </c>
      <c r="C234" s="196" t="s">
        <v>449</v>
      </c>
      <c r="D234" s="791"/>
      <c r="E234" s="791"/>
      <c r="F234" s="791"/>
      <c r="G234" s="791"/>
    </row>
    <row r="235" spans="2:7" s="39" customFormat="1" ht="36">
      <c r="B235" s="49" t="s">
        <v>55</v>
      </c>
      <c r="C235" s="222" t="s">
        <v>215</v>
      </c>
      <c r="D235" s="791"/>
      <c r="E235" s="791"/>
      <c r="F235" s="791"/>
      <c r="G235" s="791"/>
    </row>
    <row r="236" spans="2:7" s="39" customFormat="1" ht="54">
      <c r="B236" s="49" t="s">
        <v>231</v>
      </c>
      <c r="C236" s="222" t="s">
        <v>230</v>
      </c>
      <c r="D236" s="791"/>
      <c r="E236" s="791"/>
      <c r="F236" s="791"/>
      <c r="G236" s="791"/>
    </row>
    <row r="237" spans="2:7" s="39" customFormat="1">
      <c r="B237" s="628" t="s">
        <v>56</v>
      </c>
      <c r="C237" s="628"/>
      <c r="D237" s="627"/>
      <c r="E237" s="627"/>
      <c r="F237" s="627"/>
      <c r="G237" s="627"/>
    </row>
    <row r="238" spans="2:7" s="39" customFormat="1">
      <c r="B238" s="205" t="s">
        <v>57</v>
      </c>
      <c r="C238" s="205"/>
      <c r="D238" s="206">
        <f>+'Havelvats 2 '!G217</f>
        <v>46783</v>
      </c>
      <c r="E238" s="206">
        <f>+'Havelvats 2 '!H217</f>
        <v>281.0000000000291</v>
      </c>
      <c r="F238" s="206">
        <f>+'Havelvats 2 '!I217</f>
        <v>302.10000000003492</v>
      </c>
      <c r="G238" s="206">
        <f>+'Havelvats 2 '!J217</f>
        <v>-192441.69999999995</v>
      </c>
    </row>
    <row r="239" spans="2:7" s="39" customFormat="1" ht="9.85" customHeight="1"/>
    <row r="240" spans="2:7" s="39" customFormat="1">
      <c r="B240" s="788" t="s">
        <v>3</v>
      </c>
      <c r="C240" s="789"/>
      <c r="D240" s="451"/>
      <c r="E240" s="451"/>
      <c r="F240" s="451"/>
      <c r="G240" s="451"/>
    </row>
    <row r="241" spans="2:7" s="39" customFormat="1" ht="58.4" customHeight="1">
      <c r="B241" s="194" t="s">
        <v>51</v>
      </c>
      <c r="C241" s="77">
        <v>1183</v>
      </c>
      <c r="D241" s="644" t="s">
        <v>246</v>
      </c>
      <c r="E241" s="645"/>
      <c r="F241" s="645"/>
      <c r="G241" s="646"/>
    </row>
    <row r="242" spans="2:7" s="39" customFormat="1" ht="36">
      <c r="B242" s="49" t="s">
        <v>52</v>
      </c>
      <c r="C242" s="77">
        <v>32003</v>
      </c>
      <c r="D242" s="195" t="s">
        <v>428</v>
      </c>
      <c r="E242" s="195" t="s">
        <v>12</v>
      </c>
      <c r="F242" s="195" t="s">
        <v>13</v>
      </c>
      <c r="G242" s="195" t="s">
        <v>14</v>
      </c>
    </row>
    <row r="243" spans="2:7" s="39" customFormat="1" ht="36">
      <c r="B243" s="49" t="s">
        <v>53</v>
      </c>
      <c r="C243" s="196" t="s">
        <v>450</v>
      </c>
      <c r="D243" s="790"/>
      <c r="E243" s="790"/>
      <c r="F243" s="790"/>
      <c r="G243" s="790"/>
    </row>
    <row r="244" spans="2:7" s="39" customFormat="1" ht="36">
      <c r="B244" s="49" t="s">
        <v>54</v>
      </c>
      <c r="C244" s="196" t="s">
        <v>451</v>
      </c>
      <c r="D244" s="791"/>
      <c r="E244" s="791"/>
      <c r="F244" s="791"/>
      <c r="G244" s="791"/>
    </row>
    <row r="245" spans="2:7" s="39" customFormat="1" ht="36">
      <c r="B245" s="49" t="s">
        <v>55</v>
      </c>
      <c r="C245" s="222" t="s">
        <v>215</v>
      </c>
      <c r="D245" s="791"/>
      <c r="E245" s="791"/>
      <c r="F245" s="791"/>
      <c r="G245" s="791"/>
    </row>
    <row r="246" spans="2:7" s="39" customFormat="1" ht="54">
      <c r="B246" s="49" t="s">
        <v>231</v>
      </c>
      <c r="C246" s="222" t="s">
        <v>452</v>
      </c>
      <c r="D246" s="791"/>
      <c r="E246" s="791"/>
      <c r="F246" s="791"/>
      <c r="G246" s="791"/>
    </row>
    <row r="247" spans="2:7" s="39" customFormat="1">
      <c r="B247" s="628" t="s">
        <v>56</v>
      </c>
      <c r="C247" s="628"/>
      <c r="D247" s="627"/>
      <c r="E247" s="627"/>
      <c r="F247" s="627"/>
      <c r="G247" s="627"/>
    </row>
    <row r="248" spans="2:7" ht="16.8" customHeight="1">
      <c r="B248" s="742" t="s">
        <v>443</v>
      </c>
      <c r="C248" s="743"/>
      <c r="D248" s="537">
        <v>-15</v>
      </c>
      <c r="E248" s="537">
        <v>-11</v>
      </c>
      <c r="F248" s="537">
        <v>-11</v>
      </c>
      <c r="G248" s="537">
        <v>-11</v>
      </c>
    </row>
    <row r="249" spans="2:7" ht="16.8" customHeight="1">
      <c r="B249" s="742" t="s">
        <v>522</v>
      </c>
      <c r="C249" s="743"/>
      <c r="D249" s="536">
        <v>15</v>
      </c>
      <c r="E249" s="536">
        <v>11</v>
      </c>
      <c r="F249" s="536">
        <v>11</v>
      </c>
      <c r="G249" s="536">
        <v>11</v>
      </c>
    </row>
    <row r="250" spans="2:7" ht="33.15" customHeight="1">
      <c r="B250" s="742" t="s">
        <v>420</v>
      </c>
      <c r="C250" s="743"/>
      <c r="D250" s="536"/>
      <c r="E250" s="536"/>
      <c r="F250" s="536"/>
      <c r="G250" s="536">
        <v>3</v>
      </c>
    </row>
    <row r="251" spans="2:7" s="39" customFormat="1">
      <c r="B251" s="205" t="s">
        <v>57</v>
      </c>
      <c r="C251" s="205"/>
      <c r="D251" s="206">
        <f>+'Havelvats 2 '!G226</f>
        <v>-36111.300000000047</v>
      </c>
      <c r="E251" s="206">
        <f>+'Havelvats 2 '!H226</f>
        <v>0</v>
      </c>
      <c r="F251" s="206">
        <f>+'Havelvats 2 '!I226</f>
        <v>882692.4</v>
      </c>
      <c r="G251" s="206">
        <f>+'Havelvats 2 '!J226</f>
        <v>2257855.6000000006</v>
      </c>
    </row>
    <row r="252" spans="2:7" s="39" customFormat="1" ht="9.85" customHeight="1"/>
    <row r="253" spans="2:7" s="39" customFormat="1">
      <c r="B253" s="788" t="s">
        <v>3</v>
      </c>
      <c r="C253" s="789"/>
      <c r="D253" s="451"/>
      <c r="E253" s="451"/>
      <c r="F253" s="451"/>
      <c r="G253" s="451"/>
    </row>
    <row r="254" spans="2:7" s="39" customFormat="1" ht="58.4" customHeight="1">
      <c r="B254" s="194" t="s">
        <v>51</v>
      </c>
      <c r="C254" s="77">
        <v>1183</v>
      </c>
      <c r="D254" s="644" t="s">
        <v>167</v>
      </c>
      <c r="E254" s="645"/>
      <c r="F254" s="645"/>
      <c r="G254" s="646"/>
    </row>
    <row r="255" spans="2:7" s="39" customFormat="1" ht="36">
      <c r="B255" s="49" t="s">
        <v>52</v>
      </c>
      <c r="C255" s="77">
        <v>32007</v>
      </c>
      <c r="D255" s="195" t="s">
        <v>428</v>
      </c>
      <c r="E255" s="195" t="s">
        <v>12</v>
      </c>
      <c r="F255" s="195" t="s">
        <v>13</v>
      </c>
      <c r="G255" s="195" t="s">
        <v>14</v>
      </c>
    </row>
    <row r="256" spans="2:7" s="39" customFormat="1" ht="36">
      <c r="B256" s="49" t="s">
        <v>53</v>
      </c>
      <c r="C256" s="196" t="s">
        <v>453</v>
      </c>
      <c r="D256" s="790"/>
      <c r="E256" s="790"/>
      <c r="F256" s="790"/>
      <c r="G256" s="790"/>
    </row>
    <row r="257" spans="2:7" s="39" customFormat="1" ht="54">
      <c r="B257" s="49" t="s">
        <v>54</v>
      </c>
      <c r="C257" s="196" t="s">
        <v>454</v>
      </c>
      <c r="D257" s="791"/>
      <c r="E257" s="791"/>
      <c r="F257" s="791"/>
      <c r="G257" s="791"/>
    </row>
    <row r="258" spans="2:7" s="39" customFormat="1" ht="36">
      <c r="B258" s="49" t="s">
        <v>55</v>
      </c>
      <c r="C258" s="222" t="s">
        <v>215</v>
      </c>
      <c r="D258" s="791"/>
      <c r="E258" s="791"/>
      <c r="F258" s="791"/>
      <c r="G258" s="791"/>
    </row>
    <row r="259" spans="2:7" s="39" customFormat="1" ht="54">
      <c r="B259" s="49" t="s">
        <v>231</v>
      </c>
      <c r="C259" s="222" t="s">
        <v>230</v>
      </c>
      <c r="D259" s="791"/>
      <c r="E259" s="791"/>
      <c r="F259" s="791"/>
      <c r="G259" s="791"/>
    </row>
    <row r="260" spans="2:7" s="39" customFormat="1">
      <c r="B260" s="628" t="s">
        <v>56</v>
      </c>
      <c r="C260" s="628"/>
      <c r="D260" s="627"/>
      <c r="E260" s="627"/>
      <c r="F260" s="627"/>
      <c r="G260" s="627"/>
    </row>
    <row r="261" spans="2:7" ht="33.15" customHeight="1">
      <c r="B261" s="742" t="s">
        <v>420</v>
      </c>
      <c r="C261" s="743"/>
      <c r="D261" s="498"/>
      <c r="E261" s="498"/>
      <c r="F261" s="498"/>
      <c r="G261" s="537">
        <v>-17</v>
      </c>
    </row>
    <row r="262" spans="2:7" s="39" customFormat="1">
      <c r="B262" s="205" t="s">
        <v>57</v>
      </c>
      <c r="C262" s="205"/>
      <c r="D262" s="206">
        <f>+'Havelvats 2 '!G237</f>
        <v>0</v>
      </c>
      <c r="E262" s="206">
        <f>+'Havelvats 2 '!H237</f>
        <v>0</v>
      </c>
      <c r="F262" s="206">
        <f>+'Havelvats 2 '!I237</f>
        <v>-750652.10000000009</v>
      </c>
      <c r="G262" s="206">
        <f>+'Havelvats 2 '!J237</f>
        <v>-853876.50000000012</v>
      </c>
    </row>
    <row r="263" spans="2:7" s="39" customFormat="1" ht="9.85" customHeight="1"/>
    <row r="264" spans="2:7" s="39" customFormat="1">
      <c r="B264" s="788" t="s">
        <v>3</v>
      </c>
      <c r="C264" s="789"/>
      <c r="D264" s="451"/>
      <c r="E264" s="451"/>
      <c r="F264" s="451"/>
      <c r="G264" s="451"/>
    </row>
    <row r="265" spans="2:7" s="39" customFormat="1" ht="58.4" customHeight="1">
      <c r="B265" s="194" t="s">
        <v>51</v>
      </c>
      <c r="C265" s="77">
        <v>1183</v>
      </c>
      <c r="D265" s="644" t="s">
        <v>167</v>
      </c>
      <c r="E265" s="645"/>
      <c r="F265" s="645"/>
      <c r="G265" s="646"/>
    </row>
    <row r="266" spans="2:7" s="39" customFormat="1" ht="36">
      <c r="B266" s="49" t="s">
        <v>52</v>
      </c>
      <c r="C266" s="77">
        <v>32009</v>
      </c>
      <c r="D266" s="195" t="s">
        <v>428</v>
      </c>
      <c r="E266" s="195" t="s">
        <v>12</v>
      </c>
      <c r="F266" s="195" t="s">
        <v>13</v>
      </c>
      <c r="G266" s="195" t="s">
        <v>14</v>
      </c>
    </row>
    <row r="267" spans="2:7" s="39" customFormat="1" ht="36">
      <c r="B267" s="49" t="s">
        <v>53</v>
      </c>
      <c r="C267" s="196" t="s">
        <v>455</v>
      </c>
      <c r="D267" s="790"/>
      <c r="E267" s="790"/>
      <c r="F267" s="790"/>
      <c r="G267" s="790"/>
    </row>
    <row r="268" spans="2:7" s="39" customFormat="1" ht="54">
      <c r="B268" s="49" t="s">
        <v>54</v>
      </c>
      <c r="C268" s="196" t="s">
        <v>456</v>
      </c>
      <c r="D268" s="791"/>
      <c r="E268" s="791"/>
      <c r="F268" s="791"/>
      <c r="G268" s="791"/>
    </row>
    <row r="269" spans="2:7" s="39" customFormat="1" ht="36">
      <c r="B269" s="49" t="s">
        <v>55</v>
      </c>
      <c r="C269" s="222" t="s">
        <v>215</v>
      </c>
      <c r="D269" s="791"/>
      <c r="E269" s="791"/>
      <c r="F269" s="791"/>
      <c r="G269" s="791"/>
    </row>
    <row r="270" spans="2:7" s="39" customFormat="1" ht="54">
      <c r="B270" s="49" t="s">
        <v>231</v>
      </c>
      <c r="C270" s="222" t="s">
        <v>230</v>
      </c>
      <c r="D270" s="791"/>
      <c r="E270" s="791"/>
      <c r="F270" s="791"/>
      <c r="G270" s="791"/>
    </row>
    <row r="271" spans="2:7" s="39" customFormat="1">
      <c r="B271" s="628" t="s">
        <v>56</v>
      </c>
      <c r="C271" s="628"/>
      <c r="D271" s="627"/>
      <c r="E271" s="627"/>
      <c r="F271" s="627"/>
      <c r="G271" s="627"/>
    </row>
    <row r="272" spans="2:7" ht="33.15" customHeight="1">
      <c r="B272" s="742" t="s">
        <v>420</v>
      </c>
      <c r="C272" s="743"/>
      <c r="D272" s="498"/>
      <c r="E272" s="498"/>
      <c r="F272" s="498"/>
      <c r="G272" s="537">
        <v>-4</v>
      </c>
    </row>
    <row r="273" spans="1:7" s="39" customFormat="1">
      <c r="B273" s="205" t="s">
        <v>57</v>
      </c>
      <c r="C273" s="205"/>
      <c r="D273" s="206">
        <f>+'Havelvats 2 '!G246</f>
        <v>0</v>
      </c>
      <c r="E273" s="206">
        <f>+'Havelvats 2 '!H246</f>
        <v>0</v>
      </c>
      <c r="F273" s="206">
        <f>+'Havelvats 2 '!I246</f>
        <v>-132040.29999999999</v>
      </c>
      <c r="G273" s="206">
        <f>+'Havelvats 2 '!J246</f>
        <v>-108596.30000000006</v>
      </c>
    </row>
    <row r="274" spans="1:7" s="447" customFormat="1" ht="9.85" customHeight="1"/>
    <row r="275" spans="1:7" s="447" customFormat="1" ht="9.85" customHeight="1"/>
    <row r="277" spans="1:7">
      <c r="A277" s="747" t="s">
        <v>523</v>
      </c>
      <c r="B277" s="747"/>
      <c r="C277" s="747"/>
      <c r="D277" s="747"/>
      <c r="E277" s="747"/>
      <c r="F277" s="747"/>
      <c r="G277" s="747"/>
    </row>
    <row r="278" spans="1:7">
      <c r="B278" s="16"/>
      <c r="C278" s="225" t="s">
        <v>63</v>
      </c>
      <c r="D278" s="16"/>
      <c r="E278" s="16"/>
      <c r="F278" s="16"/>
      <c r="G278" s="184"/>
    </row>
    <row r="279" spans="1:7">
      <c r="B279" s="226" t="s">
        <v>460</v>
      </c>
      <c r="C279" s="227"/>
      <c r="D279" s="227"/>
      <c r="E279" s="227"/>
      <c r="F279" s="227"/>
      <c r="G279" s="228"/>
    </row>
    <row r="280" spans="1:7">
      <c r="B280" s="144"/>
      <c r="C280" s="144"/>
      <c r="D280" s="229"/>
      <c r="E280" s="229"/>
      <c r="F280" s="229"/>
      <c r="G280" s="229"/>
    </row>
    <row r="281" spans="1:7">
      <c r="B281" s="144"/>
      <c r="C281" s="144"/>
      <c r="D281" s="209"/>
      <c r="E281" s="209"/>
      <c r="F281" s="209"/>
      <c r="G281" s="209"/>
    </row>
    <row r="282" spans="1:7">
      <c r="B282" s="200" t="s">
        <v>1</v>
      </c>
      <c r="C282" s="200" t="s">
        <v>2</v>
      </c>
      <c r="D282" s="209"/>
      <c r="E282" s="209"/>
      <c r="F282" s="209"/>
      <c r="G282" s="209"/>
    </row>
    <row r="283" spans="1:7">
      <c r="B283" s="201">
        <v>1139</v>
      </c>
      <c r="C283" s="210" t="s">
        <v>117</v>
      </c>
      <c r="D283" s="211"/>
      <c r="E283" s="211"/>
      <c r="F283" s="211"/>
      <c r="G283" s="211"/>
    </row>
    <row r="284" spans="1:7" ht="33.85">
      <c r="B284" s="230" t="s">
        <v>3</v>
      </c>
      <c r="C284" s="144"/>
      <c r="D284" s="209"/>
      <c r="E284" s="209"/>
      <c r="F284" s="209"/>
      <c r="G284" s="209"/>
    </row>
    <row r="285" spans="1:7" s="39" customFormat="1" ht="58.4" customHeight="1">
      <c r="B285" s="194" t="s">
        <v>4</v>
      </c>
      <c r="C285" s="77">
        <v>1139</v>
      </c>
      <c r="D285" s="644" t="s">
        <v>167</v>
      </c>
      <c r="E285" s="645"/>
      <c r="F285" s="645"/>
      <c r="G285" s="646"/>
    </row>
    <row r="286" spans="1:7" ht="36">
      <c r="B286" s="231" t="s">
        <v>5</v>
      </c>
      <c r="C286" s="232">
        <v>11001</v>
      </c>
      <c r="D286" s="195" t="s">
        <v>428</v>
      </c>
      <c r="E286" s="195" t="s">
        <v>12</v>
      </c>
      <c r="F286" s="195" t="s">
        <v>13</v>
      </c>
      <c r="G286" s="195" t="s">
        <v>14</v>
      </c>
    </row>
    <row r="287" spans="1:7" ht="36">
      <c r="B287" s="231" t="s">
        <v>6</v>
      </c>
      <c r="C287" s="196" t="s">
        <v>117</v>
      </c>
      <c r="D287" s="633"/>
      <c r="E287" s="633"/>
      <c r="F287" s="633"/>
      <c r="G287" s="633"/>
    </row>
    <row r="288" spans="1:7" ht="72">
      <c r="B288" s="231" t="s">
        <v>10</v>
      </c>
      <c r="C288" s="196" t="s">
        <v>118</v>
      </c>
      <c r="D288" s="634"/>
      <c r="E288" s="634"/>
      <c r="F288" s="634"/>
      <c r="G288" s="634"/>
    </row>
    <row r="289" spans="2:7">
      <c r="B289" s="231" t="s">
        <v>7</v>
      </c>
      <c r="C289" s="196" t="s">
        <v>84</v>
      </c>
      <c r="D289" s="634"/>
      <c r="E289" s="634"/>
      <c r="F289" s="634"/>
      <c r="G289" s="634"/>
    </row>
    <row r="290" spans="2:7" ht="54">
      <c r="B290" s="114" t="s">
        <v>50</v>
      </c>
      <c r="C290" s="196" t="s">
        <v>63</v>
      </c>
      <c r="D290" s="634"/>
      <c r="E290" s="634"/>
      <c r="F290" s="634"/>
      <c r="G290" s="634"/>
    </row>
    <row r="291" spans="2:7">
      <c r="B291" s="233"/>
      <c r="C291" s="234" t="s">
        <v>0</v>
      </c>
      <c r="D291" s="635"/>
      <c r="E291" s="635"/>
      <c r="F291" s="635"/>
      <c r="G291" s="635"/>
    </row>
    <row r="292" spans="2:7">
      <c r="B292" s="746" t="s">
        <v>8</v>
      </c>
      <c r="C292" s="746"/>
      <c r="D292" s="138">
        <f>+'Havelvats 2 '!G276</f>
        <v>81178.2</v>
      </c>
      <c r="E292" s="138">
        <f>+'Havelvats 2 '!H276</f>
        <v>213948.3</v>
      </c>
      <c r="F292" s="138">
        <f>+'Havelvats 2 '!I276</f>
        <v>511599.8</v>
      </c>
      <c r="G292" s="138">
        <f>+'Havelvats 2 '!J276</f>
        <v>709475.70000000007</v>
      </c>
    </row>
    <row r="293" spans="2:7">
      <c r="B293" s="748"/>
      <c r="C293" s="749"/>
      <c r="D293" s="750"/>
      <c r="E293" s="749"/>
      <c r="F293" s="749"/>
      <c r="G293" s="751"/>
    </row>
    <row r="294" spans="2:7" s="39" customFormat="1" ht="58.4" customHeight="1">
      <c r="B294" s="194" t="s">
        <v>4</v>
      </c>
      <c r="C294" s="77">
        <v>1139</v>
      </c>
      <c r="D294" s="644" t="s">
        <v>434</v>
      </c>
      <c r="E294" s="645"/>
      <c r="F294" s="645"/>
      <c r="G294" s="646"/>
    </row>
    <row r="295" spans="2:7" ht="36">
      <c r="B295" s="231" t="s">
        <v>5</v>
      </c>
      <c r="C295" s="232">
        <v>11001</v>
      </c>
      <c r="D295" s="195" t="s">
        <v>428</v>
      </c>
      <c r="E295" s="195" t="s">
        <v>12</v>
      </c>
      <c r="F295" s="195" t="s">
        <v>13</v>
      </c>
      <c r="G295" s="195" t="s">
        <v>14</v>
      </c>
    </row>
    <row r="296" spans="2:7" ht="36">
      <c r="B296" s="231" t="s">
        <v>6</v>
      </c>
      <c r="C296" s="196" t="s">
        <v>117</v>
      </c>
      <c r="D296" s="633"/>
      <c r="E296" s="633"/>
      <c r="F296" s="633"/>
      <c r="G296" s="633"/>
    </row>
    <row r="297" spans="2:7" ht="72">
      <c r="B297" s="231" t="s">
        <v>10</v>
      </c>
      <c r="C297" s="196" t="s">
        <v>118</v>
      </c>
      <c r="D297" s="634"/>
      <c r="E297" s="634"/>
      <c r="F297" s="634"/>
      <c r="G297" s="634"/>
    </row>
    <row r="298" spans="2:7">
      <c r="B298" s="231" t="s">
        <v>7</v>
      </c>
      <c r="C298" s="196" t="s">
        <v>84</v>
      </c>
      <c r="D298" s="634"/>
      <c r="E298" s="634"/>
      <c r="F298" s="634"/>
      <c r="G298" s="634"/>
    </row>
    <row r="299" spans="2:7" ht="54">
      <c r="B299" s="114" t="s">
        <v>50</v>
      </c>
      <c r="C299" s="196" t="s">
        <v>63</v>
      </c>
      <c r="D299" s="634"/>
      <c r="E299" s="634"/>
      <c r="F299" s="634"/>
      <c r="G299" s="634"/>
    </row>
    <row r="300" spans="2:7">
      <c r="B300" s="233"/>
      <c r="C300" s="234" t="s">
        <v>0</v>
      </c>
      <c r="D300" s="635"/>
      <c r="E300" s="635"/>
      <c r="F300" s="635"/>
      <c r="G300" s="635"/>
    </row>
    <row r="301" spans="2:7">
      <c r="B301" s="746" t="s">
        <v>8</v>
      </c>
      <c r="C301" s="746"/>
      <c r="D301" s="99">
        <f>+'Havelvats 2 '!G284</f>
        <v>-12054.3</v>
      </c>
      <c r="E301" s="99">
        <f>+'Havelvats 2 '!H284</f>
        <v>-213948.3</v>
      </c>
      <c r="F301" s="99">
        <f>+'Havelvats 2 '!I284</f>
        <v>-511599.8</v>
      </c>
      <c r="G301" s="99">
        <f>+'Havelvats 2 '!J284</f>
        <v>-709475.70000000007</v>
      </c>
    </row>
  </sheetData>
  <mergeCells count="193">
    <mergeCell ref="D287:D291"/>
    <mergeCell ref="E287:E291"/>
    <mergeCell ref="F287:F291"/>
    <mergeCell ref="G287:G291"/>
    <mergeCell ref="B253:C253"/>
    <mergeCell ref="D241:G241"/>
    <mergeCell ref="D243:D247"/>
    <mergeCell ref="E243:E247"/>
    <mergeCell ref="F243:F247"/>
    <mergeCell ref="D265:G265"/>
    <mergeCell ref="B272:C272"/>
    <mergeCell ref="B301:C301"/>
    <mergeCell ref="C181:G181"/>
    <mergeCell ref="B184:C184"/>
    <mergeCell ref="D185:G185"/>
    <mergeCell ref="D187:D191"/>
    <mergeCell ref="E187:E191"/>
    <mergeCell ref="F187:F191"/>
    <mergeCell ref="G187:G191"/>
    <mergeCell ref="B191:C191"/>
    <mergeCell ref="B192:C192"/>
    <mergeCell ref="B292:C292"/>
    <mergeCell ref="B293:G293"/>
    <mergeCell ref="D294:G294"/>
    <mergeCell ref="D296:D300"/>
    <mergeCell ref="E296:E300"/>
    <mergeCell ref="F296:F300"/>
    <mergeCell ref="G296:G300"/>
    <mergeCell ref="A277:G277"/>
    <mergeCell ref="D285:G285"/>
    <mergeCell ref="E223:E227"/>
    <mergeCell ref="F223:F227"/>
    <mergeCell ref="G223:G227"/>
    <mergeCell ref="B227:C227"/>
    <mergeCell ref="B247:C247"/>
    <mergeCell ref="E173:E177"/>
    <mergeCell ref="D195:G195"/>
    <mergeCell ref="D197:D201"/>
    <mergeCell ref="D267:D271"/>
    <mergeCell ref="E267:E271"/>
    <mergeCell ref="F267:F271"/>
    <mergeCell ref="G267:G271"/>
    <mergeCell ref="B271:C271"/>
    <mergeCell ref="D231:G231"/>
    <mergeCell ref="D233:D237"/>
    <mergeCell ref="E233:E237"/>
    <mergeCell ref="F233:F237"/>
    <mergeCell ref="G233:G237"/>
    <mergeCell ref="B237:C237"/>
    <mergeCell ref="E197:E201"/>
    <mergeCell ref="F197:F201"/>
    <mergeCell ref="G197:G201"/>
    <mergeCell ref="B201:C201"/>
    <mergeCell ref="B240:C240"/>
    <mergeCell ref="G243:G247"/>
    <mergeCell ref="F173:F177"/>
    <mergeCell ref="G173:G177"/>
    <mergeCell ref="B177:C177"/>
    <mergeCell ref="C167:G167"/>
    <mergeCell ref="B230:C230"/>
    <mergeCell ref="B129:C129"/>
    <mergeCell ref="B202:C202"/>
    <mergeCell ref="B264:C264"/>
    <mergeCell ref="B170:C170"/>
    <mergeCell ref="D171:G171"/>
    <mergeCell ref="B194:C194"/>
    <mergeCell ref="B178:C178"/>
    <mergeCell ref="B248:C248"/>
    <mergeCell ref="B249:C249"/>
    <mergeCell ref="B250:C250"/>
    <mergeCell ref="B261:C261"/>
    <mergeCell ref="D254:G254"/>
    <mergeCell ref="D256:D260"/>
    <mergeCell ref="E256:E260"/>
    <mergeCell ref="F256:F260"/>
    <mergeCell ref="G256:G260"/>
    <mergeCell ref="B260:C260"/>
    <mergeCell ref="C217:G217"/>
    <mergeCell ref="B220:C220"/>
    <mergeCell ref="D221:G221"/>
    <mergeCell ref="D223:D227"/>
    <mergeCell ref="D173:D177"/>
    <mergeCell ref="D124:D128"/>
    <mergeCell ref="E124:E128"/>
    <mergeCell ref="F124:F128"/>
    <mergeCell ref="G124:G128"/>
    <mergeCell ref="B128:C128"/>
    <mergeCell ref="E145:E149"/>
    <mergeCell ref="B137:G137"/>
    <mergeCell ref="A135:G135"/>
    <mergeCell ref="B133:F133"/>
    <mergeCell ref="B130:C130"/>
    <mergeCell ref="E1:G1"/>
    <mergeCell ref="B5:G5"/>
    <mergeCell ref="A7:G7"/>
    <mergeCell ref="B9:G9"/>
    <mergeCell ref="B15:C15"/>
    <mergeCell ref="D16:G16"/>
    <mergeCell ref="D18:D22"/>
    <mergeCell ref="E18:E22"/>
    <mergeCell ref="F18:F22"/>
    <mergeCell ref="G18:G22"/>
    <mergeCell ref="B22:C22"/>
    <mergeCell ref="B23:C23"/>
    <mergeCell ref="B29:C29"/>
    <mergeCell ref="D30:G30"/>
    <mergeCell ref="D32:D36"/>
    <mergeCell ref="E32:E36"/>
    <mergeCell ref="F32:F36"/>
    <mergeCell ref="G32:G36"/>
    <mergeCell ref="B36:C36"/>
    <mergeCell ref="B37:C37"/>
    <mergeCell ref="B38:C38"/>
    <mergeCell ref="B39:C39"/>
    <mergeCell ref="B88:C88"/>
    <mergeCell ref="B205:C205"/>
    <mergeCell ref="D206:G206"/>
    <mergeCell ref="D208:D212"/>
    <mergeCell ref="E208:E212"/>
    <mergeCell ref="F208:F212"/>
    <mergeCell ref="G208:G212"/>
    <mergeCell ref="B212:C212"/>
    <mergeCell ref="B42:C42"/>
    <mergeCell ref="D43:G43"/>
    <mergeCell ref="D45:D49"/>
    <mergeCell ref="E45:E49"/>
    <mergeCell ref="F45:F49"/>
    <mergeCell ref="G45:G49"/>
    <mergeCell ref="B49:C49"/>
    <mergeCell ref="B50:C50"/>
    <mergeCell ref="B51:C51"/>
    <mergeCell ref="C77:G77"/>
    <mergeCell ref="B80:C80"/>
    <mergeCell ref="D81:G81"/>
    <mergeCell ref="D83:D87"/>
    <mergeCell ref="E83:E87"/>
    <mergeCell ref="C54:G54"/>
    <mergeCell ref="B57:C57"/>
    <mergeCell ref="D58:G58"/>
    <mergeCell ref="D60:D64"/>
    <mergeCell ref="E60:E64"/>
    <mergeCell ref="F60:F64"/>
    <mergeCell ref="G60:G64"/>
    <mergeCell ref="B64:C64"/>
    <mergeCell ref="B67:C67"/>
    <mergeCell ref="B214:C214"/>
    <mergeCell ref="C91:G91"/>
    <mergeCell ref="D95:G95"/>
    <mergeCell ref="D97:D101"/>
    <mergeCell ref="E97:E101"/>
    <mergeCell ref="F97:F101"/>
    <mergeCell ref="B142:C142"/>
    <mergeCell ref="D143:G143"/>
    <mergeCell ref="G97:G101"/>
    <mergeCell ref="B101:C101"/>
    <mergeCell ref="B115:C115"/>
    <mergeCell ref="D110:D114"/>
    <mergeCell ref="E110:E114"/>
    <mergeCell ref="F110:F114"/>
    <mergeCell ref="G110:G114"/>
    <mergeCell ref="B114:C114"/>
    <mergeCell ref="D108:G108"/>
    <mergeCell ref="B103:C103"/>
    <mergeCell ref="B104:C104"/>
    <mergeCell ref="B151:C151"/>
    <mergeCell ref="B150:C150"/>
    <mergeCell ref="F145:F149"/>
    <mergeCell ref="G145:G149"/>
    <mergeCell ref="B157:C157"/>
    <mergeCell ref="D68:G68"/>
    <mergeCell ref="D70:D74"/>
    <mergeCell ref="E70:E74"/>
    <mergeCell ref="F70:F74"/>
    <mergeCell ref="G70:G74"/>
    <mergeCell ref="B74:C74"/>
    <mergeCell ref="B213:C213"/>
    <mergeCell ref="B164:C164"/>
    <mergeCell ref="F83:F87"/>
    <mergeCell ref="G83:G87"/>
    <mergeCell ref="B87:C87"/>
    <mergeCell ref="B102:C102"/>
    <mergeCell ref="B107:C107"/>
    <mergeCell ref="D145:D149"/>
    <mergeCell ref="B94:C94"/>
    <mergeCell ref="D158:G158"/>
    <mergeCell ref="D160:D164"/>
    <mergeCell ref="E160:E164"/>
    <mergeCell ref="F160:F164"/>
    <mergeCell ref="G160:G164"/>
    <mergeCell ref="B149:C149"/>
    <mergeCell ref="C118:G118"/>
    <mergeCell ref="B121:C121"/>
    <mergeCell ref="D122:G12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4"/>
  <sheetViews>
    <sheetView zoomScale="70" zoomScaleNormal="70" workbookViewId="0">
      <selection activeCell="I169" sqref="I169"/>
    </sheetView>
  </sheetViews>
  <sheetFormatPr defaultColWidth="9.296875" defaultRowHeight="18"/>
  <cols>
    <col min="1" max="4" width="18.296875" style="159" customWidth="1"/>
    <col min="5" max="6" width="14.296875" style="159" customWidth="1"/>
    <col min="7" max="7" width="18.296875" style="236" bestFit="1" customWidth="1"/>
    <col min="8" max="8" width="14.296875" style="159" customWidth="1"/>
    <col min="9" max="9" width="30.296875" style="159" customWidth="1"/>
    <col min="10" max="10" width="15.69921875" style="159" customWidth="1"/>
    <col min="11" max="11" width="11.59765625" style="159" customWidth="1"/>
    <col min="12" max="12" width="9.296875" style="159"/>
    <col min="13" max="14" width="11" style="159" bestFit="1" customWidth="1"/>
    <col min="15" max="16384" width="9.296875" style="159"/>
  </cols>
  <sheetData>
    <row r="1" spans="1:12" ht="37.5" customHeight="1">
      <c r="H1" s="763" t="s">
        <v>166</v>
      </c>
      <c r="I1" s="763"/>
    </row>
    <row r="2" spans="1:12" ht="17.350000000000001" customHeight="1">
      <c r="H2" s="843" t="s">
        <v>533</v>
      </c>
      <c r="I2" s="843"/>
    </row>
    <row r="3" spans="1:12" ht="17.350000000000001" customHeight="1">
      <c r="H3" s="843" t="s">
        <v>9</v>
      </c>
      <c r="I3" s="843"/>
    </row>
    <row r="4" spans="1:12" ht="13.5" customHeight="1">
      <c r="I4" s="317"/>
      <c r="J4" s="236"/>
      <c r="K4" s="236"/>
      <c r="L4" s="236"/>
    </row>
    <row r="5" spans="1:12" ht="42.85" customHeight="1">
      <c r="A5" s="765" t="s">
        <v>531</v>
      </c>
      <c r="B5" s="765"/>
      <c r="C5" s="765"/>
      <c r="D5" s="765"/>
      <c r="E5" s="765"/>
      <c r="F5" s="765"/>
      <c r="G5" s="765"/>
      <c r="H5" s="765"/>
      <c r="I5" s="765"/>
    </row>
    <row r="6" spans="1:12" ht="15.85" customHeight="1">
      <c r="A6" s="838"/>
      <c r="B6" s="838"/>
      <c r="C6" s="838"/>
      <c r="D6" s="838"/>
      <c r="E6" s="838"/>
      <c r="F6" s="838"/>
      <c r="G6" s="838"/>
      <c r="H6" s="838"/>
      <c r="I6" s="838"/>
    </row>
    <row r="7" spans="1:12" ht="101.35" customHeight="1">
      <c r="A7" s="839" t="s">
        <v>122</v>
      </c>
      <c r="B7" s="825" t="s">
        <v>123</v>
      </c>
      <c r="C7" s="826"/>
      <c r="D7" s="827"/>
      <c r="E7" s="839" t="s">
        <v>124</v>
      </c>
      <c r="F7" s="839" t="s">
        <v>125</v>
      </c>
      <c r="G7" s="840" t="s">
        <v>126</v>
      </c>
      <c r="H7" s="841" t="s">
        <v>34</v>
      </c>
      <c r="I7" s="842"/>
    </row>
    <row r="8" spans="1:12" ht="35.35" customHeight="1">
      <c r="A8" s="839"/>
      <c r="B8" s="828"/>
      <c r="C8" s="829"/>
      <c r="D8" s="830"/>
      <c r="E8" s="839"/>
      <c r="F8" s="839"/>
      <c r="G8" s="840"/>
      <c r="H8" s="237" t="s">
        <v>127</v>
      </c>
      <c r="I8" s="238" t="s">
        <v>128</v>
      </c>
      <c r="J8" s="476"/>
    </row>
    <row r="9" spans="1:12">
      <c r="A9" s="239">
        <v>1</v>
      </c>
      <c r="B9" s="835">
        <v>2</v>
      </c>
      <c r="C9" s="836"/>
      <c r="D9" s="837"/>
      <c r="E9" s="240">
        <v>3</v>
      </c>
      <c r="F9" s="240">
        <v>4</v>
      </c>
      <c r="G9" s="513">
        <v>5</v>
      </c>
      <c r="H9" s="240">
        <v>6</v>
      </c>
      <c r="I9" s="241">
        <v>7</v>
      </c>
      <c r="J9" s="550"/>
    </row>
    <row r="10" spans="1:12" s="40" customFormat="1" ht="45" customHeight="1">
      <c r="A10" s="844" t="s">
        <v>59</v>
      </c>
      <c r="B10" s="844"/>
      <c r="C10" s="844"/>
      <c r="D10" s="844"/>
      <c r="E10" s="844"/>
      <c r="F10" s="844"/>
      <c r="G10" s="844"/>
      <c r="H10" s="844"/>
      <c r="I10" s="546">
        <f>+I11+I18+I29+I51</f>
        <v>-858702.4</v>
      </c>
      <c r="J10" s="547"/>
    </row>
    <row r="11" spans="1:12" s="40" customFormat="1">
      <c r="A11" s="548" t="s">
        <v>241</v>
      </c>
      <c r="B11" s="548" t="s">
        <v>242</v>
      </c>
      <c r="C11" s="548" t="s">
        <v>488</v>
      </c>
      <c r="D11" s="817" t="s">
        <v>487</v>
      </c>
      <c r="E11" s="818"/>
      <c r="F11" s="818"/>
      <c r="G11" s="818"/>
      <c r="H11" s="819"/>
      <c r="I11" s="549">
        <f>+I12</f>
        <v>80362.3</v>
      </c>
      <c r="J11" s="547"/>
    </row>
    <row r="12" spans="1:12" s="395" customFormat="1" ht="54.85" customHeight="1">
      <c r="A12" s="392" t="s">
        <v>486</v>
      </c>
      <c r="B12" s="812" t="s">
        <v>392</v>
      </c>
      <c r="C12" s="812"/>
      <c r="D12" s="812"/>
      <c r="E12" s="812"/>
      <c r="F12" s="812"/>
      <c r="G12" s="812"/>
      <c r="H12" s="812"/>
      <c r="I12" s="394">
        <f>+I13+I15</f>
        <v>80362.3</v>
      </c>
    </row>
    <row r="13" spans="1:12" s="460" customFormat="1" ht="20.75" customHeight="1">
      <c r="A13" s="542"/>
      <c r="B13" s="822" t="s">
        <v>133</v>
      </c>
      <c r="C13" s="823"/>
      <c r="D13" s="824"/>
      <c r="E13" s="525"/>
      <c r="F13" s="525"/>
      <c r="G13" s="525"/>
      <c r="H13" s="526"/>
      <c r="I13" s="459">
        <f>+I14</f>
        <v>79165.8</v>
      </c>
    </row>
    <row r="14" spans="1:12" s="460" customFormat="1" ht="16.8" customHeight="1">
      <c r="A14" s="543">
        <v>45331123</v>
      </c>
      <c r="B14" s="845" t="s">
        <v>489</v>
      </c>
      <c r="C14" s="845"/>
      <c r="D14" s="845"/>
      <c r="E14" s="256" t="s">
        <v>163</v>
      </c>
      <c r="F14" s="544" t="s">
        <v>134</v>
      </c>
      <c r="G14" s="520">
        <v>79165800</v>
      </c>
      <c r="H14" s="401">
        <v>1</v>
      </c>
      <c r="I14" s="459">
        <f>41650.3+37515.5</f>
        <v>79165.8</v>
      </c>
      <c r="J14" s="524"/>
    </row>
    <row r="15" spans="1:12" s="460" customFormat="1" ht="20.75" customHeight="1">
      <c r="A15" s="542"/>
      <c r="B15" s="672" t="s">
        <v>136</v>
      </c>
      <c r="C15" s="672"/>
      <c r="D15" s="672"/>
      <c r="E15" s="525"/>
      <c r="F15" s="525"/>
      <c r="G15" s="525"/>
      <c r="H15" s="526"/>
      <c r="I15" s="459">
        <f>SUM(I16:I17)</f>
        <v>1196.5</v>
      </c>
    </row>
    <row r="16" spans="1:12" s="460" customFormat="1">
      <c r="A16" s="542">
        <v>71351540</v>
      </c>
      <c r="B16" s="797" t="s">
        <v>372</v>
      </c>
      <c r="C16" s="797"/>
      <c r="D16" s="797"/>
      <c r="E16" s="256" t="s">
        <v>129</v>
      </c>
      <c r="F16" s="544" t="s">
        <v>134</v>
      </c>
      <c r="G16" s="520">
        <v>845400</v>
      </c>
      <c r="H16" s="401">
        <v>1</v>
      </c>
      <c r="I16" s="459">
        <f>179+666.4</f>
        <v>845.4</v>
      </c>
      <c r="J16" s="524"/>
    </row>
    <row r="17" spans="1:10" s="460" customFormat="1">
      <c r="A17" s="542">
        <v>98111140</v>
      </c>
      <c r="B17" s="797" t="s">
        <v>373</v>
      </c>
      <c r="C17" s="797"/>
      <c r="D17" s="797"/>
      <c r="E17" s="256" t="s">
        <v>481</v>
      </c>
      <c r="F17" s="544" t="s">
        <v>134</v>
      </c>
      <c r="G17" s="520">
        <v>351100</v>
      </c>
      <c r="H17" s="401">
        <v>1</v>
      </c>
      <c r="I17" s="459">
        <f>151.2+199.9</f>
        <v>351.1</v>
      </c>
      <c r="J17" s="524"/>
    </row>
    <row r="18" spans="1:10" s="40" customFormat="1">
      <c r="A18" s="548" t="s">
        <v>241</v>
      </c>
      <c r="B18" s="548" t="s">
        <v>242</v>
      </c>
      <c r="C18" s="548" t="s">
        <v>243</v>
      </c>
      <c r="D18" s="817" t="s">
        <v>196</v>
      </c>
      <c r="E18" s="818"/>
      <c r="F18" s="818"/>
      <c r="G18" s="818"/>
      <c r="H18" s="819"/>
      <c r="I18" s="549">
        <f>+I19+I26</f>
        <v>-9951.2999999999993</v>
      </c>
      <c r="J18" s="547"/>
    </row>
    <row r="19" spans="1:10" s="395" customFormat="1" ht="54.85" customHeight="1">
      <c r="A19" s="392" t="s">
        <v>393</v>
      </c>
      <c r="B19" s="812" t="s">
        <v>392</v>
      </c>
      <c r="C19" s="812"/>
      <c r="D19" s="812"/>
      <c r="E19" s="812"/>
      <c r="F19" s="812"/>
      <c r="G19" s="812"/>
      <c r="H19" s="812"/>
      <c r="I19" s="394">
        <f>+I20+I22</f>
        <v>7354.7</v>
      </c>
    </row>
    <row r="20" spans="1:10" s="460" customFormat="1" ht="20.75" customHeight="1">
      <c r="A20" s="542"/>
      <c r="B20" s="822" t="s">
        <v>133</v>
      </c>
      <c r="C20" s="823"/>
      <c r="D20" s="824"/>
      <c r="E20" s="525"/>
      <c r="F20" s="525"/>
      <c r="G20" s="525"/>
      <c r="H20" s="526"/>
      <c r="I20" s="459">
        <f>+I21</f>
        <v>10518.5</v>
      </c>
    </row>
    <row r="21" spans="1:10" s="460" customFormat="1">
      <c r="A21" s="542">
        <v>45611200</v>
      </c>
      <c r="B21" s="797" t="s">
        <v>483</v>
      </c>
      <c r="C21" s="797"/>
      <c r="D21" s="797"/>
      <c r="E21" s="256" t="s">
        <v>129</v>
      </c>
      <c r="F21" s="544" t="s">
        <v>134</v>
      </c>
      <c r="G21" s="520">
        <v>10518470</v>
      </c>
      <c r="H21" s="401">
        <v>1</v>
      </c>
      <c r="I21" s="459">
        <v>10518.5</v>
      </c>
      <c r="J21" s="524"/>
    </row>
    <row r="22" spans="1:10" s="460" customFormat="1" ht="20.75" customHeight="1">
      <c r="A22" s="542"/>
      <c r="B22" s="672" t="s">
        <v>136</v>
      </c>
      <c r="C22" s="672"/>
      <c r="D22" s="672"/>
      <c r="E22" s="525"/>
      <c r="F22" s="525"/>
      <c r="G22" s="525"/>
      <c r="H22" s="526"/>
      <c r="I22" s="459">
        <f>SUM(I23:I25)</f>
        <v>-3163.8</v>
      </c>
    </row>
    <row r="23" spans="1:10" s="460" customFormat="1">
      <c r="A23" s="542">
        <v>71351540</v>
      </c>
      <c r="B23" s="797" t="s">
        <v>372</v>
      </c>
      <c r="C23" s="797"/>
      <c r="D23" s="797"/>
      <c r="E23" s="256" t="s">
        <v>129</v>
      </c>
      <c r="F23" s="544" t="s">
        <v>134</v>
      </c>
      <c r="G23" s="520">
        <v>210400</v>
      </c>
      <c r="H23" s="401">
        <v>1</v>
      </c>
      <c r="I23" s="459">
        <v>210.4</v>
      </c>
      <c r="J23" s="524"/>
    </row>
    <row r="24" spans="1:10" s="460" customFormat="1">
      <c r="A24" s="542">
        <v>98111140</v>
      </c>
      <c r="B24" s="797" t="s">
        <v>373</v>
      </c>
      <c r="C24" s="797"/>
      <c r="D24" s="797"/>
      <c r="E24" s="256" t="s">
        <v>481</v>
      </c>
      <c r="F24" s="544" t="s">
        <v>134</v>
      </c>
      <c r="G24" s="520">
        <v>63110</v>
      </c>
      <c r="H24" s="401">
        <v>1</v>
      </c>
      <c r="I24" s="459">
        <v>63.1</v>
      </c>
      <c r="J24" s="524"/>
    </row>
    <row r="25" spans="1:10" s="254" customFormat="1">
      <c r="A25" s="321" t="s">
        <v>394</v>
      </c>
      <c r="B25" s="820" t="s">
        <v>235</v>
      </c>
      <c r="C25" s="820"/>
      <c r="D25" s="820"/>
      <c r="E25" s="252" t="s">
        <v>129</v>
      </c>
      <c r="F25" s="406" t="s">
        <v>134</v>
      </c>
      <c r="G25" s="514">
        <v>3437300</v>
      </c>
      <c r="H25" s="255">
        <v>-1</v>
      </c>
      <c r="I25" s="408">
        <v>-3437.3</v>
      </c>
    </row>
    <row r="26" spans="1:10" s="247" customFormat="1" ht="54.85" customHeight="1">
      <c r="A26" s="245" t="s">
        <v>302</v>
      </c>
      <c r="B26" s="803" t="s">
        <v>195</v>
      </c>
      <c r="C26" s="803"/>
      <c r="D26" s="803"/>
      <c r="E26" s="803"/>
      <c r="F26" s="803"/>
      <c r="G26" s="803"/>
      <c r="H26" s="803"/>
      <c r="I26" s="246">
        <f>+I27</f>
        <v>-17306</v>
      </c>
    </row>
    <row r="27" spans="1:10" s="251" customFormat="1" ht="20.75" customHeight="1">
      <c r="A27" s="309"/>
      <c r="B27" s="805" t="s">
        <v>305</v>
      </c>
      <c r="C27" s="806"/>
      <c r="D27" s="807"/>
      <c r="E27" s="248"/>
      <c r="F27" s="248"/>
      <c r="G27" s="248"/>
      <c r="H27" s="249"/>
      <c r="I27" s="250">
        <f>+I28</f>
        <v>-17306</v>
      </c>
    </row>
    <row r="28" spans="1:10" s="254" customFormat="1">
      <c r="A28" s="321" t="s">
        <v>375</v>
      </c>
      <c r="B28" s="820" t="s">
        <v>374</v>
      </c>
      <c r="C28" s="820"/>
      <c r="D28" s="820"/>
      <c r="E28" s="252" t="s">
        <v>303</v>
      </c>
      <c r="F28" s="406" t="s">
        <v>304</v>
      </c>
      <c r="G28" s="514">
        <v>17306000</v>
      </c>
      <c r="H28" s="255">
        <v>-1</v>
      </c>
      <c r="I28" s="408">
        <v>-17306</v>
      </c>
    </row>
    <row r="29" spans="1:10" s="254" customFormat="1">
      <c r="A29" s="318" t="s">
        <v>241</v>
      </c>
      <c r="B29" s="318" t="s">
        <v>242</v>
      </c>
      <c r="C29" s="318" t="s">
        <v>376</v>
      </c>
      <c r="D29" s="800" t="s">
        <v>377</v>
      </c>
      <c r="E29" s="801"/>
      <c r="F29" s="801"/>
      <c r="G29" s="801"/>
      <c r="H29" s="802"/>
      <c r="I29" s="405">
        <f>+I30</f>
        <v>0</v>
      </c>
    </row>
    <row r="30" spans="1:10" s="247" customFormat="1" ht="54.85" customHeight="1">
      <c r="A30" s="245" t="s">
        <v>378</v>
      </c>
      <c r="B30" s="803" t="s">
        <v>379</v>
      </c>
      <c r="C30" s="803"/>
      <c r="D30" s="803"/>
      <c r="E30" s="803"/>
      <c r="F30" s="803"/>
      <c r="G30" s="803"/>
      <c r="H30" s="803"/>
      <c r="I30" s="246">
        <f>+I31+I37</f>
        <v>0</v>
      </c>
    </row>
    <row r="31" spans="1:10" s="336" customFormat="1" ht="20.75" customHeight="1">
      <c r="A31" s="333"/>
      <c r="B31" s="804" t="s">
        <v>133</v>
      </c>
      <c r="C31" s="804"/>
      <c r="D31" s="804"/>
      <c r="E31" s="334"/>
      <c r="F31" s="334"/>
      <c r="G31" s="334"/>
      <c r="H31" s="335"/>
      <c r="I31" s="250">
        <f>SUM(I32:I36)</f>
        <v>-20204.999999999993</v>
      </c>
    </row>
    <row r="32" spans="1:10" s="254" customFormat="1">
      <c r="A32" s="321" t="s">
        <v>380</v>
      </c>
      <c r="B32" s="820" t="s">
        <v>381</v>
      </c>
      <c r="C32" s="820"/>
      <c r="D32" s="820"/>
      <c r="E32" s="252" t="s">
        <v>258</v>
      </c>
      <c r="F32" s="406" t="s">
        <v>304</v>
      </c>
      <c r="G32" s="514">
        <v>108130500</v>
      </c>
      <c r="H32" s="255">
        <v>-1</v>
      </c>
      <c r="I32" s="408">
        <v>-108130.5</v>
      </c>
    </row>
    <row r="33" spans="1:10" s="254" customFormat="1">
      <c r="A33" s="321">
        <v>45451600</v>
      </c>
      <c r="B33" s="820" t="s">
        <v>381</v>
      </c>
      <c r="C33" s="820"/>
      <c r="D33" s="820"/>
      <c r="E33" s="252" t="s">
        <v>129</v>
      </c>
      <c r="F33" s="406" t="s">
        <v>304</v>
      </c>
      <c r="G33" s="514">
        <v>20827600</v>
      </c>
      <c r="H33" s="407">
        <v>1</v>
      </c>
      <c r="I33" s="408">
        <v>20827.599999999999</v>
      </c>
    </row>
    <row r="34" spans="1:10" s="254" customFormat="1">
      <c r="A34" s="321">
        <v>45451600</v>
      </c>
      <c r="B34" s="820" t="s">
        <v>381</v>
      </c>
      <c r="C34" s="820"/>
      <c r="D34" s="820"/>
      <c r="E34" s="252" t="s">
        <v>129</v>
      </c>
      <c r="F34" s="406" t="s">
        <v>304</v>
      </c>
      <c r="G34" s="514">
        <v>32820800</v>
      </c>
      <c r="H34" s="407">
        <v>1</v>
      </c>
      <c r="I34" s="408">
        <v>32820.800000000003</v>
      </c>
    </row>
    <row r="35" spans="1:10" s="254" customFormat="1">
      <c r="A35" s="321">
        <v>45451600</v>
      </c>
      <c r="B35" s="820" t="s">
        <v>381</v>
      </c>
      <c r="C35" s="820"/>
      <c r="D35" s="820"/>
      <c r="E35" s="252" t="s">
        <v>129</v>
      </c>
      <c r="F35" s="406" t="s">
        <v>304</v>
      </c>
      <c r="G35" s="514">
        <v>27208200</v>
      </c>
      <c r="H35" s="407">
        <v>1</v>
      </c>
      <c r="I35" s="408">
        <v>27208.2</v>
      </c>
    </row>
    <row r="36" spans="1:10" s="254" customFormat="1">
      <c r="A36" s="321">
        <v>45451600</v>
      </c>
      <c r="B36" s="820" t="s">
        <v>381</v>
      </c>
      <c r="C36" s="820"/>
      <c r="D36" s="820"/>
      <c r="E36" s="252" t="s">
        <v>129</v>
      </c>
      <c r="F36" s="406" t="s">
        <v>304</v>
      </c>
      <c r="G36" s="514">
        <v>7068900</v>
      </c>
      <c r="H36" s="407">
        <v>1</v>
      </c>
      <c r="I36" s="408">
        <v>7068.9</v>
      </c>
    </row>
    <row r="37" spans="1:10" s="251" customFormat="1" ht="20.75" customHeight="1">
      <c r="A37" s="309" t="s">
        <v>135</v>
      </c>
      <c r="B37" s="804" t="s">
        <v>136</v>
      </c>
      <c r="C37" s="804"/>
      <c r="D37" s="804"/>
      <c r="E37" s="248" t="s">
        <v>135</v>
      </c>
      <c r="F37" s="248" t="s">
        <v>135</v>
      </c>
      <c r="G37" s="248" t="s">
        <v>135</v>
      </c>
      <c r="H37" s="249"/>
      <c r="I37" s="250">
        <f>SUM(I38:I50)</f>
        <v>20205</v>
      </c>
    </row>
    <row r="38" spans="1:10" s="251" customFormat="1" ht="15" customHeight="1">
      <c r="A38" s="319">
        <v>71351540</v>
      </c>
      <c r="B38" s="797" t="s">
        <v>137</v>
      </c>
      <c r="C38" s="797"/>
      <c r="D38" s="797"/>
      <c r="E38" s="252" t="s">
        <v>129</v>
      </c>
      <c r="F38" s="252" t="s">
        <v>164</v>
      </c>
      <c r="G38" s="515">
        <v>520700</v>
      </c>
      <c r="H38" s="255">
        <v>1</v>
      </c>
      <c r="I38" s="250">
        <v>520.70000000000005</v>
      </c>
    </row>
    <row r="39" spans="1:10" s="251" customFormat="1" ht="15" customHeight="1">
      <c r="A39" s="319">
        <v>71351540</v>
      </c>
      <c r="B39" s="797" t="s">
        <v>137</v>
      </c>
      <c r="C39" s="797"/>
      <c r="D39" s="797"/>
      <c r="E39" s="252" t="s">
        <v>129</v>
      </c>
      <c r="F39" s="252" t="s">
        <v>164</v>
      </c>
      <c r="G39" s="515">
        <v>820500</v>
      </c>
      <c r="H39" s="255">
        <v>1</v>
      </c>
      <c r="I39" s="250">
        <v>820.5</v>
      </c>
    </row>
    <row r="40" spans="1:10" s="251" customFormat="1" ht="15" customHeight="1">
      <c r="A40" s="319">
        <v>71351540</v>
      </c>
      <c r="B40" s="797" t="s">
        <v>137</v>
      </c>
      <c r="C40" s="797"/>
      <c r="D40" s="797"/>
      <c r="E40" s="252" t="s">
        <v>129</v>
      </c>
      <c r="F40" s="252" t="s">
        <v>164</v>
      </c>
      <c r="G40" s="515">
        <v>272100</v>
      </c>
      <c r="H40" s="255">
        <v>1</v>
      </c>
      <c r="I40" s="250">
        <v>272.10000000000002</v>
      </c>
    </row>
    <row r="41" spans="1:10" s="251" customFormat="1" ht="15" customHeight="1">
      <c r="A41" s="319">
        <v>71351540</v>
      </c>
      <c r="B41" s="797" t="s">
        <v>137</v>
      </c>
      <c r="C41" s="797"/>
      <c r="D41" s="797"/>
      <c r="E41" s="252" t="s">
        <v>129</v>
      </c>
      <c r="F41" s="252" t="s">
        <v>164</v>
      </c>
      <c r="G41" s="515">
        <v>212100</v>
      </c>
      <c r="H41" s="255">
        <v>1</v>
      </c>
      <c r="I41" s="250">
        <v>212.1</v>
      </c>
    </row>
    <row r="42" spans="1:10" s="251" customFormat="1" ht="15" customHeight="1">
      <c r="A42" s="319">
        <v>98111140</v>
      </c>
      <c r="B42" s="797" t="s">
        <v>138</v>
      </c>
      <c r="C42" s="797"/>
      <c r="D42" s="797"/>
      <c r="E42" s="256" t="s">
        <v>165</v>
      </c>
      <c r="F42" s="252" t="s">
        <v>164</v>
      </c>
      <c r="G42" s="515">
        <v>291600</v>
      </c>
      <c r="H42" s="255">
        <v>1</v>
      </c>
      <c r="I42" s="250">
        <v>291.60000000000002</v>
      </c>
      <c r="J42" s="257"/>
    </row>
    <row r="43" spans="1:10" s="251" customFormat="1" ht="15" customHeight="1">
      <c r="A43" s="319">
        <v>98111140</v>
      </c>
      <c r="B43" s="797" t="s">
        <v>138</v>
      </c>
      <c r="C43" s="797"/>
      <c r="D43" s="797"/>
      <c r="E43" s="256" t="s">
        <v>165</v>
      </c>
      <c r="F43" s="252" t="s">
        <v>164</v>
      </c>
      <c r="G43" s="515">
        <v>459500</v>
      </c>
      <c r="H43" s="255">
        <v>1</v>
      </c>
      <c r="I43" s="250">
        <v>459.5</v>
      </c>
      <c r="J43" s="257"/>
    </row>
    <row r="44" spans="1:10" s="251" customFormat="1" ht="15" customHeight="1">
      <c r="A44" s="319">
        <v>98111140</v>
      </c>
      <c r="B44" s="797" t="s">
        <v>138</v>
      </c>
      <c r="C44" s="797"/>
      <c r="D44" s="797"/>
      <c r="E44" s="256" t="s">
        <v>165</v>
      </c>
      <c r="F44" s="252" t="s">
        <v>164</v>
      </c>
      <c r="G44" s="515">
        <v>258500</v>
      </c>
      <c r="H44" s="255">
        <v>1</v>
      </c>
      <c r="I44" s="250">
        <v>258.5</v>
      </c>
      <c r="J44" s="257"/>
    </row>
    <row r="45" spans="1:10" s="251" customFormat="1" ht="15" customHeight="1">
      <c r="A45" s="319">
        <v>98111140</v>
      </c>
      <c r="B45" s="797" t="s">
        <v>138</v>
      </c>
      <c r="C45" s="797"/>
      <c r="D45" s="797"/>
      <c r="E45" s="256" t="s">
        <v>165</v>
      </c>
      <c r="F45" s="252" t="s">
        <v>164</v>
      </c>
      <c r="G45" s="515">
        <v>106000</v>
      </c>
      <c r="H45" s="255">
        <v>1</v>
      </c>
      <c r="I45" s="250">
        <v>106</v>
      </c>
      <c r="J45" s="257"/>
    </row>
    <row r="46" spans="1:10" s="251" customFormat="1" ht="15" customHeight="1">
      <c r="A46" s="319">
        <v>71241200</v>
      </c>
      <c r="B46" s="797" t="s">
        <v>235</v>
      </c>
      <c r="C46" s="797"/>
      <c r="D46" s="797"/>
      <c r="E46" s="252" t="s">
        <v>129</v>
      </c>
      <c r="F46" s="252" t="s">
        <v>134</v>
      </c>
      <c r="G46" s="515">
        <v>12963000</v>
      </c>
      <c r="H46" s="255">
        <v>1</v>
      </c>
      <c r="I46" s="250">
        <v>12963</v>
      </c>
    </row>
    <row r="47" spans="1:10" s="251" customFormat="1" ht="15" customHeight="1">
      <c r="A47" s="190">
        <v>50531140</v>
      </c>
      <c r="B47" s="821" t="s">
        <v>236</v>
      </c>
      <c r="C47" s="821"/>
      <c r="D47" s="821"/>
      <c r="E47" s="253" t="s">
        <v>129</v>
      </c>
      <c r="F47" s="253" t="s">
        <v>134</v>
      </c>
      <c r="G47" s="515">
        <v>1037000</v>
      </c>
      <c r="H47" s="255">
        <v>1</v>
      </c>
      <c r="I47" s="250">
        <v>1037</v>
      </c>
    </row>
    <row r="48" spans="1:10" s="251" customFormat="1" ht="15" customHeight="1">
      <c r="A48" s="190">
        <v>50531140</v>
      </c>
      <c r="B48" s="821" t="s">
        <v>236</v>
      </c>
      <c r="C48" s="821"/>
      <c r="D48" s="821"/>
      <c r="E48" s="253" t="s">
        <v>129</v>
      </c>
      <c r="F48" s="253" t="s">
        <v>134</v>
      </c>
      <c r="G48" s="515">
        <v>1225000</v>
      </c>
      <c r="H48" s="255">
        <v>1</v>
      </c>
      <c r="I48" s="250">
        <v>1225</v>
      </c>
    </row>
    <row r="49" spans="1:10" s="251" customFormat="1" ht="15" customHeight="1">
      <c r="A49" s="190">
        <v>50531140</v>
      </c>
      <c r="B49" s="821" t="s">
        <v>236</v>
      </c>
      <c r="C49" s="821"/>
      <c r="D49" s="821"/>
      <c r="E49" s="253" t="s">
        <v>129</v>
      </c>
      <c r="F49" s="253" t="s">
        <v>134</v>
      </c>
      <c r="G49" s="515">
        <v>1274000</v>
      </c>
      <c r="H49" s="255">
        <v>1</v>
      </c>
      <c r="I49" s="250">
        <v>1274</v>
      </c>
    </row>
    <row r="50" spans="1:10" s="251" customFormat="1" ht="15" customHeight="1">
      <c r="A50" s="190">
        <v>50531140</v>
      </c>
      <c r="B50" s="821" t="s">
        <v>236</v>
      </c>
      <c r="C50" s="821"/>
      <c r="D50" s="821"/>
      <c r="E50" s="253" t="s">
        <v>129</v>
      </c>
      <c r="F50" s="253" t="s">
        <v>134</v>
      </c>
      <c r="G50" s="515">
        <v>765000</v>
      </c>
      <c r="H50" s="255">
        <v>1</v>
      </c>
      <c r="I50" s="250">
        <v>765</v>
      </c>
    </row>
    <row r="51" spans="1:10" s="254" customFormat="1">
      <c r="A51" s="318" t="s">
        <v>130</v>
      </c>
      <c r="B51" s="318" t="s">
        <v>131</v>
      </c>
      <c r="C51" s="318" t="s">
        <v>132</v>
      </c>
      <c r="D51" s="800" t="s">
        <v>62</v>
      </c>
      <c r="E51" s="801"/>
      <c r="F51" s="801"/>
      <c r="G51" s="801"/>
      <c r="H51" s="802"/>
      <c r="I51" s="405">
        <f>+I52+I58</f>
        <v>-929113.4</v>
      </c>
    </row>
    <row r="52" spans="1:10" s="247" customFormat="1" ht="54.85" customHeight="1">
      <c r="A52" s="245" t="s">
        <v>234</v>
      </c>
      <c r="B52" s="803" t="s">
        <v>369</v>
      </c>
      <c r="C52" s="803"/>
      <c r="D52" s="803"/>
      <c r="E52" s="803"/>
      <c r="F52" s="803"/>
      <c r="G52" s="803"/>
      <c r="H52" s="803"/>
      <c r="I52" s="246">
        <f>+I53+I55</f>
        <v>-507957.9</v>
      </c>
    </row>
    <row r="53" spans="1:10" s="251" customFormat="1" ht="20.75" customHeight="1">
      <c r="A53" s="309"/>
      <c r="B53" s="804" t="s">
        <v>133</v>
      </c>
      <c r="C53" s="804"/>
      <c r="D53" s="804"/>
      <c r="E53" s="248"/>
      <c r="F53" s="248"/>
      <c r="G53" s="248"/>
      <c r="H53" s="249"/>
      <c r="I53" s="250">
        <f>SUM(I54:I54)</f>
        <v>-495085.7</v>
      </c>
    </row>
    <row r="54" spans="1:10" s="251" customFormat="1" ht="35.9" customHeight="1">
      <c r="A54" s="319" t="s">
        <v>298</v>
      </c>
      <c r="B54" s="797" t="s">
        <v>382</v>
      </c>
      <c r="C54" s="797"/>
      <c r="D54" s="797"/>
      <c r="E54" s="252" t="s">
        <v>129</v>
      </c>
      <c r="F54" s="252" t="s">
        <v>134</v>
      </c>
      <c r="G54" s="515">
        <v>495085700</v>
      </c>
      <c r="H54" s="255">
        <v>-1</v>
      </c>
      <c r="I54" s="250">
        <v>-495085.7</v>
      </c>
    </row>
    <row r="55" spans="1:10" s="251" customFormat="1" ht="20.75" customHeight="1">
      <c r="A55" s="309" t="s">
        <v>135</v>
      </c>
      <c r="B55" s="804" t="s">
        <v>136</v>
      </c>
      <c r="C55" s="804"/>
      <c r="D55" s="804"/>
      <c r="E55" s="248" t="s">
        <v>135</v>
      </c>
      <c r="F55" s="248" t="s">
        <v>135</v>
      </c>
      <c r="G55" s="248" t="s">
        <v>135</v>
      </c>
      <c r="H55" s="249"/>
      <c r="I55" s="250">
        <f>SUM(I56:I57)</f>
        <v>-12872.2</v>
      </c>
    </row>
    <row r="56" spans="1:10" s="251" customFormat="1" ht="15" customHeight="1">
      <c r="A56" s="319" t="s">
        <v>370</v>
      </c>
      <c r="B56" s="797" t="s">
        <v>372</v>
      </c>
      <c r="C56" s="797"/>
      <c r="D56" s="797"/>
      <c r="E56" s="252" t="s">
        <v>129</v>
      </c>
      <c r="F56" s="252" t="s">
        <v>164</v>
      </c>
      <c r="G56" s="515">
        <v>9901700</v>
      </c>
      <c r="H56" s="255">
        <v>-1</v>
      </c>
      <c r="I56" s="250">
        <v>-9901.7000000000007</v>
      </c>
    </row>
    <row r="57" spans="1:10" s="251" customFormat="1" ht="15" customHeight="1">
      <c r="A57" s="319" t="s">
        <v>371</v>
      </c>
      <c r="B57" s="797" t="s">
        <v>373</v>
      </c>
      <c r="C57" s="797"/>
      <c r="D57" s="797"/>
      <c r="E57" s="256" t="s">
        <v>165</v>
      </c>
      <c r="F57" s="252" t="s">
        <v>164</v>
      </c>
      <c r="G57" s="515">
        <v>2970500</v>
      </c>
      <c r="H57" s="255">
        <v>-1</v>
      </c>
      <c r="I57" s="250">
        <v>-2970.5</v>
      </c>
      <c r="J57" s="257"/>
    </row>
    <row r="58" spans="1:10" s="247" customFormat="1" ht="54.85" customHeight="1">
      <c r="A58" s="245" t="s">
        <v>388</v>
      </c>
      <c r="B58" s="803" t="s">
        <v>383</v>
      </c>
      <c r="C58" s="803"/>
      <c r="D58" s="803"/>
      <c r="E58" s="803"/>
      <c r="F58" s="803"/>
      <c r="G58" s="803"/>
      <c r="H58" s="803"/>
      <c r="I58" s="246">
        <f>+I59</f>
        <v>-421155.5</v>
      </c>
    </row>
    <row r="59" spans="1:10" s="251" customFormat="1" ht="20.75" customHeight="1">
      <c r="A59" s="309"/>
      <c r="B59" s="804" t="s">
        <v>305</v>
      </c>
      <c r="C59" s="804"/>
      <c r="D59" s="804"/>
      <c r="E59" s="248"/>
      <c r="F59" s="248"/>
      <c r="G59" s="248"/>
      <c r="H59" s="249"/>
      <c r="I59" s="250">
        <f>SUM(I60:I60)</f>
        <v>-421155.5</v>
      </c>
    </row>
    <row r="60" spans="1:10" s="251" customFormat="1">
      <c r="A60" s="319" t="s">
        <v>390</v>
      </c>
      <c r="B60" s="797" t="s">
        <v>389</v>
      </c>
      <c r="C60" s="797"/>
      <c r="D60" s="797"/>
      <c r="E60" s="256" t="s">
        <v>303</v>
      </c>
      <c r="F60" s="252" t="s">
        <v>304</v>
      </c>
      <c r="G60" s="515"/>
      <c r="H60" s="255">
        <v>-664</v>
      </c>
      <c r="I60" s="250">
        <v>-421155.5</v>
      </c>
      <c r="J60" s="257"/>
    </row>
    <row r="61" spans="1:10" s="185" customFormat="1">
      <c r="A61" s="258"/>
      <c r="B61" s="259"/>
      <c r="C61" s="259"/>
      <c r="D61" s="259"/>
      <c r="E61" s="259"/>
      <c r="F61" s="259"/>
      <c r="G61" s="516"/>
      <c r="H61" s="259"/>
      <c r="I61" s="422"/>
    </row>
    <row r="62" spans="1:10" s="185" customFormat="1">
      <c r="A62" s="258"/>
      <c r="B62" s="259"/>
      <c r="C62" s="259"/>
      <c r="D62" s="259"/>
      <c r="E62" s="259"/>
      <c r="F62" s="259"/>
      <c r="G62" s="516"/>
      <c r="H62" s="259"/>
      <c r="I62" s="260"/>
    </row>
    <row r="63" spans="1:10" s="242" customFormat="1" ht="45" customHeight="1">
      <c r="A63" s="834" t="s">
        <v>110</v>
      </c>
      <c r="B63" s="834"/>
      <c r="C63" s="834"/>
      <c r="D63" s="834"/>
      <c r="E63" s="834"/>
      <c r="F63" s="834"/>
      <c r="G63" s="834"/>
      <c r="H63" s="834"/>
      <c r="I63" s="29">
        <f>+I64+I71</f>
        <v>961395.20000000077</v>
      </c>
    </row>
    <row r="64" spans="1:10" s="254" customFormat="1">
      <c r="A64" s="463" t="s">
        <v>241</v>
      </c>
      <c r="B64" s="463" t="s">
        <v>242</v>
      </c>
      <c r="C64" s="463" t="s">
        <v>243</v>
      </c>
      <c r="D64" s="800" t="s">
        <v>196</v>
      </c>
      <c r="E64" s="801"/>
      <c r="F64" s="801"/>
      <c r="G64" s="801"/>
      <c r="H64" s="802"/>
      <c r="I64" s="405">
        <f>+I65</f>
        <v>-27975.4</v>
      </c>
      <c r="J64" s="461"/>
    </row>
    <row r="65" spans="1:10" s="247" customFormat="1" ht="54.85" customHeight="1">
      <c r="A65" s="245" t="s">
        <v>393</v>
      </c>
      <c r="B65" s="803" t="s">
        <v>392</v>
      </c>
      <c r="C65" s="803"/>
      <c r="D65" s="803"/>
      <c r="E65" s="803"/>
      <c r="F65" s="803"/>
      <c r="G65" s="803"/>
      <c r="H65" s="803"/>
      <c r="I65" s="246">
        <f>+I66+I68</f>
        <v>-27975.4</v>
      </c>
    </row>
    <row r="66" spans="1:10" s="251" customFormat="1" ht="20.75" customHeight="1">
      <c r="A66" s="309"/>
      <c r="B66" s="805" t="s">
        <v>133</v>
      </c>
      <c r="C66" s="806"/>
      <c r="D66" s="807"/>
      <c r="E66" s="248"/>
      <c r="F66" s="248"/>
      <c r="G66" s="248"/>
      <c r="H66" s="249"/>
      <c r="I66" s="250">
        <f>+I67</f>
        <v>-26018</v>
      </c>
    </row>
    <row r="67" spans="1:10" s="251" customFormat="1">
      <c r="A67" s="465" t="s">
        <v>482</v>
      </c>
      <c r="B67" s="797" t="s">
        <v>483</v>
      </c>
      <c r="C67" s="797"/>
      <c r="D67" s="797"/>
      <c r="E67" s="256" t="s">
        <v>258</v>
      </c>
      <c r="F67" s="252" t="s">
        <v>134</v>
      </c>
      <c r="G67" s="515"/>
      <c r="H67" s="255"/>
      <c r="I67" s="250">
        <v>-26018</v>
      </c>
      <c r="J67" s="257"/>
    </row>
    <row r="68" spans="1:10" s="251" customFormat="1" ht="20.75" customHeight="1">
      <c r="A68" s="309"/>
      <c r="B68" s="804" t="s">
        <v>136</v>
      </c>
      <c r="C68" s="804"/>
      <c r="D68" s="804"/>
      <c r="E68" s="248"/>
      <c r="F68" s="248"/>
      <c r="G68" s="248"/>
      <c r="H68" s="249"/>
      <c r="I68" s="250">
        <f>SUM(I69:I70)</f>
        <v>-1957.4</v>
      </c>
    </row>
    <row r="69" spans="1:10" s="251" customFormat="1">
      <c r="A69" s="465" t="s">
        <v>479</v>
      </c>
      <c r="B69" s="797" t="s">
        <v>372</v>
      </c>
      <c r="C69" s="797"/>
      <c r="D69" s="797"/>
      <c r="E69" s="256" t="s">
        <v>129</v>
      </c>
      <c r="F69" s="252" t="s">
        <v>134</v>
      </c>
      <c r="G69" s="515"/>
      <c r="H69" s="255"/>
      <c r="I69" s="250">
        <v>-1650.3</v>
      </c>
      <c r="J69" s="257"/>
    </row>
    <row r="70" spans="1:10" s="251" customFormat="1">
      <c r="A70" s="465" t="s">
        <v>480</v>
      </c>
      <c r="B70" s="797" t="s">
        <v>373</v>
      </c>
      <c r="C70" s="797"/>
      <c r="D70" s="797"/>
      <c r="E70" s="256" t="s">
        <v>481</v>
      </c>
      <c r="F70" s="252" t="s">
        <v>134</v>
      </c>
      <c r="G70" s="515"/>
      <c r="H70" s="255"/>
      <c r="I70" s="250">
        <v>-307.10000000000002</v>
      </c>
      <c r="J70" s="257"/>
    </row>
    <row r="71" spans="1:10" s="242" customFormat="1">
      <c r="A71" s="243" t="s">
        <v>130</v>
      </c>
      <c r="B71" s="243" t="s">
        <v>131</v>
      </c>
      <c r="C71" s="243" t="s">
        <v>132</v>
      </c>
      <c r="D71" s="831" t="s">
        <v>62</v>
      </c>
      <c r="E71" s="832"/>
      <c r="F71" s="832"/>
      <c r="G71" s="832"/>
      <c r="H71" s="833"/>
      <c r="I71" s="244">
        <f>+I72+I88+I94+I151+I157+I166+I172+I178+I187+I223+I277</f>
        <v>989370.60000000079</v>
      </c>
    </row>
    <row r="72" spans="1:10" s="247" customFormat="1" ht="54.85" customHeight="1">
      <c r="A72" s="245" t="s">
        <v>240</v>
      </c>
      <c r="B72" s="803" t="s">
        <v>172</v>
      </c>
      <c r="C72" s="803"/>
      <c r="D72" s="803"/>
      <c r="E72" s="803"/>
      <c r="F72" s="803"/>
      <c r="G72" s="803"/>
      <c r="H72" s="803"/>
      <c r="I72" s="246">
        <f>+I73+I79</f>
        <v>35091.999999999978</v>
      </c>
    </row>
    <row r="73" spans="1:10" s="251" customFormat="1" ht="20.75" customHeight="1">
      <c r="A73" s="309"/>
      <c r="B73" s="805" t="s">
        <v>133</v>
      </c>
      <c r="C73" s="806"/>
      <c r="D73" s="807"/>
      <c r="E73" s="248"/>
      <c r="F73" s="248"/>
      <c r="G73" s="248"/>
      <c r="H73" s="249"/>
      <c r="I73" s="250">
        <f>SUM(I74:I78)</f>
        <v>-3540.9000000000233</v>
      </c>
    </row>
    <row r="74" spans="1:10" s="251" customFormat="1">
      <c r="A74" s="472" t="s">
        <v>257</v>
      </c>
      <c r="B74" s="797" t="s">
        <v>255</v>
      </c>
      <c r="C74" s="797"/>
      <c r="D74" s="797"/>
      <c r="E74" s="252" t="s">
        <v>258</v>
      </c>
      <c r="F74" s="252" t="s">
        <v>134</v>
      </c>
      <c r="G74" s="515">
        <v>725128600</v>
      </c>
      <c r="H74" s="255">
        <v>-1</v>
      </c>
      <c r="I74" s="250">
        <v>-725128.6</v>
      </c>
      <c r="J74" s="469"/>
    </row>
    <row r="75" spans="1:10" s="251" customFormat="1">
      <c r="A75" s="471">
        <v>45221142</v>
      </c>
      <c r="B75" s="798" t="s">
        <v>311</v>
      </c>
      <c r="C75" s="798"/>
      <c r="D75" s="798"/>
      <c r="E75" s="252" t="s">
        <v>258</v>
      </c>
      <c r="F75" s="252" t="s">
        <v>134</v>
      </c>
      <c r="G75" s="517">
        <v>369979600</v>
      </c>
      <c r="H75" s="487">
        <v>1</v>
      </c>
      <c r="I75" s="488">
        <v>369979.6</v>
      </c>
      <c r="J75" s="469"/>
    </row>
    <row r="76" spans="1:10" s="251" customFormat="1">
      <c r="A76" s="311" t="s">
        <v>256</v>
      </c>
      <c r="B76" s="797" t="s">
        <v>255</v>
      </c>
      <c r="C76" s="797"/>
      <c r="D76" s="797"/>
      <c r="E76" s="252" t="s">
        <v>254</v>
      </c>
      <c r="F76" s="252" t="s">
        <v>134</v>
      </c>
      <c r="G76" s="515"/>
      <c r="H76" s="255"/>
      <c r="I76" s="250">
        <v>139139.19999999995</v>
      </c>
      <c r="J76" s="469"/>
    </row>
    <row r="77" spans="1:10" s="254" customFormat="1" ht="16.399999999999999" customHeight="1">
      <c r="A77" s="337">
        <v>45611100</v>
      </c>
      <c r="B77" s="808" t="s">
        <v>259</v>
      </c>
      <c r="C77" s="808"/>
      <c r="D77" s="808"/>
      <c r="E77" s="315" t="s">
        <v>239</v>
      </c>
      <c r="F77" s="304" t="s">
        <v>134</v>
      </c>
      <c r="G77" s="518">
        <v>32385200</v>
      </c>
      <c r="H77" s="338">
        <v>1</v>
      </c>
      <c r="I77" s="339">
        <v>32385.200000000001</v>
      </c>
    </row>
    <row r="78" spans="1:10" s="254" customFormat="1" ht="16.399999999999999" customHeight="1">
      <c r="A78" s="337">
        <v>45611100</v>
      </c>
      <c r="B78" s="808" t="s">
        <v>259</v>
      </c>
      <c r="C78" s="808"/>
      <c r="D78" s="808"/>
      <c r="E78" s="315" t="s">
        <v>239</v>
      </c>
      <c r="F78" s="304" t="s">
        <v>134</v>
      </c>
      <c r="G78" s="518">
        <v>180083700</v>
      </c>
      <c r="H78" s="338">
        <v>1</v>
      </c>
      <c r="I78" s="339">
        <v>180083.7</v>
      </c>
    </row>
    <row r="79" spans="1:10" s="251" customFormat="1" ht="20.75" customHeight="1">
      <c r="A79" s="311" t="s">
        <v>135</v>
      </c>
      <c r="B79" s="805" t="s">
        <v>136</v>
      </c>
      <c r="C79" s="806"/>
      <c r="D79" s="807"/>
      <c r="E79" s="248" t="s">
        <v>135</v>
      </c>
      <c r="F79" s="248" t="s">
        <v>135</v>
      </c>
      <c r="G79" s="248" t="s">
        <v>135</v>
      </c>
      <c r="H79" s="249"/>
      <c r="I79" s="250">
        <f>SUM(I80:I87)</f>
        <v>38632.9</v>
      </c>
    </row>
    <row r="80" spans="1:10" s="251" customFormat="1" ht="15" customHeight="1">
      <c r="A80" s="311">
        <v>71351540</v>
      </c>
      <c r="B80" s="797" t="s">
        <v>137</v>
      </c>
      <c r="C80" s="797"/>
      <c r="D80" s="797"/>
      <c r="E80" s="252" t="s">
        <v>129</v>
      </c>
      <c r="F80" s="252" t="s">
        <v>164</v>
      </c>
      <c r="G80" s="515">
        <v>11099400</v>
      </c>
      <c r="H80" s="255">
        <v>1</v>
      </c>
      <c r="I80" s="250">
        <v>11099.4</v>
      </c>
    </row>
    <row r="81" spans="1:10" s="251" customFormat="1" ht="15" customHeight="1">
      <c r="A81" s="311">
        <v>71351540</v>
      </c>
      <c r="B81" s="797" t="s">
        <v>137</v>
      </c>
      <c r="C81" s="797"/>
      <c r="D81" s="797"/>
      <c r="E81" s="252" t="s">
        <v>129</v>
      </c>
      <c r="F81" s="252" t="s">
        <v>164</v>
      </c>
      <c r="G81" s="515">
        <v>17677600</v>
      </c>
      <c r="H81" s="255">
        <v>1</v>
      </c>
      <c r="I81" s="250">
        <v>17677.599999999999</v>
      </c>
    </row>
    <row r="82" spans="1:10" s="251" customFormat="1" ht="15" customHeight="1">
      <c r="A82" s="311">
        <v>71351540</v>
      </c>
      <c r="B82" s="797" t="s">
        <v>137</v>
      </c>
      <c r="C82" s="797"/>
      <c r="D82" s="797"/>
      <c r="E82" s="252" t="s">
        <v>129</v>
      </c>
      <c r="F82" s="252" t="s">
        <v>164</v>
      </c>
      <c r="G82" s="515">
        <v>678000</v>
      </c>
      <c r="H82" s="255">
        <v>1</v>
      </c>
      <c r="I82" s="250">
        <v>678</v>
      </c>
    </row>
    <row r="83" spans="1:10" s="251" customFormat="1" ht="15" customHeight="1">
      <c r="A83" s="311">
        <v>71351540</v>
      </c>
      <c r="B83" s="797" t="s">
        <v>137</v>
      </c>
      <c r="C83" s="797"/>
      <c r="D83" s="797"/>
      <c r="E83" s="252" t="s">
        <v>129</v>
      </c>
      <c r="F83" s="252" t="s">
        <v>164</v>
      </c>
      <c r="G83" s="515">
        <v>1182900</v>
      </c>
      <c r="H83" s="255">
        <v>1</v>
      </c>
      <c r="I83" s="250">
        <v>1182.9000000000001</v>
      </c>
    </row>
    <row r="84" spans="1:10" s="251" customFormat="1" ht="15" customHeight="1">
      <c r="A84" s="311">
        <v>98111140</v>
      </c>
      <c r="B84" s="797" t="s">
        <v>138</v>
      </c>
      <c r="C84" s="797"/>
      <c r="D84" s="797"/>
      <c r="E84" s="256" t="s">
        <v>165</v>
      </c>
      <c r="F84" s="252" t="s">
        <v>164</v>
      </c>
      <c r="G84" s="515">
        <v>2219900</v>
      </c>
      <c r="H84" s="255">
        <v>1</v>
      </c>
      <c r="I84" s="250">
        <v>2219.9</v>
      </c>
      <c r="J84" s="257"/>
    </row>
    <row r="85" spans="1:10" s="251" customFormat="1" ht="15" customHeight="1">
      <c r="A85" s="311">
        <v>98111140</v>
      </c>
      <c r="B85" s="797" t="s">
        <v>138</v>
      </c>
      <c r="C85" s="797"/>
      <c r="D85" s="797"/>
      <c r="E85" s="256" t="s">
        <v>165</v>
      </c>
      <c r="F85" s="252" t="s">
        <v>164</v>
      </c>
      <c r="G85" s="515">
        <v>4029400</v>
      </c>
      <c r="H85" s="255">
        <v>1</v>
      </c>
      <c r="I85" s="250">
        <v>4029.4</v>
      </c>
      <c r="J85" s="257"/>
    </row>
    <row r="86" spans="1:10" s="251" customFormat="1" ht="15" customHeight="1">
      <c r="A86" s="311">
        <v>98111140</v>
      </c>
      <c r="B86" s="797" t="s">
        <v>138</v>
      </c>
      <c r="C86" s="797"/>
      <c r="D86" s="797"/>
      <c r="E86" s="256" t="s">
        <v>165</v>
      </c>
      <c r="F86" s="252" t="s">
        <v>164</v>
      </c>
      <c r="G86" s="515">
        <v>339000</v>
      </c>
      <c r="H86" s="255">
        <v>1</v>
      </c>
      <c r="I86" s="250">
        <v>339</v>
      </c>
      <c r="J86" s="257"/>
    </row>
    <row r="87" spans="1:10" s="251" customFormat="1" ht="15" customHeight="1">
      <c r="A87" s="311">
        <v>98111140</v>
      </c>
      <c r="B87" s="797" t="s">
        <v>138</v>
      </c>
      <c r="C87" s="797"/>
      <c r="D87" s="797"/>
      <c r="E87" s="256" t="s">
        <v>165</v>
      </c>
      <c r="F87" s="252" t="s">
        <v>164</v>
      </c>
      <c r="G87" s="515">
        <v>1406700</v>
      </c>
      <c r="H87" s="255">
        <v>1</v>
      </c>
      <c r="I87" s="250">
        <v>1406.7</v>
      </c>
      <c r="J87" s="257"/>
    </row>
    <row r="88" spans="1:10" s="263" customFormat="1" ht="54.85" customHeight="1">
      <c r="A88" s="245" t="s">
        <v>279</v>
      </c>
      <c r="B88" s="803" t="s">
        <v>280</v>
      </c>
      <c r="C88" s="803"/>
      <c r="D88" s="803"/>
      <c r="E88" s="803"/>
      <c r="F88" s="803"/>
      <c r="G88" s="803"/>
      <c r="H88" s="803"/>
      <c r="I88" s="262">
        <f>+I89+I91</f>
        <v>-126342.90000000001</v>
      </c>
    </row>
    <row r="89" spans="1:10" s="34" customFormat="1" ht="20.75" customHeight="1">
      <c r="A89" s="313"/>
      <c r="B89" s="809" t="s">
        <v>133</v>
      </c>
      <c r="C89" s="810"/>
      <c r="D89" s="811"/>
      <c r="E89" s="264"/>
      <c r="F89" s="264"/>
      <c r="G89" s="264"/>
      <c r="H89" s="265"/>
      <c r="I89" s="261">
        <f>+I90</f>
        <v>-135126.70000000001</v>
      </c>
    </row>
    <row r="90" spans="1:10" s="34" customFormat="1">
      <c r="A90" s="312" t="s">
        <v>244</v>
      </c>
      <c r="B90" s="798" t="s">
        <v>238</v>
      </c>
      <c r="C90" s="798"/>
      <c r="D90" s="798"/>
      <c r="E90" s="252" t="s">
        <v>239</v>
      </c>
      <c r="F90" s="252" t="s">
        <v>134</v>
      </c>
      <c r="G90" s="515"/>
      <c r="H90" s="255"/>
      <c r="I90" s="261">
        <v>-135126.70000000001</v>
      </c>
    </row>
    <row r="91" spans="1:10" s="34" customFormat="1" ht="20.75" customHeight="1">
      <c r="A91" s="313" t="s">
        <v>135</v>
      </c>
      <c r="B91" s="809" t="s">
        <v>136</v>
      </c>
      <c r="C91" s="810"/>
      <c r="D91" s="811"/>
      <c r="E91" s="264" t="s">
        <v>135</v>
      </c>
      <c r="F91" s="264" t="s">
        <v>135</v>
      </c>
      <c r="G91" s="264" t="s">
        <v>135</v>
      </c>
      <c r="H91" s="265"/>
      <c r="I91" s="261">
        <f>+I92+I93</f>
        <v>8783.7999999999993</v>
      </c>
    </row>
    <row r="92" spans="1:10" s="34" customFormat="1" ht="15" customHeight="1">
      <c r="A92" s="312">
        <v>71351540</v>
      </c>
      <c r="B92" s="798" t="s">
        <v>137</v>
      </c>
      <c r="C92" s="798"/>
      <c r="D92" s="798"/>
      <c r="E92" s="252" t="s">
        <v>129</v>
      </c>
      <c r="F92" s="252" t="s">
        <v>164</v>
      </c>
      <c r="G92" s="515">
        <v>6756800</v>
      </c>
      <c r="H92" s="255">
        <v>1</v>
      </c>
      <c r="I92" s="261">
        <v>6756.8</v>
      </c>
    </row>
    <row r="93" spans="1:10" s="34" customFormat="1" ht="15" customHeight="1">
      <c r="A93" s="311">
        <v>98111140</v>
      </c>
      <c r="B93" s="797" t="s">
        <v>138</v>
      </c>
      <c r="C93" s="797"/>
      <c r="D93" s="797"/>
      <c r="E93" s="267" t="s">
        <v>165</v>
      </c>
      <c r="F93" s="252" t="s">
        <v>164</v>
      </c>
      <c r="G93" s="515">
        <v>2027000</v>
      </c>
      <c r="H93" s="255">
        <v>1</v>
      </c>
      <c r="I93" s="261">
        <v>2027</v>
      </c>
      <c r="J93" s="268"/>
    </row>
    <row r="94" spans="1:10" s="263" customFormat="1" ht="54.85" customHeight="1">
      <c r="A94" s="245" t="s">
        <v>293</v>
      </c>
      <c r="B94" s="803" t="s">
        <v>294</v>
      </c>
      <c r="C94" s="803"/>
      <c r="D94" s="803"/>
      <c r="E94" s="803"/>
      <c r="F94" s="803"/>
      <c r="G94" s="803"/>
      <c r="H94" s="803"/>
      <c r="I94" s="262">
        <f>+I95+I106</f>
        <v>-39449.39999999947</v>
      </c>
    </row>
    <row r="95" spans="1:10" s="34" customFormat="1" ht="20.75" customHeight="1">
      <c r="A95" s="313"/>
      <c r="B95" s="809" t="s">
        <v>133</v>
      </c>
      <c r="C95" s="810"/>
      <c r="D95" s="811"/>
      <c r="E95" s="264"/>
      <c r="F95" s="264"/>
      <c r="G95" s="264"/>
      <c r="H95" s="265"/>
      <c r="I95" s="261">
        <f>SUM(I96:I105)</f>
        <v>-232949.69999999949</v>
      </c>
    </row>
    <row r="96" spans="1:10" s="34" customFormat="1">
      <c r="A96" s="312" t="s">
        <v>295</v>
      </c>
      <c r="B96" s="798" t="s">
        <v>311</v>
      </c>
      <c r="C96" s="798"/>
      <c r="D96" s="798"/>
      <c r="E96" s="252" t="s">
        <v>258</v>
      </c>
      <c r="F96" s="252" t="s">
        <v>134</v>
      </c>
      <c r="G96" s="515"/>
      <c r="H96" s="255"/>
      <c r="I96" s="261">
        <v>-2689037.9</v>
      </c>
    </row>
    <row r="97" spans="1:9" s="34" customFormat="1">
      <c r="A97" s="464" t="s">
        <v>466</v>
      </c>
      <c r="B97" s="798" t="s">
        <v>311</v>
      </c>
      <c r="C97" s="798"/>
      <c r="D97" s="798"/>
      <c r="E97" s="252" t="s">
        <v>163</v>
      </c>
      <c r="F97" s="252" t="s">
        <v>134</v>
      </c>
      <c r="G97" s="515"/>
      <c r="H97" s="255"/>
      <c r="I97" s="261">
        <v>44339</v>
      </c>
    </row>
    <row r="98" spans="1:9" s="34" customFormat="1" ht="16.8" customHeight="1">
      <c r="A98" s="312">
        <v>45221142</v>
      </c>
      <c r="B98" s="798" t="s">
        <v>311</v>
      </c>
      <c r="C98" s="798"/>
      <c r="D98" s="798"/>
      <c r="E98" s="252" t="s">
        <v>258</v>
      </c>
      <c r="F98" s="252" t="s">
        <v>134</v>
      </c>
      <c r="G98" s="515">
        <v>306015600</v>
      </c>
      <c r="H98" s="255">
        <v>1</v>
      </c>
      <c r="I98" s="261">
        <v>306015.59999999998</v>
      </c>
    </row>
    <row r="99" spans="1:9" s="34" customFormat="1" ht="16.8" customHeight="1">
      <c r="A99" s="312">
        <v>45221142</v>
      </c>
      <c r="B99" s="798" t="s">
        <v>311</v>
      </c>
      <c r="C99" s="798"/>
      <c r="D99" s="798"/>
      <c r="E99" s="252" t="s">
        <v>258</v>
      </c>
      <c r="F99" s="252" t="s">
        <v>134</v>
      </c>
      <c r="G99" s="515">
        <v>306015600</v>
      </c>
      <c r="H99" s="255">
        <v>1</v>
      </c>
      <c r="I99" s="261">
        <v>306015.59999999998</v>
      </c>
    </row>
    <row r="100" spans="1:9" s="34" customFormat="1" ht="16.8" customHeight="1">
      <c r="A100" s="312">
        <v>45221142</v>
      </c>
      <c r="B100" s="798" t="s">
        <v>311</v>
      </c>
      <c r="C100" s="798"/>
      <c r="D100" s="798"/>
      <c r="E100" s="252" t="s">
        <v>258</v>
      </c>
      <c r="F100" s="252" t="s">
        <v>134</v>
      </c>
      <c r="G100" s="515">
        <v>306015600</v>
      </c>
      <c r="H100" s="255">
        <v>1</v>
      </c>
      <c r="I100" s="261">
        <v>306015.59999999998</v>
      </c>
    </row>
    <row r="101" spans="1:9" s="34" customFormat="1" ht="16.8" customHeight="1">
      <c r="A101" s="312">
        <v>45221142</v>
      </c>
      <c r="B101" s="798" t="s">
        <v>311</v>
      </c>
      <c r="C101" s="798"/>
      <c r="D101" s="798"/>
      <c r="E101" s="252" t="s">
        <v>258</v>
      </c>
      <c r="F101" s="252" t="s">
        <v>134</v>
      </c>
      <c r="G101" s="515">
        <v>306015600</v>
      </c>
      <c r="H101" s="255">
        <v>1</v>
      </c>
      <c r="I101" s="261">
        <v>306015.59999999998</v>
      </c>
    </row>
    <row r="102" spans="1:9" s="34" customFormat="1" ht="16.8" customHeight="1">
      <c r="A102" s="312">
        <v>45221142</v>
      </c>
      <c r="B102" s="798" t="s">
        <v>311</v>
      </c>
      <c r="C102" s="798"/>
      <c r="D102" s="798"/>
      <c r="E102" s="252" t="s">
        <v>258</v>
      </c>
      <c r="F102" s="252" t="s">
        <v>134</v>
      </c>
      <c r="G102" s="515">
        <v>306015600</v>
      </c>
      <c r="H102" s="255">
        <v>1</v>
      </c>
      <c r="I102" s="261">
        <v>306015.59999999998</v>
      </c>
    </row>
    <row r="103" spans="1:9" s="34" customFormat="1" ht="16.8" customHeight="1">
      <c r="A103" s="312">
        <v>45221142</v>
      </c>
      <c r="B103" s="798" t="s">
        <v>311</v>
      </c>
      <c r="C103" s="798"/>
      <c r="D103" s="798"/>
      <c r="E103" s="252" t="s">
        <v>258</v>
      </c>
      <c r="F103" s="252" t="s">
        <v>134</v>
      </c>
      <c r="G103" s="515">
        <v>306015600</v>
      </c>
      <c r="H103" s="255">
        <v>1</v>
      </c>
      <c r="I103" s="261">
        <v>306015.59999999998</v>
      </c>
    </row>
    <row r="104" spans="1:9" s="34" customFormat="1" ht="16.8" customHeight="1">
      <c r="A104" s="312">
        <v>45221142</v>
      </c>
      <c r="B104" s="798" t="s">
        <v>311</v>
      </c>
      <c r="C104" s="798"/>
      <c r="D104" s="798"/>
      <c r="E104" s="252" t="s">
        <v>258</v>
      </c>
      <c r="F104" s="252" t="s">
        <v>134</v>
      </c>
      <c r="G104" s="515">
        <v>287827800</v>
      </c>
      <c r="H104" s="255">
        <v>1</v>
      </c>
      <c r="I104" s="261">
        <v>287827.8</v>
      </c>
    </row>
    <row r="105" spans="1:9" s="34" customFormat="1" ht="16.8" customHeight="1">
      <c r="A105" s="312">
        <v>45221142</v>
      </c>
      <c r="B105" s="798" t="s">
        <v>311</v>
      </c>
      <c r="C105" s="798"/>
      <c r="D105" s="798"/>
      <c r="E105" s="252" t="s">
        <v>258</v>
      </c>
      <c r="F105" s="252" t="s">
        <v>134</v>
      </c>
      <c r="G105" s="515">
        <v>287827800</v>
      </c>
      <c r="H105" s="255">
        <v>1</v>
      </c>
      <c r="I105" s="261">
        <v>287827.8</v>
      </c>
    </row>
    <row r="106" spans="1:9" s="34" customFormat="1" ht="20.75" customHeight="1">
      <c r="A106" s="313" t="s">
        <v>135</v>
      </c>
      <c r="B106" s="809" t="s">
        <v>136</v>
      </c>
      <c r="C106" s="810"/>
      <c r="D106" s="811"/>
      <c r="E106" s="264" t="s">
        <v>135</v>
      </c>
      <c r="F106" s="264" t="s">
        <v>135</v>
      </c>
      <c r="G106" s="264" t="s">
        <v>135</v>
      </c>
      <c r="H106" s="265"/>
      <c r="I106" s="261">
        <f>SUM(I107:I150)</f>
        <v>193500.30000000002</v>
      </c>
    </row>
    <row r="107" spans="1:9" s="34" customFormat="1" ht="15" customHeight="1">
      <c r="A107" s="312">
        <v>71351540</v>
      </c>
      <c r="B107" s="798" t="s">
        <v>137</v>
      </c>
      <c r="C107" s="798"/>
      <c r="D107" s="798"/>
      <c r="E107" s="252" t="s">
        <v>129</v>
      </c>
      <c r="F107" s="252" t="s">
        <v>164</v>
      </c>
      <c r="G107" s="515">
        <v>6917900</v>
      </c>
      <c r="H107" s="255">
        <v>1</v>
      </c>
      <c r="I107" s="261">
        <v>6917.9</v>
      </c>
    </row>
    <row r="108" spans="1:9" s="34" customFormat="1" ht="15" customHeight="1">
      <c r="A108" s="312">
        <v>71351540</v>
      </c>
      <c r="B108" s="798" t="s">
        <v>137</v>
      </c>
      <c r="C108" s="798"/>
      <c r="D108" s="798"/>
      <c r="E108" s="252" t="s">
        <v>129</v>
      </c>
      <c r="F108" s="252" t="s">
        <v>164</v>
      </c>
      <c r="G108" s="515">
        <v>12240600</v>
      </c>
      <c r="H108" s="255">
        <v>1</v>
      </c>
      <c r="I108" s="261">
        <v>12240.6</v>
      </c>
    </row>
    <row r="109" spans="1:9" s="34" customFormat="1" ht="15" customHeight="1">
      <c r="A109" s="312">
        <v>71351540</v>
      </c>
      <c r="B109" s="798" t="s">
        <v>137</v>
      </c>
      <c r="C109" s="798"/>
      <c r="D109" s="798"/>
      <c r="E109" s="252" t="s">
        <v>129</v>
      </c>
      <c r="F109" s="252" t="s">
        <v>164</v>
      </c>
      <c r="G109" s="515">
        <v>12240600</v>
      </c>
      <c r="H109" s="255">
        <v>1</v>
      </c>
      <c r="I109" s="261">
        <v>12240.6</v>
      </c>
    </row>
    <row r="110" spans="1:9" s="34" customFormat="1" ht="15" customHeight="1">
      <c r="A110" s="312">
        <v>71351540</v>
      </c>
      <c r="B110" s="798" t="s">
        <v>137</v>
      </c>
      <c r="C110" s="798"/>
      <c r="D110" s="798"/>
      <c r="E110" s="252" t="s">
        <v>129</v>
      </c>
      <c r="F110" s="252" t="s">
        <v>164</v>
      </c>
      <c r="G110" s="515">
        <v>12240600</v>
      </c>
      <c r="H110" s="255">
        <v>1</v>
      </c>
      <c r="I110" s="261">
        <v>12240.6</v>
      </c>
    </row>
    <row r="111" spans="1:9" s="34" customFormat="1" ht="15" customHeight="1">
      <c r="A111" s="312">
        <v>71351540</v>
      </c>
      <c r="B111" s="798" t="s">
        <v>137</v>
      </c>
      <c r="C111" s="798"/>
      <c r="D111" s="798"/>
      <c r="E111" s="252" t="s">
        <v>129</v>
      </c>
      <c r="F111" s="252" t="s">
        <v>164</v>
      </c>
      <c r="G111" s="515">
        <v>12240600</v>
      </c>
      <c r="H111" s="255">
        <v>1</v>
      </c>
      <c r="I111" s="261">
        <v>12240.6</v>
      </c>
    </row>
    <row r="112" spans="1:9" s="34" customFormat="1" ht="15" customHeight="1">
      <c r="A112" s="312">
        <v>71351540</v>
      </c>
      <c r="B112" s="798" t="s">
        <v>137</v>
      </c>
      <c r="C112" s="798"/>
      <c r="D112" s="798"/>
      <c r="E112" s="252" t="s">
        <v>129</v>
      </c>
      <c r="F112" s="252" t="s">
        <v>164</v>
      </c>
      <c r="G112" s="515">
        <v>12240600</v>
      </c>
      <c r="H112" s="255">
        <v>1</v>
      </c>
      <c r="I112" s="261">
        <v>12240.6</v>
      </c>
    </row>
    <row r="113" spans="1:10" s="34" customFormat="1" ht="15" customHeight="1">
      <c r="A113" s="312">
        <v>71351540</v>
      </c>
      <c r="B113" s="798" t="s">
        <v>137</v>
      </c>
      <c r="C113" s="798"/>
      <c r="D113" s="798"/>
      <c r="E113" s="252" t="s">
        <v>129</v>
      </c>
      <c r="F113" s="252" t="s">
        <v>164</v>
      </c>
      <c r="G113" s="515">
        <v>12240600</v>
      </c>
      <c r="H113" s="255">
        <v>1</v>
      </c>
      <c r="I113" s="261">
        <v>12240.6</v>
      </c>
    </row>
    <row r="114" spans="1:10" s="34" customFormat="1" ht="15" customHeight="1">
      <c r="A114" s="312">
        <v>71351540</v>
      </c>
      <c r="B114" s="798" t="s">
        <v>137</v>
      </c>
      <c r="C114" s="798"/>
      <c r="D114" s="798"/>
      <c r="E114" s="252" t="s">
        <v>129</v>
      </c>
      <c r="F114" s="252" t="s">
        <v>164</v>
      </c>
      <c r="G114" s="515">
        <v>12240600</v>
      </c>
      <c r="H114" s="255">
        <v>1</v>
      </c>
      <c r="I114" s="261">
        <v>12240.6</v>
      </c>
    </row>
    <row r="115" spans="1:10" s="34" customFormat="1" ht="15" customHeight="1">
      <c r="A115" s="312">
        <v>71351540</v>
      </c>
      <c r="B115" s="798" t="s">
        <v>137</v>
      </c>
      <c r="C115" s="798"/>
      <c r="D115" s="798"/>
      <c r="E115" s="252" t="s">
        <v>129</v>
      </c>
      <c r="F115" s="252" t="s">
        <v>164</v>
      </c>
      <c r="G115" s="515">
        <v>11513200</v>
      </c>
      <c r="H115" s="255">
        <v>1</v>
      </c>
      <c r="I115" s="261">
        <v>11513.2</v>
      </c>
    </row>
    <row r="116" spans="1:10" s="34" customFormat="1" ht="15" customHeight="1">
      <c r="A116" s="312">
        <v>71351540</v>
      </c>
      <c r="B116" s="798" t="s">
        <v>137</v>
      </c>
      <c r="C116" s="798"/>
      <c r="D116" s="798"/>
      <c r="E116" s="252" t="s">
        <v>129</v>
      </c>
      <c r="F116" s="252" t="s">
        <v>164</v>
      </c>
      <c r="G116" s="515">
        <v>11513200</v>
      </c>
      <c r="H116" s="255">
        <v>1</v>
      </c>
      <c r="I116" s="261">
        <v>11513.2</v>
      </c>
    </row>
    <row r="117" spans="1:10" s="34" customFormat="1">
      <c r="A117" s="311">
        <v>98111140</v>
      </c>
      <c r="B117" s="797" t="s">
        <v>138</v>
      </c>
      <c r="C117" s="797"/>
      <c r="D117" s="797"/>
      <c r="E117" s="267" t="s">
        <v>165</v>
      </c>
      <c r="F117" s="252" t="s">
        <v>164</v>
      </c>
      <c r="G117" s="515">
        <v>2285400</v>
      </c>
      <c r="H117" s="255">
        <v>1</v>
      </c>
      <c r="I117" s="261">
        <v>2285.4</v>
      </c>
      <c r="J117" s="268"/>
    </row>
    <row r="118" spans="1:10" s="34" customFormat="1">
      <c r="A118" s="311">
        <v>98111140</v>
      </c>
      <c r="B118" s="797" t="s">
        <v>138</v>
      </c>
      <c r="C118" s="797"/>
      <c r="D118" s="797"/>
      <c r="E118" s="267" t="s">
        <v>165</v>
      </c>
      <c r="F118" s="252" t="s">
        <v>164</v>
      </c>
      <c r="G118" s="515">
        <v>1836100</v>
      </c>
      <c r="H118" s="255">
        <v>1</v>
      </c>
      <c r="I118" s="261">
        <v>1836.1</v>
      </c>
      <c r="J118" s="268"/>
    </row>
    <row r="119" spans="1:10" s="34" customFormat="1">
      <c r="A119" s="311">
        <v>98111140</v>
      </c>
      <c r="B119" s="797" t="s">
        <v>138</v>
      </c>
      <c r="C119" s="797"/>
      <c r="D119" s="797"/>
      <c r="E119" s="267" t="s">
        <v>165</v>
      </c>
      <c r="F119" s="252" t="s">
        <v>164</v>
      </c>
      <c r="G119" s="515">
        <v>1836100</v>
      </c>
      <c r="H119" s="255">
        <v>1</v>
      </c>
      <c r="I119" s="261">
        <v>1836.1</v>
      </c>
      <c r="J119" s="268"/>
    </row>
    <row r="120" spans="1:10" s="34" customFormat="1">
      <c r="A120" s="311">
        <v>98111140</v>
      </c>
      <c r="B120" s="797" t="s">
        <v>138</v>
      </c>
      <c r="C120" s="797"/>
      <c r="D120" s="797"/>
      <c r="E120" s="267" t="s">
        <v>165</v>
      </c>
      <c r="F120" s="252" t="s">
        <v>164</v>
      </c>
      <c r="G120" s="515">
        <v>1836100</v>
      </c>
      <c r="H120" s="255">
        <v>1</v>
      </c>
      <c r="I120" s="261">
        <v>1836.1</v>
      </c>
      <c r="J120" s="268"/>
    </row>
    <row r="121" spans="1:10" s="34" customFormat="1">
      <c r="A121" s="311">
        <v>98111140</v>
      </c>
      <c r="B121" s="797" t="s">
        <v>138</v>
      </c>
      <c r="C121" s="797"/>
      <c r="D121" s="797"/>
      <c r="E121" s="267" t="s">
        <v>165</v>
      </c>
      <c r="F121" s="252" t="s">
        <v>164</v>
      </c>
      <c r="G121" s="515">
        <v>1836100</v>
      </c>
      <c r="H121" s="255">
        <v>1</v>
      </c>
      <c r="I121" s="261">
        <v>1836.1</v>
      </c>
      <c r="J121" s="268"/>
    </row>
    <row r="122" spans="1:10" s="34" customFormat="1">
      <c r="A122" s="311">
        <v>98111140</v>
      </c>
      <c r="B122" s="797" t="s">
        <v>138</v>
      </c>
      <c r="C122" s="797"/>
      <c r="D122" s="797"/>
      <c r="E122" s="267" t="s">
        <v>165</v>
      </c>
      <c r="F122" s="252" t="s">
        <v>164</v>
      </c>
      <c r="G122" s="515">
        <v>1836100</v>
      </c>
      <c r="H122" s="255">
        <v>1</v>
      </c>
      <c r="I122" s="261">
        <v>1836.1</v>
      </c>
      <c r="J122" s="268"/>
    </row>
    <row r="123" spans="1:10" s="34" customFormat="1">
      <c r="A123" s="311">
        <v>98111140</v>
      </c>
      <c r="B123" s="797" t="s">
        <v>138</v>
      </c>
      <c r="C123" s="797"/>
      <c r="D123" s="797"/>
      <c r="E123" s="267" t="s">
        <v>165</v>
      </c>
      <c r="F123" s="252" t="s">
        <v>164</v>
      </c>
      <c r="G123" s="515">
        <v>1836100</v>
      </c>
      <c r="H123" s="255">
        <v>1</v>
      </c>
      <c r="I123" s="261">
        <v>1836.1</v>
      </c>
      <c r="J123" s="268"/>
    </row>
    <row r="124" spans="1:10" s="34" customFormat="1">
      <c r="A124" s="311">
        <v>98111140</v>
      </c>
      <c r="B124" s="797" t="s">
        <v>138</v>
      </c>
      <c r="C124" s="797"/>
      <c r="D124" s="797"/>
      <c r="E124" s="267" t="s">
        <v>165</v>
      </c>
      <c r="F124" s="252" t="s">
        <v>164</v>
      </c>
      <c r="G124" s="515">
        <v>1836100</v>
      </c>
      <c r="H124" s="255">
        <v>1</v>
      </c>
      <c r="I124" s="261">
        <v>1836.1</v>
      </c>
      <c r="J124" s="268"/>
    </row>
    <row r="125" spans="1:10" s="34" customFormat="1">
      <c r="A125" s="311">
        <v>98111140</v>
      </c>
      <c r="B125" s="797" t="s">
        <v>138</v>
      </c>
      <c r="C125" s="797"/>
      <c r="D125" s="797"/>
      <c r="E125" s="267" t="s">
        <v>165</v>
      </c>
      <c r="F125" s="252" t="s">
        <v>164</v>
      </c>
      <c r="G125" s="515">
        <v>1726900</v>
      </c>
      <c r="H125" s="255">
        <v>1</v>
      </c>
      <c r="I125" s="261">
        <v>1726.9</v>
      </c>
      <c r="J125" s="268"/>
    </row>
    <row r="126" spans="1:10" s="34" customFormat="1">
      <c r="A126" s="311">
        <v>98111140</v>
      </c>
      <c r="B126" s="797" t="s">
        <v>138</v>
      </c>
      <c r="C126" s="797"/>
      <c r="D126" s="797"/>
      <c r="E126" s="267" t="s">
        <v>165</v>
      </c>
      <c r="F126" s="252" t="s">
        <v>164</v>
      </c>
      <c r="G126" s="515">
        <v>1726800</v>
      </c>
      <c r="H126" s="255">
        <v>1</v>
      </c>
      <c r="I126" s="261">
        <v>1726.8</v>
      </c>
      <c r="J126" s="268"/>
    </row>
    <row r="127" spans="1:10" s="34" customFormat="1" ht="15" customHeight="1">
      <c r="A127" s="312">
        <v>71241200</v>
      </c>
      <c r="B127" s="798" t="s">
        <v>235</v>
      </c>
      <c r="C127" s="798"/>
      <c r="D127" s="798"/>
      <c r="E127" s="252" t="s">
        <v>491</v>
      </c>
      <c r="F127" s="252" t="s">
        <v>134</v>
      </c>
      <c r="G127" s="515">
        <v>4740000</v>
      </c>
      <c r="H127" s="255">
        <v>1</v>
      </c>
      <c r="I127" s="261">
        <v>4740</v>
      </c>
    </row>
    <row r="128" spans="1:10" s="34" customFormat="1" ht="15" customHeight="1">
      <c r="A128" s="312">
        <v>71241200</v>
      </c>
      <c r="B128" s="798" t="s">
        <v>235</v>
      </c>
      <c r="C128" s="798"/>
      <c r="D128" s="798"/>
      <c r="E128" s="252" t="s">
        <v>491</v>
      </c>
      <c r="F128" s="252" t="s">
        <v>134</v>
      </c>
      <c r="G128" s="515">
        <v>4740000</v>
      </c>
      <c r="H128" s="255">
        <v>1</v>
      </c>
      <c r="I128" s="261">
        <v>4740</v>
      </c>
    </row>
    <row r="129" spans="1:9" s="34" customFormat="1" ht="15" customHeight="1">
      <c r="A129" s="312">
        <v>71241200</v>
      </c>
      <c r="B129" s="798" t="s">
        <v>235</v>
      </c>
      <c r="C129" s="798"/>
      <c r="D129" s="798"/>
      <c r="E129" s="252" t="s">
        <v>491</v>
      </c>
      <c r="F129" s="252" t="s">
        <v>134</v>
      </c>
      <c r="G129" s="515">
        <v>4740000</v>
      </c>
      <c r="H129" s="255">
        <v>1</v>
      </c>
      <c r="I129" s="261">
        <v>4740</v>
      </c>
    </row>
    <row r="130" spans="1:9" s="34" customFormat="1" ht="15" customHeight="1">
      <c r="A130" s="312">
        <v>71241200</v>
      </c>
      <c r="B130" s="798" t="s">
        <v>235</v>
      </c>
      <c r="C130" s="798"/>
      <c r="D130" s="798"/>
      <c r="E130" s="252" t="s">
        <v>491</v>
      </c>
      <c r="F130" s="252" t="s">
        <v>134</v>
      </c>
      <c r="G130" s="515">
        <v>4740000</v>
      </c>
      <c r="H130" s="255">
        <v>1</v>
      </c>
      <c r="I130" s="261">
        <v>4740</v>
      </c>
    </row>
    <row r="131" spans="1:9" s="34" customFormat="1" ht="15" customHeight="1">
      <c r="A131" s="312">
        <v>71241200</v>
      </c>
      <c r="B131" s="798" t="s">
        <v>235</v>
      </c>
      <c r="C131" s="798"/>
      <c r="D131" s="798"/>
      <c r="E131" s="252" t="s">
        <v>491</v>
      </c>
      <c r="F131" s="252" t="s">
        <v>134</v>
      </c>
      <c r="G131" s="515">
        <v>4740000</v>
      </c>
      <c r="H131" s="255">
        <v>1</v>
      </c>
      <c r="I131" s="261">
        <v>4740</v>
      </c>
    </row>
    <row r="132" spans="1:9" s="34" customFormat="1" ht="15" customHeight="1">
      <c r="A132" s="312">
        <v>71241200</v>
      </c>
      <c r="B132" s="798" t="s">
        <v>235</v>
      </c>
      <c r="C132" s="798"/>
      <c r="D132" s="798"/>
      <c r="E132" s="252" t="s">
        <v>491</v>
      </c>
      <c r="F132" s="252" t="s">
        <v>134</v>
      </c>
      <c r="G132" s="515">
        <v>4740000</v>
      </c>
      <c r="H132" s="255">
        <v>1</v>
      </c>
      <c r="I132" s="261">
        <v>4740</v>
      </c>
    </row>
    <row r="133" spans="1:9" s="34" customFormat="1" ht="15" customHeight="1">
      <c r="A133" s="312">
        <v>71241200</v>
      </c>
      <c r="B133" s="798" t="s">
        <v>235</v>
      </c>
      <c r="C133" s="798"/>
      <c r="D133" s="798"/>
      <c r="E133" s="252" t="s">
        <v>491</v>
      </c>
      <c r="F133" s="252" t="s">
        <v>134</v>
      </c>
      <c r="G133" s="515">
        <v>4740000</v>
      </c>
      <c r="H133" s="255">
        <v>1</v>
      </c>
      <c r="I133" s="261">
        <v>4740</v>
      </c>
    </row>
    <row r="134" spans="1:9" s="34" customFormat="1" ht="15" customHeight="1">
      <c r="A134" s="312">
        <v>71241200</v>
      </c>
      <c r="B134" s="798" t="s">
        <v>235</v>
      </c>
      <c r="C134" s="798"/>
      <c r="D134" s="798"/>
      <c r="E134" s="252" t="s">
        <v>491</v>
      </c>
      <c r="F134" s="252" t="s">
        <v>134</v>
      </c>
      <c r="G134" s="515">
        <v>4740000</v>
      </c>
      <c r="H134" s="255">
        <v>1</v>
      </c>
      <c r="I134" s="261">
        <v>4740</v>
      </c>
    </row>
    <row r="135" spans="1:9" s="34" customFormat="1" ht="15" customHeight="1">
      <c r="A135" s="312">
        <v>71241200</v>
      </c>
      <c r="B135" s="798" t="s">
        <v>235</v>
      </c>
      <c r="C135" s="798"/>
      <c r="D135" s="798"/>
      <c r="E135" s="252" t="s">
        <v>491</v>
      </c>
      <c r="F135" s="252" t="s">
        <v>134</v>
      </c>
      <c r="G135" s="515">
        <v>4740000</v>
      </c>
      <c r="H135" s="255">
        <v>1</v>
      </c>
      <c r="I135" s="261">
        <v>4740</v>
      </c>
    </row>
    <row r="136" spans="1:9" s="34" customFormat="1" ht="15" customHeight="1">
      <c r="A136" s="312">
        <v>71241200</v>
      </c>
      <c r="B136" s="798" t="s">
        <v>235</v>
      </c>
      <c r="C136" s="798"/>
      <c r="D136" s="798"/>
      <c r="E136" s="252" t="s">
        <v>491</v>
      </c>
      <c r="F136" s="252" t="s">
        <v>134</v>
      </c>
      <c r="G136" s="515">
        <v>4740000</v>
      </c>
      <c r="H136" s="255">
        <v>1</v>
      </c>
      <c r="I136" s="261">
        <v>4740</v>
      </c>
    </row>
    <row r="137" spans="1:9" s="34" customFormat="1" ht="15" customHeight="1">
      <c r="A137" s="312">
        <v>71241200</v>
      </c>
      <c r="B137" s="798" t="s">
        <v>235</v>
      </c>
      <c r="C137" s="798"/>
      <c r="D137" s="798"/>
      <c r="E137" s="252" t="s">
        <v>491</v>
      </c>
      <c r="F137" s="252" t="s">
        <v>134</v>
      </c>
      <c r="G137" s="515">
        <v>4740000</v>
      </c>
      <c r="H137" s="255">
        <v>1</v>
      </c>
      <c r="I137" s="261">
        <v>4740</v>
      </c>
    </row>
    <row r="138" spans="1:9" s="34" customFormat="1" ht="15" customHeight="1">
      <c r="A138" s="464">
        <v>71241200</v>
      </c>
      <c r="B138" s="798" t="s">
        <v>235</v>
      </c>
      <c r="C138" s="798"/>
      <c r="D138" s="798"/>
      <c r="E138" s="252" t="s">
        <v>491</v>
      </c>
      <c r="F138" s="252" t="s">
        <v>134</v>
      </c>
      <c r="G138" s="515">
        <v>4740000</v>
      </c>
      <c r="H138" s="255">
        <v>1</v>
      </c>
      <c r="I138" s="261">
        <v>4740</v>
      </c>
    </row>
    <row r="139" spans="1:9" s="34" customFormat="1" ht="15" customHeight="1">
      <c r="A139" s="308">
        <v>50531140</v>
      </c>
      <c r="B139" s="799" t="s">
        <v>236</v>
      </c>
      <c r="C139" s="799"/>
      <c r="D139" s="799"/>
      <c r="E139" s="253" t="s">
        <v>129</v>
      </c>
      <c r="F139" s="253" t="s">
        <v>134</v>
      </c>
      <c r="G139" s="515">
        <v>200000</v>
      </c>
      <c r="H139" s="255">
        <v>1</v>
      </c>
      <c r="I139" s="261">
        <v>200</v>
      </c>
    </row>
    <row r="140" spans="1:9" s="34" customFormat="1" ht="15" customHeight="1">
      <c r="A140" s="308">
        <v>50531140</v>
      </c>
      <c r="B140" s="799" t="s">
        <v>236</v>
      </c>
      <c r="C140" s="799"/>
      <c r="D140" s="799"/>
      <c r="E140" s="253" t="s">
        <v>129</v>
      </c>
      <c r="F140" s="253" t="s">
        <v>134</v>
      </c>
      <c r="G140" s="515">
        <v>200000</v>
      </c>
      <c r="H140" s="255">
        <v>1</v>
      </c>
      <c r="I140" s="261">
        <v>200</v>
      </c>
    </row>
    <row r="141" spans="1:9" s="34" customFormat="1" ht="15" customHeight="1">
      <c r="A141" s="308">
        <v>50531140</v>
      </c>
      <c r="B141" s="799" t="s">
        <v>236</v>
      </c>
      <c r="C141" s="799"/>
      <c r="D141" s="799"/>
      <c r="E141" s="253" t="s">
        <v>129</v>
      </c>
      <c r="F141" s="253" t="s">
        <v>134</v>
      </c>
      <c r="G141" s="515">
        <v>200000</v>
      </c>
      <c r="H141" s="255">
        <v>1</v>
      </c>
      <c r="I141" s="261">
        <v>200</v>
      </c>
    </row>
    <row r="142" spans="1:9" s="34" customFormat="1" ht="15" customHeight="1">
      <c r="A142" s="308">
        <v>50531140</v>
      </c>
      <c r="B142" s="799" t="s">
        <v>236</v>
      </c>
      <c r="C142" s="799"/>
      <c r="D142" s="799"/>
      <c r="E142" s="253" t="s">
        <v>129</v>
      </c>
      <c r="F142" s="253" t="s">
        <v>134</v>
      </c>
      <c r="G142" s="515">
        <v>200000</v>
      </c>
      <c r="H142" s="255">
        <v>1</v>
      </c>
      <c r="I142" s="261">
        <v>200</v>
      </c>
    </row>
    <row r="143" spans="1:9" s="34" customFormat="1" ht="15" customHeight="1">
      <c r="A143" s="308">
        <v>50531140</v>
      </c>
      <c r="B143" s="799" t="s">
        <v>236</v>
      </c>
      <c r="C143" s="799"/>
      <c r="D143" s="799"/>
      <c r="E143" s="253" t="s">
        <v>129</v>
      </c>
      <c r="F143" s="253" t="s">
        <v>134</v>
      </c>
      <c r="G143" s="515">
        <v>200000</v>
      </c>
      <c r="H143" s="255">
        <v>1</v>
      </c>
      <c r="I143" s="261">
        <v>200</v>
      </c>
    </row>
    <row r="144" spans="1:9" s="34" customFormat="1" ht="15" customHeight="1">
      <c r="A144" s="308">
        <v>50531140</v>
      </c>
      <c r="B144" s="799" t="s">
        <v>236</v>
      </c>
      <c r="C144" s="799"/>
      <c r="D144" s="799"/>
      <c r="E144" s="253" t="s">
        <v>129</v>
      </c>
      <c r="F144" s="253" t="s">
        <v>134</v>
      </c>
      <c r="G144" s="515">
        <v>200000</v>
      </c>
      <c r="H144" s="255">
        <v>1</v>
      </c>
      <c r="I144" s="261">
        <v>200</v>
      </c>
    </row>
    <row r="145" spans="1:10" s="34" customFormat="1" ht="15" customHeight="1">
      <c r="A145" s="308">
        <v>50531140</v>
      </c>
      <c r="B145" s="799" t="s">
        <v>236</v>
      </c>
      <c r="C145" s="799"/>
      <c r="D145" s="799"/>
      <c r="E145" s="253" t="s">
        <v>129</v>
      </c>
      <c r="F145" s="253" t="s">
        <v>134</v>
      </c>
      <c r="G145" s="515">
        <v>200000</v>
      </c>
      <c r="H145" s="255">
        <v>1</v>
      </c>
      <c r="I145" s="261">
        <v>200</v>
      </c>
    </row>
    <row r="146" spans="1:10" s="34" customFormat="1" ht="15" customHeight="1">
      <c r="A146" s="308">
        <v>50531140</v>
      </c>
      <c r="B146" s="799" t="s">
        <v>236</v>
      </c>
      <c r="C146" s="799"/>
      <c r="D146" s="799"/>
      <c r="E146" s="253" t="s">
        <v>129</v>
      </c>
      <c r="F146" s="253" t="s">
        <v>134</v>
      </c>
      <c r="G146" s="515">
        <v>200000</v>
      </c>
      <c r="H146" s="255">
        <v>1</v>
      </c>
      <c r="I146" s="261">
        <v>200</v>
      </c>
    </row>
    <row r="147" spans="1:10" s="34" customFormat="1" ht="15" customHeight="1">
      <c r="A147" s="308">
        <v>50531140</v>
      </c>
      <c r="B147" s="799" t="s">
        <v>236</v>
      </c>
      <c r="C147" s="799"/>
      <c r="D147" s="799"/>
      <c r="E147" s="253" t="s">
        <v>129</v>
      </c>
      <c r="F147" s="253" t="s">
        <v>134</v>
      </c>
      <c r="G147" s="515">
        <v>200000</v>
      </c>
      <c r="H147" s="255">
        <v>1</v>
      </c>
      <c r="I147" s="261">
        <v>200</v>
      </c>
    </row>
    <row r="148" spans="1:10" s="34" customFormat="1" ht="15" customHeight="1">
      <c r="A148" s="308">
        <v>50531140</v>
      </c>
      <c r="B148" s="799" t="s">
        <v>236</v>
      </c>
      <c r="C148" s="799"/>
      <c r="D148" s="799"/>
      <c r="E148" s="253" t="s">
        <v>129</v>
      </c>
      <c r="F148" s="253" t="s">
        <v>134</v>
      </c>
      <c r="G148" s="515">
        <v>200000</v>
      </c>
      <c r="H148" s="255">
        <v>1</v>
      </c>
      <c r="I148" s="261">
        <v>200</v>
      </c>
    </row>
    <row r="149" spans="1:10" s="34" customFormat="1" ht="15" customHeight="1">
      <c r="A149" s="308">
        <v>50531140</v>
      </c>
      <c r="B149" s="799" t="s">
        <v>236</v>
      </c>
      <c r="C149" s="799"/>
      <c r="D149" s="799"/>
      <c r="E149" s="253" t="s">
        <v>129</v>
      </c>
      <c r="F149" s="253" t="s">
        <v>134</v>
      </c>
      <c r="G149" s="515">
        <v>200000</v>
      </c>
      <c r="H149" s="255">
        <v>1</v>
      </c>
      <c r="I149" s="261">
        <v>200</v>
      </c>
    </row>
    <row r="150" spans="1:10" s="34" customFormat="1" ht="15" customHeight="1">
      <c r="A150" s="466">
        <v>50531140</v>
      </c>
      <c r="B150" s="799" t="s">
        <v>236</v>
      </c>
      <c r="C150" s="799"/>
      <c r="D150" s="799"/>
      <c r="E150" s="253" t="s">
        <v>129</v>
      </c>
      <c r="F150" s="253" t="s">
        <v>134</v>
      </c>
      <c r="G150" s="515">
        <v>200000</v>
      </c>
      <c r="H150" s="255">
        <v>1</v>
      </c>
      <c r="I150" s="261">
        <v>200</v>
      </c>
    </row>
    <row r="151" spans="1:10" s="263" customFormat="1" ht="54.85" customHeight="1">
      <c r="A151" s="245" t="s">
        <v>161</v>
      </c>
      <c r="B151" s="803" t="s">
        <v>76</v>
      </c>
      <c r="C151" s="803"/>
      <c r="D151" s="803"/>
      <c r="E151" s="803"/>
      <c r="F151" s="803"/>
      <c r="G151" s="803"/>
      <c r="H151" s="803"/>
      <c r="I151" s="262">
        <f>+I152+I154</f>
        <v>-43857.100000000006</v>
      </c>
    </row>
    <row r="152" spans="1:10" s="34" customFormat="1" ht="20.75" customHeight="1">
      <c r="A152" s="313"/>
      <c r="B152" s="816" t="s">
        <v>133</v>
      </c>
      <c r="C152" s="816"/>
      <c r="D152" s="816"/>
      <c r="E152" s="264"/>
      <c r="F152" s="264"/>
      <c r="G152" s="264"/>
      <c r="H152" s="265"/>
      <c r="I152" s="261">
        <f>+I153</f>
        <v>-68086.100000000006</v>
      </c>
    </row>
    <row r="153" spans="1:10" s="271" customFormat="1" ht="33.85" customHeight="1">
      <c r="A153" s="311" t="s">
        <v>298</v>
      </c>
      <c r="B153" s="797" t="s">
        <v>162</v>
      </c>
      <c r="C153" s="797"/>
      <c r="D153" s="797"/>
      <c r="E153" s="252" t="s">
        <v>163</v>
      </c>
      <c r="F153" s="363" t="s">
        <v>134</v>
      </c>
      <c r="G153" s="519"/>
      <c r="H153" s="364"/>
      <c r="I153" s="261">
        <v>-68086.100000000006</v>
      </c>
    </row>
    <row r="154" spans="1:10" s="34" customFormat="1" ht="20.75" customHeight="1">
      <c r="A154" s="313" t="s">
        <v>135</v>
      </c>
      <c r="B154" s="816" t="s">
        <v>136</v>
      </c>
      <c r="C154" s="816"/>
      <c r="D154" s="816"/>
      <c r="E154" s="264" t="s">
        <v>135</v>
      </c>
      <c r="F154" s="264" t="s">
        <v>135</v>
      </c>
      <c r="G154" s="264" t="s">
        <v>135</v>
      </c>
      <c r="H154" s="265"/>
      <c r="I154" s="261">
        <f>+I155+I156</f>
        <v>24229</v>
      </c>
    </row>
    <row r="155" spans="1:10" s="34" customFormat="1" ht="15" customHeight="1">
      <c r="A155" s="312">
        <v>71351540</v>
      </c>
      <c r="B155" s="798" t="s">
        <v>137</v>
      </c>
      <c r="C155" s="798"/>
      <c r="D155" s="798"/>
      <c r="E155" s="252" t="s">
        <v>129</v>
      </c>
      <c r="F155" s="252" t="s">
        <v>164</v>
      </c>
      <c r="G155" s="515">
        <v>17922600</v>
      </c>
      <c r="H155" s="255">
        <v>1</v>
      </c>
      <c r="I155" s="261">
        <v>17922.599999999999</v>
      </c>
    </row>
    <row r="156" spans="1:10" s="34" customFormat="1" ht="15" customHeight="1">
      <c r="A156" s="311">
        <v>98111140</v>
      </c>
      <c r="B156" s="797" t="s">
        <v>138</v>
      </c>
      <c r="C156" s="797"/>
      <c r="D156" s="797"/>
      <c r="E156" s="267" t="s">
        <v>165</v>
      </c>
      <c r="F156" s="252" t="s">
        <v>164</v>
      </c>
      <c r="G156" s="515">
        <v>6306400</v>
      </c>
      <c r="H156" s="255">
        <v>1</v>
      </c>
      <c r="I156" s="261">
        <v>6306.4</v>
      </c>
      <c r="J156" s="268"/>
    </row>
    <row r="157" spans="1:10" s="263" customFormat="1" ht="54.85" customHeight="1">
      <c r="A157" s="245" t="s">
        <v>234</v>
      </c>
      <c r="B157" s="803" t="s">
        <v>109</v>
      </c>
      <c r="C157" s="803"/>
      <c r="D157" s="803"/>
      <c r="E157" s="803"/>
      <c r="F157" s="803"/>
      <c r="G157" s="803"/>
      <c r="H157" s="803"/>
      <c r="I157" s="262">
        <f>+I158+I161</f>
        <v>-292651.59999999992</v>
      </c>
    </row>
    <row r="158" spans="1:10" s="34" customFormat="1" ht="20.75" customHeight="1">
      <c r="A158" s="313"/>
      <c r="B158" s="816" t="s">
        <v>133</v>
      </c>
      <c r="C158" s="816"/>
      <c r="D158" s="816"/>
      <c r="E158" s="264"/>
      <c r="F158" s="264"/>
      <c r="G158" s="264"/>
      <c r="H158" s="265"/>
      <c r="I158" s="261">
        <f>SUM(I159:I160)</f>
        <v>-323107.99999999994</v>
      </c>
    </row>
    <row r="159" spans="1:10" s="400" customFormat="1" ht="34.5" customHeight="1">
      <c r="A159" s="471">
        <v>45221142</v>
      </c>
      <c r="B159" s="798" t="s">
        <v>311</v>
      </c>
      <c r="C159" s="798"/>
      <c r="D159" s="798"/>
      <c r="E159" s="252" t="s">
        <v>239</v>
      </c>
      <c r="F159" s="470" t="s">
        <v>134</v>
      </c>
      <c r="G159" s="181">
        <v>372726200</v>
      </c>
      <c r="H159" s="267">
        <v>1</v>
      </c>
      <c r="I159" s="399">
        <v>372726.2</v>
      </c>
    </row>
    <row r="160" spans="1:10" s="491" customFormat="1" ht="34.5" customHeight="1">
      <c r="A160" s="472" t="s">
        <v>298</v>
      </c>
      <c r="B160" s="797" t="s">
        <v>162</v>
      </c>
      <c r="C160" s="797"/>
      <c r="D160" s="797"/>
      <c r="E160" s="252" t="s">
        <v>239</v>
      </c>
      <c r="F160" s="489" t="s">
        <v>134</v>
      </c>
      <c r="G160" s="514"/>
      <c r="H160" s="490"/>
      <c r="I160" s="250">
        <v>-695834.2</v>
      </c>
    </row>
    <row r="161" spans="1:9" s="34" customFormat="1" ht="20.75" customHeight="1">
      <c r="A161" s="313" t="s">
        <v>135</v>
      </c>
      <c r="B161" s="809" t="s">
        <v>136</v>
      </c>
      <c r="C161" s="810"/>
      <c r="D161" s="811"/>
      <c r="E161" s="264" t="s">
        <v>135</v>
      </c>
      <c r="F161" s="264" t="s">
        <v>135</v>
      </c>
      <c r="G161" s="264" t="s">
        <v>135</v>
      </c>
      <c r="H161" s="265"/>
      <c r="I161" s="261">
        <f>SUM(I162:I165)</f>
        <v>30456.400000000001</v>
      </c>
    </row>
    <row r="162" spans="1:9" s="251" customFormat="1">
      <c r="A162" s="472" t="s">
        <v>490</v>
      </c>
      <c r="B162" s="797" t="s">
        <v>137</v>
      </c>
      <c r="C162" s="797"/>
      <c r="D162" s="797"/>
      <c r="E162" s="252" t="s">
        <v>129</v>
      </c>
      <c r="F162" s="252" t="s">
        <v>164</v>
      </c>
      <c r="G162" s="515">
        <v>11163700</v>
      </c>
      <c r="H162" s="255">
        <v>1</v>
      </c>
      <c r="I162" s="250">
        <v>11163.7</v>
      </c>
    </row>
    <row r="163" spans="1:9" s="460" customFormat="1">
      <c r="A163" s="472">
        <v>71351540</v>
      </c>
      <c r="B163" s="797" t="s">
        <v>137</v>
      </c>
      <c r="C163" s="797"/>
      <c r="D163" s="797"/>
      <c r="E163" s="252" t="s">
        <v>129</v>
      </c>
      <c r="F163" s="252" t="s">
        <v>164</v>
      </c>
      <c r="G163" s="520">
        <v>14524000</v>
      </c>
      <c r="H163" s="401">
        <v>1</v>
      </c>
      <c r="I163" s="459">
        <v>14524</v>
      </c>
    </row>
    <row r="164" spans="1:9" s="34" customFormat="1">
      <c r="A164" s="311">
        <v>98111140</v>
      </c>
      <c r="B164" s="797" t="s">
        <v>138</v>
      </c>
      <c r="C164" s="797"/>
      <c r="D164" s="797"/>
      <c r="E164" s="256" t="s">
        <v>165</v>
      </c>
      <c r="F164" s="252" t="s">
        <v>164</v>
      </c>
      <c r="G164" s="515">
        <v>2744500</v>
      </c>
      <c r="H164" s="255">
        <v>1</v>
      </c>
      <c r="I164" s="250">
        <v>2744.5</v>
      </c>
    </row>
    <row r="165" spans="1:9" s="402" customFormat="1">
      <c r="A165" s="465">
        <v>98111140</v>
      </c>
      <c r="B165" s="797" t="s">
        <v>138</v>
      </c>
      <c r="C165" s="797"/>
      <c r="D165" s="797"/>
      <c r="E165" s="256" t="s">
        <v>165</v>
      </c>
      <c r="F165" s="252" t="s">
        <v>164</v>
      </c>
      <c r="G165" s="520">
        <v>2024200</v>
      </c>
      <c r="H165" s="401">
        <v>1</v>
      </c>
      <c r="I165" s="459">
        <v>2024.2</v>
      </c>
    </row>
    <row r="166" spans="1:9" s="263" customFormat="1" ht="54.85" customHeight="1">
      <c r="A166" s="245" t="s">
        <v>536</v>
      </c>
      <c r="B166" s="803" t="s">
        <v>403</v>
      </c>
      <c r="C166" s="803"/>
      <c r="D166" s="803"/>
      <c r="E166" s="803"/>
      <c r="F166" s="803"/>
      <c r="G166" s="803"/>
      <c r="H166" s="803"/>
      <c r="I166" s="262">
        <f>+I167+I169</f>
        <v>507957.9</v>
      </c>
    </row>
    <row r="167" spans="1:9" s="34" customFormat="1" ht="20.75" customHeight="1">
      <c r="A167" s="313"/>
      <c r="B167" s="816" t="s">
        <v>133</v>
      </c>
      <c r="C167" s="816"/>
      <c r="D167" s="816"/>
      <c r="E167" s="264"/>
      <c r="F167" s="264"/>
      <c r="G167" s="264"/>
      <c r="H167" s="265"/>
      <c r="I167" s="261">
        <f>+I168</f>
        <v>485619.4</v>
      </c>
    </row>
    <row r="168" spans="1:9" s="491" customFormat="1" ht="34.5" customHeight="1">
      <c r="A168" s="562">
        <v>45211131</v>
      </c>
      <c r="B168" s="797" t="s">
        <v>162</v>
      </c>
      <c r="C168" s="797"/>
      <c r="D168" s="797"/>
      <c r="E168" s="563" t="s">
        <v>163</v>
      </c>
      <c r="F168" s="489" t="s">
        <v>134</v>
      </c>
      <c r="G168" s="514">
        <v>485619400</v>
      </c>
      <c r="H168" s="490">
        <v>1</v>
      </c>
      <c r="I168" s="250">
        <v>485619.4</v>
      </c>
    </row>
    <row r="169" spans="1:9" s="34" customFormat="1" ht="20.75" customHeight="1">
      <c r="A169" s="313" t="s">
        <v>135</v>
      </c>
      <c r="B169" s="809" t="s">
        <v>136</v>
      </c>
      <c r="C169" s="810"/>
      <c r="D169" s="811"/>
      <c r="E169" s="264" t="s">
        <v>135</v>
      </c>
      <c r="F169" s="264" t="s">
        <v>135</v>
      </c>
      <c r="G169" s="264" t="s">
        <v>135</v>
      </c>
      <c r="H169" s="265"/>
      <c r="I169" s="261">
        <f>SUM(I170:I171)</f>
        <v>22338.5</v>
      </c>
    </row>
    <row r="170" spans="1:9" s="251" customFormat="1">
      <c r="A170" s="562">
        <v>71351540</v>
      </c>
      <c r="B170" s="797" t="s">
        <v>137</v>
      </c>
      <c r="C170" s="797"/>
      <c r="D170" s="797"/>
      <c r="E170" s="563" t="s">
        <v>129</v>
      </c>
      <c r="F170" s="563" t="s">
        <v>164</v>
      </c>
      <c r="G170" s="515">
        <v>19424800</v>
      </c>
      <c r="H170" s="255">
        <v>1</v>
      </c>
      <c r="I170" s="250">
        <v>19424.8</v>
      </c>
    </row>
    <row r="171" spans="1:9" s="34" customFormat="1">
      <c r="A171" s="562">
        <v>98111140</v>
      </c>
      <c r="B171" s="797" t="s">
        <v>138</v>
      </c>
      <c r="C171" s="797"/>
      <c r="D171" s="797"/>
      <c r="E171" s="256" t="s">
        <v>165</v>
      </c>
      <c r="F171" s="563" t="s">
        <v>164</v>
      </c>
      <c r="G171" s="515">
        <v>2913700</v>
      </c>
      <c r="H171" s="255">
        <v>1</v>
      </c>
      <c r="I171" s="250">
        <v>2913.7</v>
      </c>
    </row>
    <row r="172" spans="1:9" s="247" customFormat="1" ht="54.85" customHeight="1">
      <c r="A172" s="245" t="s">
        <v>237</v>
      </c>
      <c r="B172" s="803" t="s">
        <v>183</v>
      </c>
      <c r="C172" s="803"/>
      <c r="D172" s="803"/>
      <c r="E172" s="803"/>
      <c r="F172" s="803"/>
      <c r="G172" s="803"/>
      <c r="H172" s="803"/>
      <c r="I172" s="246">
        <f>+I173+I175</f>
        <v>-154319.4</v>
      </c>
    </row>
    <row r="173" spans="1:9" s="271" customFormat="1" ht="20.75" customHeight="1">
      <c r="A173" s="269"/>
      <c r="B173" s="809" t="s">
        <v>133</v>
      </c>
      <c r="C173" s="810"/>
      <c r="D173" s="811"/>
      <c r="E173" s="264"/>
      <c r="F173" s="264"/>
      <c r="G173" s="264"/>
      <c r="H173" s="270"/>
      <c r="I173" s="261">
        <f>+I174</f>
        <v>-156118.6</v>
      </c>
    </row>
    <row r="174" spans="1:9" s="242" customFormat="1" ht="16.399999999999999" customHeight="1">
      <c r="A174" s="310" t="s">
        <v>244</v>
      </c>
      <c r="B174" s="820" t="s">
        <v>238</v>
      </c>
      <c r="C174" s="820"/>
      <c r="D174" s="820"/>
      <c r="E174" s="253" t="s">
        <v>239</v>
      </c>
      <c r="F174" s="253" t="s">
        <v>134</v>
      </c>
      <c r="G174" s="519"/>
      <c r="H174" s="266"/>
      <c r="I174" s="261">
        <v>-156118.6</v>
      </c>
    </row>
    <row r="175" spans="1:9" s="34" customFormat="1" ht="20.75" customHeight="1">
      <c r="A175" s="313" t="s">
        <v>135</v>
      </c>
      <c r="B175" s="809" t="s">
        <v>136</v>
      </c>
      <c r="C175" s="810"/>
      <c r="D175" s="811"/>
      <c r="E175" s="264" t="s">
        <v>135</v>
      </c>
      <c r="F175" s="264" t="s">
        <v>135</v>
      </c>
      <c r="G175" s="264" t="s">
        <v>135</v>
      </c>
      <c r="H175" s="265"/>
      <c r="I175" s="261">
        <f>SUM(I176:I177)</f>
        <v>1799.2</v>
      </c>
    </row>
    <row r="176" spans="1:9" s="34" customFormat="1" ht="15" customHeight="1">
      <c r="A176" s="312">
        <v>7135154</v>
      </c>
      <c r="B176" s="798" t="s">
        <v>137</v>
      </c>
      <c r="C176" s="798"/>
      <c r="D176" s="798"/>
      <c r="E176" s="252" t="s">
        <v>129</v>
      </c>
      <c r="F176" s="252" t="s">
        <v>164</v>
      </c>
      <c r="G176" s="515">
        <v>287800</v>
      </c>
      <c r="H176" s="255">
        <v>1</v>
      </c>
      <c r="I176" s="261">
        <v>287.8</v>
      </c>
    </row>
    <row r="177" spans="1:9" s="34" customFormat="1" ht="15" customHeight="1">
      <c r="A177" s="311">
        <v>98111140</v>
      </c>
      <c r="B177" s="797" t="s">
        <v>138</v>
      </c>
      <c r="C177" s="797"/>
      <c r="D177" s="797"/>
      <c r="E177" s="252" t="s">
        <v>129</v>
      </c>
      <c r="F177" s="252" t="s">
        <v>164</v>
      </c>
      <c r="G177" s="521">
        <v>1511400</v>
      </c>
      <c r="H177" s="272">
        <v>1</v>
      </c>
      <c r="I177" s="261">
        <v>1511.4</v>
      </c>
    </row>
    <row r="178" spans="1:9" s="247" customFormat="1" ht="54.85" customHeight="1">
      <c r="A178" s="245" t="s">
        <v>310</v>
      </c>
      <c r="B178" s="803" t="s">
        <v>306</v>
      </c>
      <c r="C178" s="803"/>
      <c r="D178" s="803"/>
      <c r="E178" s="803"/>
      <c r="F178" s="803"/>
      <c r="G178" s="803"/>
      <c r="H178" s="803"/>
      <c r="I178" s="246">
        <f>+I179+I182</f>
        <v>-192441.6999999999</v>
      </c>
    </row>
    <row r="179" spans="1:9" s="271" customFormat="1" ht="20.75" customHeight="1">
      <c r="A179" s="269"/>
      <c r="B179" s="809" t="s">
        <v>133</v>
      </c>
      <c r="C179" s="810"/>
      <c r="D179" s="811"/>
      <c r="E179" s="264"/>
      <c r="F179" s="264"/>
      <c r="G179" s="264"/>
      <c r="H179" s="270"/>
      <c r="I179" s="261">
        <f>SUM(I180:I181)</f>
        <v>-222317.99999999988</v>
      </c>
    </row>
    <row r="180" spans="1:9" s="34" customFormat="1">
      <c r="A180" s="312" t="s">
        <v>295</v>
      </c>
      <c r="B180" s="798" t="s">
        <v>311</v>
      </c>
      <c r="C180" s="798"/>
      <c r="D180" s="798"/>
      <c r="E180" s="252" t="s">
        <v>258</v>
      </c>
      <c r="F180" s="252" t="s">
        <v>134</v>
      </c>
      <c r="G180" s="515"/>
      <c r="H180" s="255"/>
      <c r="I180" s="261">
        <v>-688941.39999999991</v>
      </c>
    </row>
    <row r="181" spans="1:9" s="34" customFormat="1">
      <c r="A181" s="312">
        <v>45221142</v>
      </c>
      <c r="B181" s="798" t="s">
        <v>311</v>
      </c>
      <c r="C181" s="798"/>
      <c r="D181" s="798"/>
      <c r="E181" s="252" t="s">
        <v>258</v>
      </c>
      <c r="F181" s="252" t="s">
        <v>134</v>
      </c>
      <c r="G181" s="522">
        <v>466623400</v>
      </c>
      <c r="H181" s="255">
        <v>1</v>
      </c>
      <c r="I181" s="261">
        <v>466623.4</v>
      </c>
    </row>
    <row r="182" spans="1:9" s="34" customFormat="1" ht="20.75" customHeight="1">
      <c r="A182" s="313" t="s">
        <v>135</v>
      </c>
      <c r="B182" s="809" t="s">
        <v>136</v>
      </c>
      <c r="C182" s="810"/>
      <c r="D182" s="811"/>
      <c r="E182" s="264" t="s">
        <v>135</v>
      </c>
      <c r="F182" s="264" t="s">
        <v>135</v>
      </c>
      <c r="G182" s="264" t="s">
        <v>135</v>
      </c>
      <c r="H182" s="265"/>
      <c r="I182" s="261">
        <f>SUM(I183:I186)</f>
        <v>29876.300000000003</v>
      </c>
    </row>
    <row r="183" spans="1:9" s="402" customFormat="1" ht="15" customHeight="1">
      <c r="A183" s="464">
        <v>7135154</v>
      </c>
      <c r="B183" s="798" t="s">
        <v>137</v>
      </c>
      <c r="C183" s="798"/>
      <c r="D183" s="798"/>
      <c r="E183" s="252" t="s">
        <v>129</v>
      </c>
      <c r="F183" s="252" t="s">
        <v>164</v>
      </c>
      <c r="G183" s="520">
        <v>11377000</v>
      </c>
      <c r="H183" s="401">
        <v>1</v>
      </c>
      <c r="I183" s="399">
        <v>11377</v>
      </c>
    </row>
    <row r="184" spans="1:9" s="402" customFormat="1" ht="15" customHeight="1">
      <c r="A184" s="464">
        <v>7135154</v>
      </c>
      <c r="B184" s="798" t="s">
        <v>137</v>
      </c>
      <c r="C184" s="798"/>
      <c r="D184" s="798"/>
      <c r="E184" s="252" t="s">
        <v>129</v>
      </c>
      <c r="F184" s="252" t="s">
        <v>164</v>
      </c>
      <c r="G184" s="520">
        <v>13484700</v>
      </c>
      <c r="H184" s="401">
        <v>1</v>
      </c>
      <c r="I184" s="399">
        <v>13484.7</v>
      </c>
    </row>
    <row r="185" spans="1:9" s="34" customFormat="1" ht="15" customHeight="1">
      <c r="A185" s="311">
        <v>98111140</v>
      </c>
      <c r="B185" s="797" t="s">
        <v>138</v>
      </c>
      <c r="C185" s="797"/>
      <c r="D185" s="797"/>
      <c r="E185" s="252" t="s">
        <v>165</v>
      </c>
      <c r="F185" s="252" t="s">
        <v>164</v>
      </c>
      <c r="G185" s="521">
        <v>2360400</v>
      </c>
      <c r="H185" s="272">
        <v>1</v>
      </c>
      <c r="I185" s="261">
        <v>2360.4</v>
      </c>
    </row>
    <row r="186" spans="1:9" s="402" customFormat="1" ht="15" customHeight="1">
      <c r="A186" s="465">
        <v>98111140</v>
      </c>
      <c r="B186" s="797" t="s">
        <v>138</v>
      </c>
      <c r="C186" s="797"/>
      <c r="D186" s="797"/>
      <c r="E186" s="252" t="s">
        <v>165</v>
      </c>
      <c r="F186" s="252" t="s">
        <v>164</v>
      </c>
      <c r="G186" s="523">
        <v>2654200</v>
      </c>
      <c r="H186" s="404">
        <v>1</v>
      </c>
      <c r="I186" s="399">
        <v>2654.2</v>
      </c>
    </row>
    <row r="187" spans="1:9" s="247" customFormat="1" ht="54.85" customHeight="1">
      <c r="A187" s="245" t="s">
        <v>328</v>
      </c>
      <c r="B187" s="803" t="s">
        <v>312</v>
      </c>
      <c r="C187" s="803"/>
      <c r="D187" s="803"/>
      <c r="E187" s="803"/>
      <c r="F187" s="803"/>
      <c r="G187" s="803"/>
      <c r="H187" s="803"/>
      <c r="I187" s="246">
        <f>+I188+I210</f>
        <v>2257855.6000000006</v>
      </c>
    </row>
    <row r="188" spans="1:9" s="271" customFormat="1" ht="20.75" customHeight="1">
      <c r="A188" s="269"/>
      <c r="B188" s="809" t="s">
        <v>133</v>
      </c>
      <c r="C188" s="810"/>
      <c r="D188" s="811"/>
      <c r="E188" s="264"/>
      <c r="F188" s="264"/>
      <c r="G188" s="264"/>
      <c r="H188" s="270"/>
      <c r="I188" s="261">
        <f>SUM(I189:I209)</f>
        <v>1741552.1000000006</v>
      </c>
    </row>
    <row r="189" spans="1:9" s="34" customFormat="1">
      <c r="A189" s="312" t="s">
        <v>329</v>
      </c>
      <c r="B189" s="798" t="s">
        <v>330</v>
      </c>
      <c r="C189" s="798"/>
      <c r="D189" s="798"/>
      <c r="E189" s="252" t="s">
        <v>258</v>
      </c>
      <c r="F189" s="252" t="s">
        <v>134</v>
      </c>
      <c r="G189" s="515"/>
      <c r="H189" s="255"/>
      <c r="I189" s="261">
        <v>-7585996.5999999996</v>
      </c>
    </row>
    <row r="190" spans="1:9" s="34" customFormat="1">
      <c r="A190" s="312">
        <v>45211231</v>
      </c>
      <c r="B190" s="798" t="s">
        <v>330</v>
      </c>
      <c r="C190" s="798"/>
      <c r="D190" s="798"/>
      <c r="E190" s="252" t="s">
        <v>258</v>
      </c>
      <c r="F190" s="252" t="s">
        <v>134</v>
      </c>
      <c r="G190" s="515">
        <v>424872600</v>
      </c>
      <c r="H190" s="255">
        <v>1</v>
      </c>
      <c r="I190" s="261">
        <v>424872.6</v>
      </c>
    </row>
    <row r="191" spans="1:9" s="34" customFormat="1">
      <c r="A191" s="312">
        <v>45211231</v>
      </c>
      <c r="B191" s="798" t="s">
        <v>330</v>
      </c>
      <c r="C191" s="798"/>
      <c r="D191" s="798"/>
      <c r="E191" s="252" t="s">
        <v>258</v>
      </c>
      <c r="F191" s="252" t="s">
        <v>134</v>
      </c>
      <c r="G191" s="515">
        <v>461661000</v>
      </c>
      <c r="H191" s="255">
        <v>1</v>
      </c>
      <c r="I191" s="261">
        <v>461661</v>
      </c>
    </row>
    <row r="192" spans="1:9" s="34" customFormat="1">
      <c r="A192" s="312">
        <v>45211231</v>
      </c>
      <c r="B192" s="798" t="s">
        <v>330</v>
      </c>
      <c r="C192" s="798"/>
      <c r="D192" s="798"/>
      <c r="E192" s="252" t="s">
        <v>258</v>
      </c>
      <c r="F192" s="252" t="s">
        <v>134</v>
      </c>
      <c r="G192" s="515">
        <v>320576200</v>
      </c>
      <c r="H192" s="255">
        <v>1</v>
      </c>
      <c r="I192" s="261">
        <v>320576.2</v>
      </c>
    </row>
    <row r="193" spans="1:9" s="34" customFormat="1">
      <c r="A193" s="312">
        <v>45211231</v>
      </c>
      <c r="B193" s="798" t="s">
        <v>330</v>
      </c>
      <c r="C193" s="798"/>
      <c r="D193" s="798"/>
      <c r="E193" s="252" t="s">
        <v>258</v>
      </c>
      <c r="F193" s="252" t="s">
        <v>134</v>
      </c>
      <c r="G193" s="515">
        <v>443334900</v>
      </c>
      <c r="H193" s="255">
        <v>1</v>
      </c>
      <c r="I193" s="261">
        <v>443334.9</v>
      </c>
    </row>
    <row r="194" spans="1:9" s="34" customFormat="1">
      <c r="A194" s="312">
        <v>45211231</v>
      </c>
      <c r="B194" s="798" t="s">
        <v>330</v>
      </c>
      <c r="C194" s="798"/>
      <c r="D194" s="798"/>
      <c r="E194" s="252" t="s">
        <v>258</v>
      </c>
      <c r="F194" s="252" t="s">
        <v>134</v>
      </c>
      <c r="G194" s="515">
        <v>448932600</v>
      </c>
      <c r="H194" s="255">
        <v>1</v>
      </c>
      <c r="I194" s="261">
        <v>448932.6</v>
      </c>
    </row>
    <row r="195" spans="1:9" s="34" customFormat="1">
      <c r="A195" s="312">
        <v>45211231</v>
      </c>
      <c r="B195" s="798" t="s">
        <v>330</v>
      </c>
      <c r="C195" s="798"/>
      <c r="D195" s="798"/>
      <c r="E195" s="252" t="s">
        <v>258</v>
      </c>
      <c r="F195" s="252" t="s">
        <v>134</v>
      </c>
      <c r="G195" s="515">
        <v>530772400</v>
      </c>
      <c r="H195" s="255">
        <v>1</v>
      </c>
      <c r="I195" s="261">
        <v>530772.4</v>
      </c>
    </row>
    <row r="196" spans="1:9" s="34" customFormat="1">
      <c r="A196" s="464">
        <v>45211231</v>
      </c>
      <c r="B196" s="798" t="s">
        <v>330</v>
      </c>
      <c r="C196" s="798"/>
      <c r="D196" s="798"/>
      <c r="E196" s="252" t="s">
        <v>258</v>
      </c>
      <c r="F196" s="252" t="s">
        <v>134</v>
      </c>
      <c r="G196" s="515">
        <v>382527300</v>
      </c>
      <c r="H196" s="255">
        <v>1</v>
      </c>
      <c r="I196" s="261">
        <v>382527.3</v>
      </c>
    </row>
    <row r="197" spans="1:9" s="34" customFormat="1">
      <c r="A197" s="312">
        <v>45211231</v>
      </c>
      <c r="B197" s="798" t="s">
        <v>330</v>
      </c>
      <c r="C197" s="798"/>
      <c r="D197" s="798"/>
      <c r="E197" s="252" t="s">
        <v>258</v>
      </c>
      <c r="F197" s="252" t="s">
        <v>134</v>
      </c>
      <c r="G197" s="515">
        <v>543253900</v>
      </c>
      <c r="H197" s="255">
        <v>1</v>
      </c>
      <c r="I197" s="261">
        <v>543253.9</v>
      </c>
    </row>
    <row r="198" spans="1:9" s="34" customFormat="1">
      <c r="A198" s="464">
        <v>45211231</v>
      </c>
      <c r="B198" s="798" t="s">
        <v>330</v>
      </c>
      <c r="C198" s="798"/>
      <c r="D198" s="798"/>
      <c r="E198" s="252" t="s">
        <v>258</v>
      </c>
      <c r="F198" s="252" t="s">
        <v>134</v>
      </c>
      <c r="G198" s="515">
        <v>434862100</v>
      </c>
      <c r="H198" s="255">
        <v>1</v>
      </c>
      <c r="I198" s="261">
        <v>434862.1</v>
      </c>
    </row>
    <row r="199" spans="1:9" s="34" customFormat="1">
      <c r="A199" s="312">
        <v>45211231</v>
      </c>
      <c r="B199" s="798" t="s">
        <v>330</v>
      </c>
      <c r="C199" s="798"/>
      <c r="D199" s="798"/>
      <c r="E199" s="252" t="s">
        <v>258</v>
      </c>
      <c r="F199" s="252" t="s">
        <v>134</v>
      </c>
      <c r="G199" s="515">
        <v>392927500</v>
      </c>
      <c r="H199" s="255">
        <v>1</v>
      </c>
      <c r="I199" s="261">
        <v>392927.5</v>
      </c>
    </row>
    <row r="200" spans="1:9" s="34" customFormat="1">
      <c r="A200" s="464">
        <v>45211231</v>
      </c>
      <c r="B200" s="798" t="s">
        <v>330</v>
      </c>
      <c r="C200" s="798"/>
      <c r="D200" s="798"/>
      <c r="E200" s="252" t="s">
        <v>258</v>
      </c>
      <c r="F200" s="252" t="s">
        <v>134</v>
      </c>
      <c r="G200" s="515">
        <v>606174200</v>
      </c>
      <c r="H200" s="255">
        <v>1</v>
      </c>
      <c r="I200" s="261">
        <v>606174.19999999995</v>
      </c>
    </row>
    <row r="201" spans="1:9" s="34" customFormat="1">
      <c r="A201" s="312">
        <v>45211231</v>
      </c>
      <c r="B201" s="798" t="s">
        <v>330</v>
      </c>
      <c r="C201" s="798"/>
      <c r="D201" s="798"/>
      <c r="E201" s="252" t="s">
        <v>258</v>
      </c>
      <c r="F201" s="252" t="s">
        <v>134</v>
      </c>
      <c r="G201" s="515">
        <v>470031900</v>
      </c>
      <c r="H201" s="255">
        <v>1</v>
      </c>
      <c r="I201" s="261">
        <v>470031.9</v>
      </c>
    </row>
    <row r="202" spans="1:9" s="34" customFormat="1">
      <c r="A202" s="312">
        <v>45211231</v>
      </c>
      <c r="B202" s="798" t="s">
        <v>330</v>
      </c>
      <c r="C202" s="798"/>
      <c r="D202" s="798"/>
      <c r="E202" s="252" t="s">
        <v>258</v>
      </c>
      <c r="F202" s="252" t="s">
        <v>134</v>
      </c>
      <c r="G202" s="515">
        <v>466681800</v>
      </c>
      <c r="H202" s="255">
        <v>1</v>
      </c>
      <c r="I202" s="261">
        <v>466681.8</v>
      </c>
    </row>
    <row r="203" spans="1:9" s="34" customFormat="1">
      <c r="A203" s="464">
        <v>45211231</v>
      </c>
      <c r="B203" s="798" t="s">
        <v>330</v>
      </c>
      <c r="C203" s="798"/>
      <c r="D203" s="798"/>
      <c r="E203" s="252" t="s">
        <v>258</v>
      </c>
      <c r="F203" s="252" t="s">
        <v>134</v>
      </c>
      <c r="G203" s="515">
        <v>538223500</v>
      </c>
      <c r="H203" s="255">
        <v>1</v>
      </c>
      <c r="I203" s="261">
        <v>538223.5</v>
      </c>
    </row>
    <row r="204" spans="1:9" s="34" customFormat="1">
      <c r="A204" s="312">
        <v>45211231</v>
      </c>
      <c r="B204" s="798" t="s">
        <v>330</v>
      </c>
      <c r="C204" s="798"/>
      <c r="D204" s="798"/>
      <c r="E204" s="252" t="s">
        <v>258</v>
      </c>
      <c r="F204" s="252" t="s">
        <v>134</v>
      </c>
      <c r="G204" s="515">
        <v>491230700</v>
      </c>
      <c r="H204" s="255">
        <v>1</v>
      </c>
      <c r="I204" s="261">
        <v>491230.7</v>
      </c>
    </row>
    <row r="205" spans="1:9" s="34" customFormat="1">
      <c r="A205" s="312">
        <v>45211231</v>
      </c>
      <c r="B205" s="798" t="s">
        <v>330</v>
      </c>
      <c r="C205" s="798"/>
      <c r="D205" s="798"/>
      <c r="E205" s="252" t="s">
        <v>258</v>
      </c>
      <c r="F205" s="252" t="s">
        <v>134</v>
      </c>
      <c r="G205" s="515">
        <v>491011300</v>
      </c>
      <c r="H205" s="255">
        <v>1</v>
      </c>
      <c r="I205" s="261">
        <v>491011.3</v>
      </c>
    </row>
    <row r="206" spans="1:9" s="34" customFormat="1">
      <c r="A206" s="464">
        <v>45211231</v>
      </c>
      <c r="B206" s="798" t="s">
        <v>330</v>
      </c>
      <c r="C206" s="798"/>
      <c r="D206" s="798"/>
      <c r="E206" s="252" t="s">
        <v>258</v>
      </c>
      <c r="F206" s="252" t="s">
        <v>134</v>
      </c>
      <c r="G206" s="515">
        <v>375437500</v>
      </c>
      <c r="H206" s="255">
        <v>1</v>
      </c>
      <c r="I206" s="261">
        <v>375437.5</v>
      </c>
    </row>
    <row r="207" spans="1:9" s="34" customFormat="1">
      <c r="A207" s="312">
        <v>45211231</v>
      </c>
      <c r="B207" s="798" t="s">
        <v>330</v>
      </c>
      <c r="C207" s="798"/>
      <c r="D207" s="798"/>
      <c r="E207" s="252" t="s">
        <v>258</v>
      </c>
      <c r="F207" s="252" t="s">
        <v>134</v>
      </c>
      <c r="G207" s="515">
        <v>462307900</v>
      </c>
      <c r="H207" s="255">
        <v>1</v>
      </c>
      <c r="I207" s="261">
        <v>462307.9</v>
      </c>
    </row>
    <row r="208" spans="1:9" s="34" customFormat="1">
      <c r="A208" s="312">
        <v>45211231</v>
      </c>
      <c r="B208" s="798" t="s">
        <v>330</v>
      </c>
      <c r="C208" s="798"/>
      <c r="D208" s="798"/>
      <c r="E208" s="252" t="s">
        <v>258</v>
      </c>
      <c r="F208" s="252" t="s">
        <v>134</v>
      </c>
      <c r="G208" s="515">
        <v>557427000</v>
      </c>
      <c r="H208" s="255">
        <v>1</v>
      </c>
      <c r="I208" s="261">
        <v>557427</v>
      </c>
    </row>
    <row r="209" spans="1:9" s="34" customFormat="1">
      <c r="A209" s="464">
        <v>45211231</v>
      </c>
      <c r="B209" s="798" t="s">
        <v>330</v>
      </c>
      <c r="C209" s="798"/>
      <c r="D209" s="798"/>
      <c r="E209" s="252" t="s">
        <v>258</v>
      </c>
      <c r="F209" s="252" t="s">
        <v>134</v>
      </c>
      <c r="G209" s="515">
        <v>485302400</v>
      </c>
      <c r="H209" s="255">
        <v>1</v>
      </c>
      <c r="I209" s="261">
        <v>485302.4</v>
      </c>
    </row>
    <row r="210" spans="1:9" s="34" customFormat="1" ht="20.75" customHeight="1">
      <c r="A210" s="313" t="s">
        <v>135</v>
      </c>
      <c r="B210" s="809" t="s">
        <v>136</v>
      </c>
      <c r="C210" s="810"/>
      <c r="D210" s="811"/>
      <c r="E210" s="264" t="s">
        <v>135</v>
      </c>
      <c r="F210" s="264" t="s">
        <v>135</v>
      </c>
      <c r="G210" s="264" t="s">
        <v>135</v>
      </c>
      <c r="H210" s="265"/>
      <c r="I210" s="261">
        <f>SUM(I211:I222)</f>
        <v>516303.5</v>
      </c>
    </row>
    <row r="211" spans="1:9" s="34" customFormat="1">
      <c r="A211" s="312">
        <v>7135154</v>
      </c>
      <c r="B211" s="798" t="s">
        <v>137</v>
      </c>
      <c r="C211" s="798"/>
      <c r="D211" s="798"/>
      <c r="E211" s="252" t="s">
        <v>129</v>
      </c>
      <c r="F211" s="252" t="s">
        <v>164</v>
      </c>
      <c r="G211" s="515">
        <v>44288600</v>
      </c>
      <c r="H211" s="255">
        <v>1</v>
      </c>
      <c r="I211" s="261">
        <f>20814.8+23473.8</f>
        <v>44288.6</v>
      </c>
    </row>
    <row r="212" spans="1:9" s="34" customFormat="1">
      <c r="A212" s="312">
        <v>7135154</v>
      </c>
      <c r="B212" s="798" t="s">
        <v>137</v>
      </c>
      <c r="C212" s="798"/>
      <c r="D212" s="798"/>
      <c r="E212" s="252" t="s">
        <v>129</v>
      </c>
      <c r="F212" s="252" t="s">
        <v>164</v>
      </c>
      <c r="G212" s="515">
        <v>25083300</v>
      </c>
      <c r="H212" s="255">
        <v>1</v>
      </c>
      <c r="I212" s="261">
        <v>25083.3</v>
      </c>
    </row>
    <row r="213" spans="1:9" s="34" customFormat="1">
      <c r="A213" s="312">
        <v>7135154</v>
      </c>
      <c r="B213" s="798" t="s">
        <v>137</v>
      </c>
      <c r="C213" s="798"/>
      <c r="D213" s="798"/>
      <c r="E213" s="252" t="s">
        <v>129</v>
      </c>
      <c r="F213" s="252" t="s">
        <v>164</v>
      </c>
      <c r="G213" s="515">
        <v>15768700</v>
      </c>
      <c r="H213" s="255">
        <v>1</v>
      </c>
      <c r="I213" s="261">
        <v>15768.7</v>
      </c>
    </row>
    <row r="214" spans="1:9" s="34" customFormat="1">
      <c r="A214" s="312">
        <v>7135154</v>
      </c>
      <c r="B214" s="798" t="s">
        <v>137</v>
      </c>
      <c r="C214" s="798"/>
      <c r="D214" s="798"/>
      <c r="E214" s="252" t="s">
        <v>129</v>
      </c>
      <c r="F214" s="252" t="s">
        <v>164</v>
      </c>
      <c r="G214" s="515">
        <v>59798200</v>
      </c>
      <c r="H214" s="255">
        <v>1</v>
      </c>
      <c r="I214" s="261">
        <f>19165+22693.4+17939.8</f>
        <v>59798.2</v>
      </c>
    </row>
    <row r="215" spans="1:9" s="34" customFormat="1">
      <c r="A215" s="464">
        <v>7135154</v>
      </c>
      <c r="B215" s="798" t="s">
        <v>137</v>
      </c>
      <c r="C215" s="798"/>
      <c r="D215" s="798"/>
      <c r="E215" s="252" t="s">
        <v>129</v>
      </c>
      <c r="F215" s="252" t="s">
        <v>164</v>
      </c>
      <c r="G215" s="515">
        <v>35783800</v>
      </c>
      <c r="H215" s="255">
        <v>1</v>
      </c>
      <c r="I215" s="261">
        <f>15461.2+20322.6</f>
        <v>35783.800000000003</v>
      </c>
    </row>
    <row r="216" spans="1:9" s="34" customFormat="1">
      <c r="A216" s="464">
        <v>7135154</v>
      </c>
      <c r="B216" s="798" t="s">
        <v>137</v>
      </c>
      <c r="C216" s="798"/>
      <c r="D216" s="798"/>
      <c r="E216" s="252" t="s">
        <v>129</v>
      </c>
      <c r="F216" s="252" t="s">
        <v>164</v>
      </c>
      <c r="G216" s="515">
        <v>32149400</v>
      </c>
      <c r="H216" s="255">
        <v>1</v>
      </c>
      <c r="I216" s="261">
        <f>16125.9+16023.5</f>
        <v>32149.4</v>
      </c>
    </row>
    <row r="217" spans="1:9" s="34" customFormat="1">
      <c r="A217" s="464">
        <v>7135154</v>
      </c>
      <c r="B217" s="798" t="s">
        <v>137</v>
      </c>
      <c r="C217" s="798"/>
      <c r="D217" s="798"/>
      <c r="E217" s="252" t="s">
        <v>129</v>
      </c>
      <c r="F217" s="252" t="s">
        <v>164</v>
      </c>
      <c r="G217" s="515">
        <v>67511900</v>
      </c>
      <c r="H217" s="255">
        <v>1</v>
      </c>
      <c r="I217" s="261">
        <f>26521+20469.1+20521.8</f>
        <v>67511.899999999994</v>
      </c>
    </row>
    <row r="218" spans="1:9" s="34" customFormat="1">
      <c r="A218" s="464">
        <v>7135154</v>
      </c>
      <c r="B218" s="798" t="s">
        <v>137</v>
      </c>
      <c r="C218" s="798"/>
      <c r="D218" s="798"/>
      <c r="E218" s="252" t="s">
        <v>129</v>
      </c>
      <c r="F218" s="252" t="s">
        <v>164</v>
      </c>
      <c r="G218" s="515">
        <v>56189400</v>
      </c>
      <c r="H218" s="255">
        <v>1</v>
      </c>
      <c r="I218" s="261">
        <f>19641.9+18961.1+17586.4</f>
        <v>56189.4</v>
      </c>
    </row>
    <row r="219" spans="1:9" s="34" customFormat="1">
      <c r="A219" s="464">
        <v>7135154</v>
      </c>
      <c r="B219" s="798" t="s">
        <v>137</v>
      </c>
      <c r="C219" s="798"/>
      <c r="D219" s="798"/>
      <c r="E219" s="252" t="s">
        <v>129</v>
      </c>
      <c r="F219" s="252" t="s">
        <v>164</v>
      </c>
      <c r="G219" s="515">
        <v>63212200</v>
      </c>
      <c r="H219" s="255">
        <v>1</v>
      </c>
      <c r="I219" s="261">
        <f>16960.4+19628.9+26622.9</f>
        <v>63212.200000000004</v>
      </c>
    </row>
    <row r="220" spans="1:9" s="34" customFormat="1">
      <c r="A220" s="312">
        <v>7135154</v>
      </c>
      <c r="B220" s="798" t="s">
        <v>137</v>
      </c>
      <c r="C220" s="798"/>
      <c r="D220" s="798"/>
      <c r="E220" s="252" t="s">
        <v>129</v>
      </c>
      <c r="F220" s="252" t="s">
        <v>164</v>
      </c>
      <c r="G220" s="515">
        <v>6470600</v>
      </c>
      <c r="H220" s="255">
        <v>1</v>
      </c>
      <c r="I220" s="261">
        <v>6470.6</v>
      </c>
    </row>
    <row r="221" spans="1:9" s="34" customFormat="1">
      <c r="A221" s="464">
        <v>98111140</v>
      </c>
      <c r="B221" s="798" t="s">
        <v>138</v>
      </c>
      <c r="C221" s="798"/>
      <c r="D221" s="798"/>
      <c r="E221" s="252" t="s">
        <v>165</v>
      </c>
      <c r="F221" s="252" t="s">
        <v>164</v>
      </c>
      <c r="G221" s="515">
        <v>60047400</v>
      </c>
      <c r="H221" s="255">
        <v>1</v>
      </c>
      <c r="I221" s="261">
        <f>2809.5+2607.6+2878.7+1986.6+2663.7+2684.3+2870.4+2329.7+2889.8+2677.5+2543.8+3516+2729.2+2781.8+3589+3131.3+3238.3+2300.1+2902.9+3637.7+3279.5</f>
        <v>60047.4</v>
      </c>
    </row>
    <row r="222" spans="1:9" s="34" customFormat="1" ht="15" customHeight="1">
      <c r="A222" s="312">
        <v>71241200</v>
      </c>
      <c r="B222" s="798" t="s">
        <v>235</v>
      </c>
      <c r="C222" s="798"/>
      <c r="D222" s="798"/>
      <c r="E222" s="252" t="s">
        <v>129</v>
      </c>
      <c r="F222" s="252" t="s">
        <v>134</v>
      </c>
      <c r="G222" s="515">
        <v>5000000</v>
      </c>
      <c r="H222" s="255">
        <v>10</v>
      </c>
      <c r="I222" s="261">
        <v>50000</v>
      </c>
    </row>
    <row r="223" spans="1:9" s="395" customFormat="1" ht="54.85" customHeight="1">
      <c r="A223" s="392" t="s">
        <v>356</v>
      </c>
      <c r="B223" s="812" t="s">
        <v>338</v>
      </c>
      <c r="C223" s="812"/>
      <c r="D223" s="812"/>
      <c r="E223" s="812"/>
      <c r="F223" s="812"/>
      <c r="G223" s="812"/>
      <c r="H223" s="812"/>
      <c r="I223" s="394">
        <f>+I224+I242</f>
        <v>-853876.50000000047</v>
      </c>
    </row>
    <row r="224" spans="1:9" s="400" customFormat="1" ht="20.75" customHeight="1">
      <c r="A224" s="396"/>
      <c r="B224" s="813" t="s">
        <v>133</v>
      </c>
      <c r="C224" s="814"/>
      <c r="D224" s="815"/>
      <c r="E224" s="397"/>
      <c r="F224" s="397"/>
      <c r="G224" s="397"/>
      <c r="H224" s="398"/>
      <c r="I224" s="399">
        <f>SUM(I225:I241)</f>
        <v>-981740.70000000042</v>
      </c>
    </row>
    <row r="225" spans="1:10" s="402" customFormat="1">
      <c r="A225" s="320" t="s">
        <v>295</v>
      </c>
      <c r="B225" s="798" t="s">
        <v>357</v>
      </c>
      <c r="C225" s="798"/>
      <c r="D225" s="798"/>
      <c r="E225" s="252" t="s">
        <v>258</v>
      </c>
      <c r="F225" s="252" t="s">
        <v>134</v>
      </c>
      <c r="G225" s="520"/>
      <c r="H225" s="401"/>
      <c r="I225" s="399">
        <v>-3682170.8</v>
      </c>
      <c r="J225" s="452"/>
    </row>
    <row r="226" spans="1:10" s="402" customFormat="1" ht="17.350000000000001" customHeight="1">
      <c r="A226" s="320">
        <v>45221142</v>
      </c>
      <c r="B226" s="798" t="s">
        <v>357</v>
      </c>
      <c r="C226" s="798"/>
      <c r="D226" s="798"/>
      <c r="E226" s="252" t="s">
        <v>258</v>
      </c>
      <c r="F226" s="252" t="s">
        <v>134</v>
      </c>
      <c r="G226" s="520">
        <v>183772400</v>
      </c>
      <c r="H226" s="401">
        <v>1</v>
      </c>
      <c r="I226" s="399">
        <v>183772.4</v>
      </c>
    </row>
    <row r="227" spans="1:10" s="402" customFormat="1" ht="17.350000000000001" customHeight="1">
      <c r="A227" s="320">
        <v>45221142</v>
      </c>
      <c r="B227" s="798" t="s">
        <v>357</v>
      </c>
      <c r="C227" s="798"/>
      <c r="D227" s="798"/>
      <c r="E227" s="252" t="s">
        <v>258</v>
      </c>
      <c r="F227" s="252" t="s">
        <v>134</v>
      </c>
      <c r="G227" s="520">
        <v>151697500</v>
      </c>
      <c r="H227" s="401">
        <v>1</v>
      </c>
      <c r="I227" s="399">
        <v>151697.5</v>
      </c>
    </row>
    <row r="228" spans="1:10" s="402" customFormat="1" ht="17.350000000000001" customHeight="1">
      <c r="A228" s="320">
        <v>45221142</v>
      </c>
      <c r="B228" s="798" t="s">
        <v>357</v>
      </c>
      <c r="C228" s="798"/>
      <c r="D228" s="798"/>
      <c r="E228" s="252" t="s">
        <v>258</v>
      </c>
      <c r="F228" s="252" t="s">
        <v>134</v>
      </c>
      <c r="G228" s="520">
        <v>108897600</v>
      </c>
      <c r="H228" s="401">
        <v>1</v>
      </c>
      <c r="I228" s="399">
        <v>108897.60000000001</v>
      </c>
    </row>
    <row r="229" spans="1:10" s="402" customFormat="1" ht="17.350000000000001" customHeight="1">
      <c r="A229" s="320">
        <v>45221142</v>
      </c>
      <c r="B229" s="798" t="s">
        <v>357</v>
      </c>
      <c r="C229" s="798"/>
      <c r="D229" s="798"/>
      <c r="E229" s="252" t="s">
        <v>258</v>
      </c>
      <c r="F229" s="252" t="s">
        <v>134</v>
      </c>
      <c r="G229" s="520">
        <v>150219900</v>
      </c>
      <c r="H229" s="401">
        <v>1</v>
      </c>
      <c r="I229" s="399">
        <v>150219.9</v>
      </c>
    </row>
    <row r="230" spans="1:10" s="402" customFormat="1" ht="17.350000000000001" customHeight="1">
      <c r="A230" s="320">
        <v>45221142</v>
      </c>
      <c r="B230" s="798" t="s">
        <v>357</v>
      </c>
      <c r="C230" s="798"/>
      <c r="D230" s="798"/>
      <c r="E230" s="252" t="s">
        <v>258</v>
      </c>
      <c r="F230" s="252" t="s">
        <v>134</v>
      </c>
      <c r="G230" s="520">
        <v>124552800</v>
      </c>
      <c r="H230" s="401">
        <v>1</v>
      </c>
      <c r="I230" s="399">
        <v>124552.8</v>
      </c>
    </row>
    <row r="231" spans="1:10" s="402" customFormat="1" ht="17.350000000000001" customHeight="1">
      <c r="A231" s="320">
        <v>45221142</v>
      </c>
      <c r="B231" s="798" t="s">
        <v>357</v>
      </c>
      <c r="C231" s="798"/>
      <c r="D231" s="798"/>
      <c r="E231" s="252" t="s">
        <v>258</v>
      </c>
      <c r="F231" s="252" t="s">
        <v>134</v>
      </c>
      <c r="G231" s="520">
        <v>130662000</v>
      </c>
      <c r="H231" s="401">
        <v>1</v>
      </c>
      <c r="I231" s="399">
        <v>130662</v>
      </c>
    </row>
    <row r="232" spans="1:10" s="402" customFormat="1" ht="17.350000000000001" customHeight="1">
      <c r="A232" s="320">
        <v>45221142</v>
      </c>
      <c r="B232" s="798" t="s">
        <v>357</v>
      </c>
      <c r="C232" s="798"/>
      <c r="D232" s="798"/>
      <c r="E232" s="252" t="s">
        <v>258</v>
      </c>
      <c r="F232" s="252" t="s">
        <v>134</v>
      </c>
      <c r="G232" s="520">
        <v>261989300</v>
      </c>
      <c r="H232" s="401">
        <v>1</v>
      </c>
      <c r="I232" s="399">
        <v>261989.3</v>
      </c>
    </row>
    <row r="233" spans="1:10" s="402" customFormat="1" ht="17.350000000000001" customHeight="1">
      <c r="A233" s="320">
        <v>45221142</v>
      </c>
      <c r="B233" s="798" t="s">
        <v>357</v>
      </c>
      <c r="C233" s="798"/>
      <c r="D233" s="798"/>
      <c r="E233" s="252" t="s">
        <v>258</v>
      </c>
      <c r="F233" s="252" t="s">
        <v>134</v>
      </c>
      <c r="G233" s="520">
        <v>195926300</v>
      </c>
      <c r="H233" s="401">
        <v>1</v>
      </c>
      <c r="I233" s="399">
        <v>195926.3</v>
      </c>
    </row>
    <row r="234" spans="1:10" s="402" customFormat="1" ht="17.350000000000001" customHeight="1">
      <c r="A234" s="320">
        <v>45221142</v>
      </c>
      <c r="B234" s="798" t="s">
        <v>357</v>
      </c>
      <c r="C234" s="798"/>
      <c r="D234" s="798"/>
      <c r="E234" s="252" t="s">
        <v>258</v>
      </c>
      <c r="F234" s="252" t="s">
        <v>134</v>
      </c>
      <c r="G234" s="520">
        <v>223944700</v>
      </c>
      <c r="H234" s="401">
        <v>1</v>
      </c>
      <c r="I234" s="399">
        <v>223944.7</v>
      </c>
    </row>
    <row r="235" spans="1:10" s="402" customFormat="1" ht="17.350000000000001" customHeight="1">
      <c r="A235" s="320">
        <v>45221142</v>
      </c>
      <c r="B235" s="798" t="s">
        <v>357</v>
      </c>
      <c r="C235" s="798"/>
      <c r="D235" s="798"/>
      <c r="E235" s="252" t="s">
        <v>258</v>
      </c>
      <c r="F235" s="252" t="s">
        <v>134</v>
      </c>
      <c r="G235" s="520">
        <v>190367000</v>
      </c>
      <c r="H235" s="401">
        <v>1</v>
      </c>
      <c r="I235" s="399">
        <v>190367</v>
      </c>
    </row>
    <row r="236" spans="1:10" s="402" customFormat="1" ht="17.350000000000001" customHeight="1">
      <c r="A236" s="320">
        <v>45221142</v>
      </c>
      <c r="B236" s="798" t="s">
        <v>357</v>
      </c>
      <c r="C236" s="798"/>
      <c r="D236" s="798"/>
      <c r="E236" s="252" t="s">
        <v>258</v>
      </c>
      <c r="F236" s="252" t="s">
        <v>134</v>
      </c>
      <c r="G236" s="520">
        <v>180657400</v>
      </c>
      <c r="H236" s="401">
        <v>1</v>
      </c>
      <c r="I236" s="399">
        <v>180657.4</v>
      </c>
    </row>
    <row r="237" spans="1:10" s="460" customFormat="1" ht="17.350000000000001" customHeight="1">
      <c r="A237" s="388">
        <v>45221142</v>
      </c>
      <c r="B237" s="797" t="s">
        <v>357</v>
      </c>
      <c r="C237" s="797"/>
      <c r="D237" s="797"/>
      <c r="E237" s="252" t="s">
        <v>258</v>
      </c>
      <c r="F237" s="252" t="s">
        <v>134</v>
      </c>
      <c r="G237" s="520">
        <v>151979400</v>
      </c>
      <c r="H237" s="401">
        <v>1</v>
      </c>
      <c r="I237" s="459">
        <v>151979.4</v>
      </c>
    </row>
    <row r="238" spans="1:10" s="460" customFormat="1" ht="17.350000000000001" customHeight="1">
      <c r="A238" s="388">
        <v>45221142</v>
      </c>
      <c r="B238" s="797" t="s">
        <v>357</v>
      </c>
      <c r="C238" s="797"/>
      <c r="D238" s="797"/>
      <c r="E238" s="252" t="s">
        <v>258</v>
      </c>
      <c r="F238" s="252" t="s">
        <v>134</v>
      </c>
      <c r="G238" s="520">
        <v>176601700</v>
      </c>
      <c r="H238" s="401">
        <v>1</v>
      </c>
      <c r="I238" s="459">
        <v>176601.7</v>
      </c>
    </row>
    <row r="239" spans="1:10" s="460" customFormat="1" ht="17.350000000000001" customHeight="1">
      <c r="A239" s="388">
        <v>45221142</v>
      </c>
      <c r="B239" s="797" t="s">
        <v>357</v>
      </c>
      <c r="C239" s="797"/>
      <c r="D239" s="797"/>
      <c r="E239" s="252" t="s">
        <v>258</v>
      </c>
      <c r="F239" s="252" t="s">
        <v>134</v>
      </c>
      <c r="G239" s="520">
        <v>125337100</v>
      </c>
      <c r="H239" s="401">
        <v>1</v>
      </c>
      <c r="I239" s="459">
        <v>125337.1</v>
      </c>
    </row>
    <row r="240" spans="1:10" s="460" customFormat="1" ht="17.350000000000001" customHeight="1">
      <c r="A240" s="388">
        <v>45221142</v>
      </c>
      <c r="B240" s="797" t="s">
        <v>357</v>
      </c>
      <c r="C240" s="797"/>
      <c r="D240" s="797"/>
      <c r="E240" s="252" t="s">
        <v>258</v>
      </c>
      <c r="F240" s="252" t="s">
        <v>134</v>
      </c>
      <c r="G240" s="520">
        <v>164341700</v>
      </c>
      <c r="H240" s="401">
        <v>1</v>
      </c>
      <c r="I240" s="459">
        <v>164341.70000000001</v>
      </c>
    </row>
    <row r="241" spans="1:9" s="460" customFormat="1" ht="17.350000000000001" customHeight="1">
      <c r="A241" s="388">
        <v>45221142</v>
      </c>
      <c r="B241" s="797" t="s">
        <v>357</v>
      </c>
      <c r="C241" s="797"/>
      <c r="D241" s="797"/>
      <c r="E241" s="252" t="s">
        <v>258</v>
      </c>
      <c r="F241" s="252" t="s">
        <v>134</v>
      </c>
      <c r="G241" s="520">
        <v>179483300</v>
      </c>
      <c r="H241" s="401">
        <v>1</v>
      </c>
      <c r="I241" s="459">
        <v>179483.3</v>
      </c>
    </row>
    <row r="242" spans="1:9" s="402" customFormat="1" ht="20.75" customHeight="1">
      <c r="A242" s="320" t="s">
        <v>135</v>
      </c>
      <c r="B242" s="813" t="s">
        <v>136</v>
      </c>
      <c r="C242" s="814"/>
      <c r="D242" s="815"/>
      <c r="E242" s="397" t="s">
        <v>135</v>
      </c>
      <c r="F242" s="397" t="s">
        <v>135</v>
      </c>
      <c r="G242" s="397" t="s">
        <v>135</v>
      </c>
      <c r="H242" s="403"/>
      <c r="I242" s="399">
        <f>SUM(I243:I276)</f>
        <v>127864.19999999998</v>
      </c>
    </row>
    <row r="243" spans="1:9" s="402" customFormat="1" ht="15" customHeight="1">
      <c r="A243" s="320">
        <v>7135154</v>
      </c>
      <c r="B243" s="798" t="s">
        <v>137</v>
      </c>
      <c r="C243" s="798"/>
      <c r="D243" s="798"/>
      <c r="E243" s="252" t="s">
        <v>129</v>
      </c>
      <c r="F243" s="252" t="s">
        <v>164</v>
      </c>
      <c r="G243" s="520">
        <v>6895200</v>
      </c>
      <c r="H243" s="401">
        <v>1</v>
      </c>
      <c r="I243" s="399">
        <v>6895.2</v>
      </c>
    </row>
    <row r="244" spans="1:9" s="402" customFormat="1" ht="15" customHeight="1">
      <c r="A244" s="320">
        <v>7135154</v>
      </c>
      <c r="B244" s="798" t="s">
        <v>137</v>
      </c>
      <c r="C244" s="798"/>
      <c r="D244" s="798"/>
      <c r="E244" s="252" t="s">
        <v>129</v>
      </c>
      <c r="F244" s="252" t="s">
        <v>164</v>
      </c>
      <c r="G244" s="520">
        <v>7350800</v>
      </c>
      <c r="H244" s="401">
        <v>1</v>
      </c>
      <c r="I244" s="399">
        <v>7350.8</v>
      </c>
    </row>
    <row r="245" spans="1:9" s="402" customFormat="1" ht="15" customHeight="1">
      <c r="A245" s="320">
        <v>7135154</v>
      </c>
      <c r="B245" s="798" t="s">
        <v>137</v>
      </c>
      <c r="C245" s="798"/>
      <c r="D245" s="798"/>
      <c r="E245" s="252" t="s">
        <v>129</v>
      </c>
      <c r="F245" s="252" t="s">
        <v>164</v>
      </c>
      <c r="G245" s="520">
        <v>6067900</v>
      </c>
      <c r="H245" s="401">
        <v>1</v>
      </c>
      <c r="I245" s="399">
        <v>6067.9</v>
      </c>
    </row>
    <row r="246" spans="1:9" s="402" customFormat="1" ht="15" customHeight="1">
      <c r="A246" s="320">
        <v>7135154</v>
      </c>
      <c r="B246" s="798" t="s">
        <v>137</v>
      </c>
      <c r="C246" s="798"/>
      <c r="D246" s="798"/>
      <c r="E246" s="252" t="s">
        <v>129</v>
      </c>
      <c r="F246" s="252" t="s">
        <v>164</v>
      </c>
      <c r="G246" s="520">
        <v>4355900</v>
      </c>
      <c r="H246" s="401">
        <v>1</v>
      </c>
      <c r="I246" s="399">
        <v>4355.8999999999996</v>
      </c>
    </row>
    <row r="247" spans="1:9" s="402" customFormat="1" ht="15" customHeight="1">
      <c r="A247" s="320">
        <v>7135154</v>
      </c>
      <c r="B247" s="798" t="s">
        <v>137</v>
      </c>
      <c r="C247" s="798"/>
      <c r="D247" s="798"/>
      <c r="E247" s="252" t="s">
        <v>129</v>
      </c>
      <c r="F247" s="252" t="s">
        <v>164</v>
      </c>
      <c r="G247" s="520">
        <v>6008800</v>
      </c>
      <c r="H247" s="401">
        <v>1</v>
      </c>
      <c r="I247" s="399">
        <v>6008.8</v>
      </c>
    </row>
    <row r="248" spans="1:9" s="402" customFormat="1" ht="15" customHeight="1">
      <c r="A248" s="320">
        <v>7135154</v>
      </c>
      <c r="B248" s="798" t="s">
        <v>137</v>
      </c>
      <c r="C248" s="798"/>
      <c r="D248" s="798"/>
      <c r="E248" s="252" t="s">
        <v>129</v>
      </c>
      <c r="F248" s="252" t="s">
        <v>164</v>
      </c>
      <c r="G248" s="520">
        <v>4982000</v>
      </c>
      <c r="H248" s="401">
        <v>1</v>
      </c>
      <c r="I248" s="399">
        <v>4982</v>
      </c>
    </row>
    <row r="249" spans="1:9" s="402" customFormat="1" ht="15" customHeight="1">
      <c r="A249" s="320">
        <v>7135154</v>
      </c>
      <c r="B249" s="798" t="s">
        <v>137</v>
      </c>
      <c r="C249" s="798"/>
      <c r="D249" s="798"/>
      <c r="E249" s="252" t="s">
        <v>129</v>
      </c>
      <c r="F249" s="252" t="s">
        <v>164</v>
      </c>
      <c r="G249" s="520">
        <v>5226500</v>
      </c>
      <c r="H249" s="401">
        <v>1</v>
      </c>
      <c r="I249" s="399">
        <v>5226.5</v>
      </c>
    </row>
    <row r="250" spans="1:9" s="402" customFormat="1" ht="15" customHeight="1">
      <c r="A250" s="320">
        <v>7135154</v>
      </c>
      <c r="B250" s="798" t="s">
        <v>137</v>
      </c>
      <c r="C250" s="798"/>
      <c r="D250" s="798"/>
      <c r="E250" s="252" t="s">
        <v>129</v>
      </c>
      <c r="F250" s="252" t="s">
        <v>164</v>
      </c>
      <c r="G250" s="520">
        <v>10479600</v>
      </c>
      <c r="H250" s="401">
        <v>1</v>
      </c>
      <c r="I250" s="399">
        <v>10479.6</v>
      </c>
    </row>
    <row r="251" spans="1:9" s="402" customFormat="1" ht="15" customHeight="1">
      <c r="A251" s="320">
        <v>7135154</v>
      </c>
      <c r="B251" s="798" t="s">
        <v>137</v>
      </c>
      <c r="C251" s="798"/>
      <c r="D251" s="798"/>
      <c r="E251" s="252" t="s">
        <v>129</v>
      </c>
      <c r="F251" s="252" t="s">
        <v>164</v>
      </c>
      <c r="G251" s="520">
        <v>7837000</v>
      </c>
      <c r="H251" s="401">
        <v>1</v>
      </c>
      <c r="I251" s="399">
        <v>7837</v>
      </c>
    </row>
    <row r="252" spans="1:9" s="402" customFormat="1" ht="15" customHeight="1">
      <c r="A252" s="320">
        <v>7135154</v>
      </c>
      <c r="B252" s="798" t="s">
        <v>137</v>
      </c>
      <c r="C252" s="798"/>
      <c r="D252" s="798"/>
      <c r="E252" s="252" t="s">
        <v>129</v>
      </c>
      <c r="F252" s="252" t="s">
        <v>164</v>
      </c>
      <c r="G252" s="520">
        <v>8957800</v>
      </c>
      <c r="H252" s="401">
        <v>1</v>
      </c>
      <c r="I252" s="399">
        <v>8957.7999999999993</v>
      </c>
    </row>
    <row r="253" spans="1:9" s="402" customFormat="1" ht="15.85" customHeight="1">
      <c r="A253" s="320">
        <v>7135154</v>
      </c>
      <c r="B253" s="798" t="s">
        <v>137</v>
      </c>
      <c r="C253" s="798"/>
      <c r="D253" s="798"/>
      <c r="E253" s="252" t="s">
        <v>129</v>
      </c>
      <c r="F253" s="252" t="s">
        <v>164</v>
      </c>
      <c r="G253" s="523">
        <v>7614700</v>
      </c>
      <c r="H253" s="404">
        <v>1</v>
      </c>
      <c r="I253" s="399">
        <v>7614.7</v>
      </c>
    </row>
    <row r="254" spans="1:9" s="402" customFormat="1" ht="15.85" customHeight="1">
      <c r="A254" s="320">
        <v>7135154</v>
      </c>
      <c r="B254" s="798" t="s">
        <v>137</v>
      </c>
      <c r="C254" s="798"/>
      <c r="D254" s="798"/>
      <c r="E254" s="252" t="s">
        <v>129</v>
      </c>
      <c r="F254" s="252" t="s">
        <v>164</v>
      </c>
      <c r="G254" s="523">
        <v>7226300</v>
      </c>
      <c r="H254" s="404">
        <v>1</v>
      </c>
      <c r="I254" s="399">
        <v>7226.3</v>
      </c>
    </row>
    <row r="255" spans="1:9" s="402" customFormat="1" ht="15.85" customHeight="1">
      <c r="A255" s="320">
        <v>7135154</v>
      </c>
      <c r="B255" s="798" t="s">
        <v>137</v>
      </c>
      <c r="C255" s="798"/>
      <c r="D255" s="798"/>
      <c r="E255" s="252" t="s">
        <v>129</v>
      </c>
      <c r="F255" s="252" t="s">
        <v>164</v>
      </c>
      <c r="G255" s="523">
        <v>6079200</v>
      </c>
      <c r="H255" s="404">
        <v>1</v>
      </c>
      <c r="I255" s="399">
        <v>6079.2</v>
      </c>
    </row>
    <row r="256" spans="1:9" s="402" customFormat="1" ht="15.85" customHeight="1">
      <c r="A256" s="320">
        <v>7135154</v>
      </c>
      <c r="B256" s="798" t="s">
        <v>137</v>
      </c>
      <c r="C256" s="798"/>
      <c r="D256" s="798"/>
      <c r="E256" s="252" t="s">
        <v>129</v>
      </c>
      <c r="F256" s="252" t="s">
        <v>164</v>
      </c>
      <c r="G256" s="523">
        <v>7064100</v>
      </c>
      <c r="H256" s="404">
        <v>1</v>
      </c>
      <c r="I256" s="399">
        <v>7064.1</v>
      </c>
    </row>
    <row r="257" spans="1:9" s="402" customFormat="1" ht="15.85" customHeight="1">
      <c r="A257" s="320">
        <v>7135154</v>
      </c>
      <c r="B257" s="798" t="s">
        <v>137</v>
      </c>
      <c r="C257" s="798"/>
      <c r="D257" s="798"/>
      <c r="E257" s="252" t="s">
        <v>129</v>
      </c>
      <c r="F257" s="252" t="s">
        <v>164</v>
      </c>
      <c r="G257" s="523">
        <v>5013400</v>
      </c>
      <c r="H257" s="404">
        <v>1</v>
      </c>
      <c r="I257" s="399">
        <v>5013.3999999999996</v>
      </c>
    </row>
    <row r="258" spans="1:9" s="402" customFormat="1" ht="15.85" customHeight="1">
      <c r="A258" s="320">
        <v>7135154</v>
      </c>
      <c r="B258" s="798" t="s">
        <v>137</v>
      </c>
      <c r="C258" s="798"/>
      <c r="D258" s="798"/>
      <c r="E258" s="252" t="s">
        <v>129</v>
      </c>
      <c r="F258" s="252" t="s">
        <v>164</v>
      </c>
      <c r="G258" s="523">
        <v>4875400</v>
      </c>
      <c r="H258" s="404">
        <v>1</v>
      </c>
      <c r="I258" s="399">
        <v>4875.3999999999996</v>
      </c>
    </row>
    <row r="259" spans="1:9" s="402" customFormat="1" ht="15.85" customHeight="1">
      <c r="A259" s="320">
        <v>7135154</v>
      </c>
      <c r="B259" s="798" t="s">
        <v>137</v>
      </c>
      <c r="C259" s="798"/>
      <c r="D259" s="798"/>
      <c r="E259" s="252" t="s">
        <v>129</v>
      </c>
      <c r="F259" s="252" t="s">
        <v>164</v>
      </c>
      <c r="G259" s="523">
        <v>5324400</v>
      </c>
      <c r="H259" s="404">
        <v>1</v>
      </c>
      <c r="I259" s="399">
        <v>5324.4</v>
      </c>
    </row>
    <row r="260" spans="1:9" s="460" customFormat="1" ht="15.85" customHeight="1">
      <c r="A260" s="465">
        <v>98111140</v>
      </c>
      <c r="B260" s="797" t="s">
        <v>138</v>
      </c>
      <c r="C260" s="797"/>
      <c r="D260" s="797"/>
      <c r="E260" s="252" t="s">
        <v>165</v>
      </c>
      <c r="F260" s="252" t="s">
        <v>164</v>
      </c>
      <c r="G260" s="523">
        <v>1001300</v>
      </c>
      <c r="H260" s="404">
        <v>1</v>
      </c>
      <c r="I260" s="459">
        <v>1001.3</v>
      </c>
    </row>
    <row r="261" spans="1:9" s="402" customFormat="1" ht="15.85" customHeight="1">
      <c r="A261" s="320">
        <v>98111140</v>
      </c>
      <c r="B261" s="798" t="s">
        <v>138</v>
      </c>
      <c r="C261" s="798"/>
      <c r="D261" s="798"/>
      <c r="E261" s="252" t="s">
        <v>165</v>
      </c>
      <c r="F261" s="252" t="s">
        <v>164</v>
      </c>
      <c r="G261" s="523">
        <v>1444000</v>
      </c>
      <c r="H261" s="404">
        <v>1</v>
      </c>
      <c r="I261" s="399">
        <v>1444</v>
      </c>
    </row>
    <row r="262" spans="1:9" s="402" customFormat="1" ht="15.85" customHeight="1">
      <c r="A262" s="320">
        <v>98111140</v>
      </c>
      <c r="B262" s="798" t="s">
        <v>138</v>
      </c>
      <c r="C262" s="798"/>
      <c r="D262" s="798"/>
      <c r="E262" s="252" t="s">
        <v>165</v>
      </c>
      <c r="F262" s="252" t="s">
        <v>164</v>
      </c>
      <c r="G262" s="523">
        <v>866600</v>
      </c>
      <c r="H262" s="404">
        <v>1</v>
      </c>
      <c r="I262" s="399">
        <v>866.6</v>
      </c>
    </row>
    <row r="263" spans="1:9" s="402" customFormat="1" ht="15.85" customHeight="1">
      <c r="A263" s="320">
        <v>98111140</v>
      </c>
      <c r="B263" s="798" t="s">
        <v>138</v>
      </c>
      <c r="C263" s="798"/>
      <c r="D263" s="798"/>
      <c r="E263" s="252" t="s">
        <v>165</v>
      </c>
      <c r="F263" s="252" t="s">
        <v>164</v>
      </c>
      <c r="G263" s="523">
        <v>609500</v>
      </c>
      <c r="H263" s="404">
        <v>1</v>
      </c>
      <c r="I263" s="399">
        <v>609.5</v>
      </c>
    </row>
    <row r="264" spans="1:9" s="402" customFormat="1" ht="15.85" customHeight="1">
      <c r="A264" s="320">
        <v>98111140</v>
      </c>
      <c r="B264" s="798" t="s">
        <v>138</v>
      </c>
      <c r="C264" s="798"/>
      <c r="D264" s="798"/>
      <c r="E264" s="252" t="s">
        <v>165</v>
      </c>
      <c r="F264" s="252" t="s">
        <v>164</v>
      </c>
      <c r="G264" s="523">
        <v>882500</v>
      </c>
      <c r="H264" s="404">
        <v>1</v>
      </c>
      <c r="I264" s="399">
        <v>882.5</v>
      </c>
    </row>
    <row r="265" spans="1:9" s="402" customFormat="1" ht="15.85" customHeight="1">
      <c r="A265" s="320">
        <v>98111140</v>
      </c>
      <c r="B265" s="798" t="s">
        <v>138</v>
      </c>
      <c r="C265" s="798"/>
      <c r="D265" s="798"/>
      <c r="E265" s="252" t="s">
        <v>165</v>
      </c>
      <c r="F265" s="252" t="s">
        <v>164</v>
      </c>
      <c r="G265" s="523">
        <v>729300</v>
      </c>
      <c r="H265" s="404">
        <v>1</v>
      </c>
      <c r="I265" s="399">
        <v>729.3</v>
      </c>
    </row>
    <row r="266" spans="1:9" s="402" customFormat="1" ht="15.85" customHeight="1">
      <c r="A266" s="320">
        <v>98111140</v>
      </c>
      <c r="B266" s="798" t="s">
        <v>138</v>
      </c>
      <c r="C266" s="798"/>
      <c r="D266" s="798"/>
      <c r="E266" s="252" t="s">
        <v>165</v>
      </c>
      <c r="F266" s="252" t="s">
        <v>164</v>
      </c>
      <c r="G266" s="523">
        <v>765500</v>
      </c>
      <c r="H266" s="404">
        <v>1</v>
      </c>
      <c r="I266" s="399">
        <v>765.5</v>
      </c>
    </row>
    <row r="267" spans="1:9" s="402" customFormat="1" ht="15.85" customHeight="1">
      <c r="A267" s="320">
        <v>98111140</v>
      </c>
      <c r="B267" s="798" t="s">
        <v>138</v>
      </c>
      <c r="C267" s="798"/>
      <c r="D267" s="798"/>
      <c r="E267" s="252" t="s">
        <v>165</v>
      </c>
      <c r="F267" s="252" t="s">
        <v>164</v>
      </c>
      <c r="G267" s="523">
        <v>1485300</v>
      </c>
      <c r="H267" s="404">
        <v>1</v>
      </c>
      <c r="I267" s="399">
        <v>1485.3</v>
      </c>
    </row>
    <row r="268" spans="1:9" s="402" customFormat="1" ht="15.85" customHeight="1">
      <c r="A268" s="320">
        <v>98111140</v>
      </c>
      <c r="B268" s="798" t="s">
        <v>138</v>
      </c>
      <c r="C268" s="798"/>
      <c r="D268" s="798"/>
      <c r="E268" s="252" t="s">
        <v>165</v>
      </c>
      <c r="F268" s="252" t="s">
        <v>164</v>
      </c>
      <c r="G268" s="523">
        <v>1153800</v>
      </c>
      <c r="H268" s="404">
        <v>1</v>
      </c>
      <c r="I268" s="399">
        <v>1153.8</v>
      </c>
    </row>
    <row r="269" spans="1:9" s="402" customFormat="1" ht="15.85" customHeight="1">
      <c r="A269" s="320">
        <v>98111140</v>
      </c>
      <c r="B269" s="798" t="s">
        <v>138</v>
      </c>
      <c r="C269" s="798"/>
      <c r="D269" s="798"/>
      <c r="E269" s="252" t="s">
        <v>165</v>
      </c>
      <c r="F269" s="252" t="s">
        <v>164</v>
      </c>
      <c r="G269" s="523">
        <v>1259500</v>
      </c>
      <c r="H269" s="404">
        <v>1</v>
      </c>
      <c r="I269" s="399">
        <v>1259.5</v>
      </c>
    </row>
    <row r="270" spans="1:9" s="402" customFormat="1" ht="15.85" customHeight="1">
      <c r="A270" s="320">
        <v>98111140</v>
      </c>
      <c r="B270" s="798" t="s">
        <v>138</v>
      </c>
      <c r="C270" s="798"/>
      <c r="D270" s="798"/>
      <c r="E270" s="252" t="s">
        <v>165</v>
      </c>
      <c r="F270" s="252" t="s">
        <v>164</v>
      </c>
      <c r="G270" s="523">
        <v>1120500</v>
      </c>
      <c r="H270" s="404">
        <v>1</v>
      </c>
      <c r="I270" s="399">
        <v>1120.5</v>
      </c>
    </row>
    <row r="271" spans="1:9" s="402" customFormat="1" ht="15.85" customHeight="1">
      <c r="A271" s="320">
        <v>98111140</v>
      </c>
      <c r="B271" s="798" t="s">
        <v>138</v>
      </c>
      <c r="C271" s="798"/>
      <c r="D271" s="798"/>
      <c r="E271" s="252" t="s">
        <v>165</v>
      </c>
      <c r="F271" s="252" t="s">
        <v>164</v>
      </c>
      <c r="G271" s="523">
        <v>1065300</v>
      </c>
      <c r="H271" s="404">
        <v>1</v>
      </c>
      <c r="I271" s="399">
        <v>1065.3</v>
      </c>
    </row>
    <row r="272" spans="1:9" s="402" customFormat="1" ht="15.85" customHeight="1">
      <c r="A272" s="320">
        <v>98111140</v>
      </c>
      <c r="B272" s="798" t="s">
        <v>138</v>
      </c>
      <c r="C272" s="798"/>
      <c r="D272" s="798"/>
      <c r="E272" s="252" t="s">
        <v>165</v>
      </c>
      <c r="F272" s="252" t="s">
        <v>164</v>
      </c>
      <c r="G272" s="523">
        <v>893400</v>
      </c>
      <c r="H272" s="404">
        <v>1</v>
      </c>
      <c r="I272" s="399">
        <v>893.4</v>
      </c>
    </row>
    <row r="273" spans="1:9" s="402" customFormat="1" ht="15.85" customHeight="1">
      <c r="A273" s="320">
        <v>98111140</v>
      </c>
      <c r="B273" s="798" t="s">
        <v>138</v>
      </c>
      <c r="C273" s="798"/>
      <c r="D273" s="798"/>
      <c r="E273" s="252" t="s">
        <v>165</v>
      </c>
      <c r="F273" s="252" t="s">
        <v>164</v>
      </c>
      <c r="G273" s="523">
        <v>1040900</v>
      </c>
      <c r="H273" s="404">
        <v>1</v>
      </c>
      <c r="I273" s="399">
        <v>1040.9000000000001</v>
      </c>
    </row>
    <row r="274" spans="1:9" s="402" customFormat="1" ht="15.85" customHeight="1">
      <c r="A274" s="320">
        <v>98111140</v>
      </c>
      <c r="B274" s="798" t="s">
        <v>138</v>
      </c>
      <c r="C274" s="798"/>
      <c r="D274" s="798"/>
      <c r="E274" s="252" t="s">
        <v>165</v>
      </c>
      <c r="F274" s="252" t="s">
        <v>164</v>
      </c>
      <c r="G274" s="523">
        <v>733700</v>
      </c>
      <c r="H274" s="404">
        <v>1</v>
      </c>
      <c r="I274" s="399">
        <v>733.7</v>
      </c>
    </row>
    <row r="275" spans="1:9" s="402" customFormat="1" ht="15.85" customHeight="1">
      <c r="A275" s="320">
        <v>98111140</v>
      </c>
      <c r="B275" s="798" t="s">
        <v>138</v>
      </c>
      <c r="C275" s="798"/>
      <c r="D275" s="798"/>
      <c r="E275" s="252" t="s">
        <v>165</v>
      </c>
      <c r="F275" s="252" t="s">
        <v>164</v>
      </c>
      <c r="G275" s="523">
        <v>717400</v>
      </c>
      <c r="H275" s="404">
        <v>1</v>
      </c>
      <c r="I275" s="399">
        <v>717.4</v>
      </c>
    </row>
    <row r="276" spans="1:9" s="402" customFormat="1" ht="15.85" customHeight="1">
      <c r="A276" s="320">
        <v>98111140</v>
      </c>
      <c r="B276" s="798" t="s">
        <v>138</v>
      </c>
      <c r="C276" s="798"/>
      <c r="D276" s="798"/>
      <c r="E276" s="252" t="s">
        <v>165</v>
      </c>
      <c r="F276" s="252" t="s">
        <v>164</v>
      </c>
      <c r="G276" s="523">
        <v>736700</v>
      </c>
      <c r="H276" s="404">
        <v>1</v>
      </c>
      <c r="I276" s="399">
        <v>736.7</v>
      </c>
    </row>
    <row r="277" spans="1:9" s="395" customFormat="1" ht="54.85" customHeight="1">
      <c r="A277" s="392" t="s">
        <v>367</v>
      </c>
      <c r="B277" s="812" t="s">
        <v>368</v>
      </c>
      <c r="C277" s="812"/>
      <c r="D277" s="812"/>
      <c r="E277" s="812"/>
      <c r="F277" s="812"/>
      <c r="G277" s="812"/>
      <c r="H277" s="812"/>
      <c r="I277" s="394">
        <f>+I278+I284</f>
        <v>-108596.30000000005</v>
      </c>
    </row>
    <row r="278" spans="1:9" s="400" customFormat="1" ht="20.75" customHeight="1">
      <c r="A278" s="396"/>
      <c r="B278" s="813" t="s">
        <v>133</v>
      </c>
      <c r="C278" s="814"/>
      <c r="D278" s="815"/>
      <c r="E278" s="397"/>
      <c r="F278" s="397"/>
      <c r="G278" s="397"/>
      <c r="H278" s="398"/>
      <c r="I278" s="399">
        <f>SUM(I279:I283)</f>
        <v>-134005.20000000004</v>
      </c>
    </row>
    <row r="279" spans="1:9" s="402" customFormat="1" ht="17.350000000000001" customHeight="1">
      <c r="A279" s="320" t="s">
        <v>244</v>
      </c>
      <c r="B279" s="798" t="s">
        <v>238</v>
      </c>
      <c r="C279" s="798"/>
      <c r="D279" s="798"/>
      <c r="E279" s="252" t="s">
        <v>258</v>
      </c>
      <c r="F279" s="252" t="s">
        <v>134</v>
      </c>
      <c r="G279" s="520"/>
      <c r="H279" s="401"/>
      <c r="I279" s="399">
        <v>-643230.80000000005</v>
      </c>
    </row>
    <row r="280" spans="1:9" s="402" customFormat="1" ht="17.350000000000001" customHeight="1">
      <c r="A280" s="320">
        <v>45611100</v>
      </c>
      <c r="B280" s="798" t="s">
        <v>238</v>
      </c>
      <c r="C280" s="798"/>
      <c r="D280" s="798"/>
      <c r="E280" s="252" t="s">
        <v>258</v>
      </c>
      <c r="F280" s="252" t="s">
        <v>134</v>
      </c>
      <c r="G280" s="520">
        <v>104389300</v>
      </c>
      <c r="H280" s="401">
        <v>1</v>
      </c>
      <c r="I280" s="399">
        <v>104389.3</v>
      </c>
    </row>
    <row r="281" spans="1:9" s="402" customFormat="1" ht="17.350000000000001" customHeight="1">
      <c r="A281" s="320">
        <v>45611100</v>
      </c>
      <c r="B281" s="798" t="s">
        <v>238</v>
      </c>
      <c r="C281" s="798"/>
      <c r="D281" s="798"/>
      <c r="E281" s="252" t="s">
        <v>258</v>
      </c>
      <c r="F281" s="252" t="s">
        <v>134</v>
      </c>
      <c r="G281" s="520">
        <v>158958800</v>
      </c>
      <c r="H281" s="401">
        <v>1</v>
      </c>
      <c r="I281" s="399">
        <v>158958.79999999999</v>
      </c>
    </row>
    <row r="282" spans="1:9" s="402" customFormat="1" ht="17.350000000000001" customHeight="1">
      <c r="A282" s="320">
        <v>45611100</v>
      </c>
      <c r="B282" s="798" t="s">
        <v>238</v>
      </c>
      <c r="C282" s="798"/>
      <c r="D282" s="798"/>
      <c r="E282" s="252" t="s">
        <v>258</v>
      </c>
      <c r="F282" s="252" t="s">
        <v>134</v>
      </c>
      <c r="G282" s="520">
        <v>91181400</v>
      </c>
      <c r="H282" s="401">
        <v>1</v>
      </c>
      <c r="I282" s="399">
        <v>91181.4</v>
      </c>
    </row>
    <row r="283" spans="1:9" s="402" customFormat="1" ht="17.350000000000001" customHeight="1">
      <c r="A283" s="320">
        <v>45611100</v>
      </c>
      <c r="B283" s="798" t="s">
        <v>238</v>
      </c>
      <c r="C283" s="798"/>
      <c r="D283" s="798"/>
      <c r="E283" s="252" t="s">
        <v>258</v>
      </c>
      <c r="F283" s="252" t="s">
        <v>134</v>
      </c>
      <c r="G283" s="520">
        <v>154696100</v>
      </c>
      <c r="H283" s="401">
        <v>1</v>
      </c>
      <c r="I283" s="399">
        <v>154696.1</v>
      </c>
    </row>
    <row r="284" spans="1:9" s="402" customFormat="1" ht="20.75" customHeight="1">
      <c r="A284" s="320" t="s">
        <v>135</v>
      </c>
      <c r="B284" s="813" t="s">
        <v>136</v>
      </c>
      <c r="C284" s="814"/>
      <c r="D284" s="815"/>
      <c r="E284" s="397" t="s">
        <v>135</v>
      </c>
      <c r="F284" s="397" t="s">
        <v>135</v>
      </c>
      <c r="G284" s="397" t="s">
        <v>135</v>
      </c>
      <c r="H284" s="403"/>
      <c r="I284" s="399">
        <f>SUM(I285:I294)</f>
        <v>25408.9</v>
      </c>
    </row>
    <row r="285" spans="1:9" s="402" customFormat="1" ht="15" customHeight="1">
      <c r="A285" s="320">
        <v>7135154</v>
      </c>
      <c r="B285" s="798" t="s">
        <v>137</v>
      </c>
      <c r="C285" s="798"/>
      <c r="D285" s="798"/>
      <c r="E285" s="252" t="s">
        <v>129</v>
      </c>
      <c r="F285" s="252" t="s">
        <v>164</v>
      </c>
      <c r="G285" s="520">
        <v>3466800</v>
      </c>
      <c r="H285" s="401">
        <v>1</v>
      </c>
      <c r="I285" s="399">
        <v>3466.8</v>
      </c>
    </row>
    <row r="286" spans="1:9" s="402" customFormat="1" ht="15" customHeight="1">
      <c r="A286" s="320">
        <v>7135154</v>
      </c>
      <c r="B286" s="798" t="s">
        <v>137</v>
      </c>
      <c r="C286" s="798"/>
      <c r="D286" s="798"/>
      <c r="E286" s="252" t="s">
        <v>129</v>
      </c>
      <c r="F286" s="252" t="s">
        <v>164</v>
      </c>
      <c r="G286" s="520">
        <v>4175600</v>
      </c>
      <c r="H286" s="401">
        <v>1</v>
      </c>
      <c r="I286" s="399">
        <v>4175.6000000000004</v>
      </c>
    </row>
    <row r="287" spans="1:9" s="402" customFormat="1" ht="15" customHeight="1">
      <c r="A287" s="320">
        <v>7135154</v>
      </c>
      <c r="B287" s="798" t="s">
        <v>137</v>
      </c>
      <c r="C287" s="798"/>
      <c r="D287" s="798"/>
      <c r="E287" s="252" t="s">
        <v>129</v>
      </c>
      <c r="F287" s="252" t="s">
        <v>164</v>
      </c>
      <c r="G287" s="520">
        <v>6358400</v>
      </c>
      <c r="H287" s="401">
        <v>1</v>
      </c>
      <c r="I287" s="399">
        <v>6358.4</v>
      </c>
    </row>
    <row r="288" spans="1:9" s="402" customFormat="1" ht="15" customHeight="1">
      <c r="A288" s="320">
        <v>7135154</v>
      </c>
      <c r="B288" s="798" t="s">
        <v>137</v>
      </c>
      <c r="C288" s="798"/>
      <c r="D288" s="798"/>
      <c r="E288" s="252" t="s">
        <v>129</v>
      </c>
      <c r="F288" s="252" t="s">
        <v>164</v>
      </c>
      <c r="G288" s="520">
        <v>1823600</v>
      </c>
      <c r="H288" s="401">
        <v>1</v>
      </c>
      <c r="I288" s="399">
        <v>1823.6</v>
      </c>
    </row>
    <row r="289" spans="1:9" s="402" customFormat="1" ht="15" customHeight="1">
      <c r="A289" s="320">
        <v>7135154</v>
      </c>
      <c r="B289" s="798" t="s">
        <v>137</v>
      </c>
      <c r="C289" s="798"/>
      <c r="D289" s="798"/>
      <c r="E289" s="252" t="s">
        <v>129</v>
      </c>
      <c r="F289" s="252" t="s">
        <v>164</v>
      </c>
      <c r="G289" s="520">
        <v>6187800</v>
      </c>
      <c r="H289" s="401">
        <v>1</v>
      </c>
      <c r="I289" s="399">
        <v>6187.8</v>
      </c>
    </row>
    <row r="290" spans="1:9" s="402" customFormat="1" ht="15.85" customHeight="1">
      <c r="A290" s="320">
        <v>98111140</v>
      </c>
      <c r="B290" s="798" t="s">
        <v>138</v>
      </c>
      <c r="C290" s="798"/>
      <c r="D290" s="798"/>
      <c r="E290" s="252" t="s">
        <v>165</v>
      </c>
      <c r="F290" s="252" t="s">
        <v>164</v>
      </c>
      <c r="G290" s="523">
        <v>475500</v>
      </c>
      <c r="H290" s="404">
        <v>1</v>
      </c>
      <c r="I290" s="399">
        <v>475.5</v>
      </c>
    </row>
    <row r="291" spans="1:9" s="402" customFormat="1" ht="15.85" customHeight="1">
      <c r="A291" s="320">
        <v>98111140</v>
      </c>
      <c r="B291" s="798" t="s">
        <v>138</v>
      </c>
      <c r="C291" s="798"/>
      <c r="D291" s="798"/>
      <c r="E291" s="252" t="s">
        <v>165</v>
      </c>
      <c r="F291" s="252" t="s">
        <v>164</v>
      </c>
      <c r="G291" s="523">
        <v>608500</v>
      </c>
      <c r="H291" s="404">
        <v>1</v>
      </c>
      <c r="I291" s="399">
        <v>608.5</v>
      </c>
    </row>
    <row r="292" spans="1:9" s="402" customFormat="1" ht="15.85" customHeight="1">
      <c r="A292" s="320">
        <v>98111140</v>
      </c>
      <c r="B292" s="798" t="s">
        <v>138</v>
      </c>
      <c r="C292" s="798"/>
      <c r="D292" s="798"/>
      <c r="E292" s="252" t="s">
        <v>165</v>
      </c>
      <c r="F292" s="252" t="s">
        <v>164</v>
      </c>
      <c r="G292" s="523">
        <v>928700</v>
      </c>
      <c r="H292" s="404">
        <v>1</v>
      </c>
      <c r="I292" s="399">
        <v>928.7</v>
      </c>
    </row>
    <row r="293" spans="1:9" s="402" customFormat="1" ht="15.85" customHeight="1">
      <c r="A293" s="320">
        <v>98111140</v>
      </c>
      <c r="B293" s="798" t="s">
        <v>138</v>
      </c>
      <c r="C293" s="798"/>
      <c r="D293" s="798"/>
      <c r="E293" s="252" t="s">
        <v>165</v>
      </c>
      <c r="F293" s="252" t="s">
        <v>164</v>
      </c>
      <c r="G293" s="523">
        <v>481000</v>
      </c>
      <c r="H293" s="404">
        <v>1</v>
      </c>
      <c r="I293" s="399">
        <v>481</v>
      </c>
    </row>
    <row r="294" spans="1:9" s="402" customFormat="1" ht="15.85" customHeight="1">
      <c r="A294" s="320">
        <v>98111140</v>
      </c>
      <c r="B294" s="798" t="s">
        <v>138</v>
      </c>
      <c r="C294" s="798"/>
      <c r="D294" s="798"/>
      <c r="E294" s="252" t="s">
        <v>165</v>
      </c>
      <c r="F294" s="252" t="s">
        <v>164</v>
      </c>
      <c r="G294" s="523">
        <v>903000</v>
      </c>
      <c r="H294" s="404">
        <v>1</v>
      </c>
      <c r="I294" s="399">
        <v>903</v>
      </c>
    </row>
  </sheetData>
  <mergeCells count="294">
    <mergeCell ref="B272:D272"/>
    <mergeCell ref="B273:D273"/>
    <mergeCell ref="B274:D274"/>
    <mergeCell ref="B275:D275"/>
    <mergeCell ref="B276:D276"/>
    <mergeCell ref="B267:D267"/>
    <mergeCell ref="B268:D268"/>
    <mergeCell ref="B269:D269"/>
    <mergeCell ref="B270:D270"/>
    <mergeCell ref="B271:D271"/>
    <mergeCell ref="B262:D262"/>
    <mergeCell ref="B263:D263"/>
    <mergeCell ref="B264:D264"/>
    <mergeCell ref="B265:D265"/>
    <mergeCell ref="B266:D266"/>
    <mergeCell ref="B257:D257"/>
    <mergeCell ref="B258:D258"/>
    <mergeCell ref="B259:D259"/>
    <mergeCell ref="B260:D260"/>
    <mergeCell ref="B261:D261"/>
    <mergeCell ref="B252:D252"/>
    <mergeCell ref="B253:D253"/>
    <mergeCell ref="B254:D254"/>
    <mergeCell ref="B255:D255"/>
    <mergeCell ref="B256:D256"/>
    <mergeCell ref="B247:D247"/>
    <mergeCell ref="B248:D248"/>
    <mergeCell ref="B249:D249"/>
    <mergeCell ref="B250:D250"/>
    <mergeCell ref="B251:D251"/>
    <mergeCell ref="B242:D242"/>
    <mergeCell ref="B243:D243"/>
    <mergeCell ref="B244:D244"/>
    <mergeCell ref="B245:D245"/>
    <mergeCell ref="B246:D246"/>
    <mergeCell ref="B241:D241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2:D222"/>
    <mergeCell ref="B223:H223"/>
    <mergeCell ref="B224:D224"/>
    <mergeCell ref="B225:D225"/>
    <mergeCell ref="B197:D197"/>
    <mergeCell ref="B198:D198"/>
    <mergeCell ref="B199:D199"/>
    <mergeCell ref="B213:D213"/>
    <mergeCell ref="B214:D214"/>
    <mergeCell ref="B221:D221"/>
    <mergeCell ref="B205:D205"/>
    <mergeCell ref="B206:D206"/>
    <mergeCell ref="B207:D207"/>
    <mergeCell ref="B208:D208"/>
    <mergeCell ref="B209:D209"/>
    <mergeCell ref="B215:D215"/>
    <mergeCell ref="B216:D216"/>
    <mergeCell ref="B217:D217"/>
    <mergeCell ref="B218:D218"/>
    <mergeCell ref="B219:D219"/>
    <mergeCell ref="B220:D220"/>
    <mergeCell ref="B190:D190"/>
    <mergeCell ref="B210:D210"/>
    <mergeCell ref="B211:D211"/>
    <mergeCell ref="B212:D212"/>
    <mergeCell ref="B200:D200"/>
    <mergeCell ref="B201:D201"/>
    <mergeCell ref="B202:D202"/>
    <mergeCell ref="B203:D203"/>
    <mergeCell ref="B204:D204"/>
    <mergeCell ref="B191:D191"/>
    <mergeCell ref="B192:D192"/>
    <mergeCell ref="B193:D193"/>
    <mergeCell ref="B194:D194"/>
    <mergeCell ref="B195:D195"/>
    <mergeCell ref="B196:D196"/>
    <mergeCell ref="B186:D186"/>
    <mergeCell ref="B187:H187"/>
    <mergeCell ref="B188:D188"/>
    <mergeCell ref="B189:D189"/>
    <mergeCell ref="B147:D147"/>
    <mergeCell ref="B148:D148"/>
    <mergeCell ref="B149:D149"/>
    <mergeCell ref="B116:D116"/>
    <mergeCell ref="B126:D126"/>
    <mergeCell ref="B142:D142"/>
    <mergeCell ref="B143:D143"/>
    <mergeCell ref="B144:D144"/>
    <mergeCell ref="B145:D145"/>
    <mergeCell ref="B146:D146"/>
    <mergeCell ref="B136:D136"/>
    <mergeCell ref="B137:D137"/>
    <mergeCell ref="B139:D139"/>
    <mergeCell ref="B140:D140"/>
    <mergeCell ref="B141:D141"/>
    <mergeCell ref="B131:D131"/>
    <mergeCell ref="B132:D132"/>
    <mergeCell ref="B133:D133"/>
    <mergeCell ref="B134:D134"/>
    <mergeCell ref="B135:D135"/>
    <mergeCell ref="B125:D125"/>
    <mergeCell ref="B127:D127"/>
    <mergeCell ref="B128:D128"/>
    <mergeCell ref="B129:D129"/>
    <mergeCell ref="B130:D130"/>
    <mergeCell ref="B120:D120"/>
    <mergeCell ref="B121:D121"/>
    <mergeCell ref="B122:D122"/>
    <mergeCell ref="B123:D123"/>
    <mergeCell ref="B124:D124"/>
    <mergeCell ref="B91:D91"/>
    <mergeCell ref="B113:D113"/>
    <mergeCell ref="B114:D114"/>
    <mergeCell ref="B115:D115"/>
    <mergeCell ref="B118:D118"/>
    <mergeCell ref="B119:D119"/>
    <mergeCell ref="B106:D106"/>
    <mergeCell ref="B107:D107"/>
    <mergeCell ref="B117:D117"/>
    <mergeCell ref="B98:D98"/>
    <mergeCell ref="B99:D99"/>
    <mergeCell ref="B100:D100"/>
    <mergeCell ref="B101:D101"/>
    <mergeCell ref="B102:D102"/>
    <mergeCell ref="B103:D103"/>
    <mergeCell ref="B104:D104"/>
    <mergeCell ref="B105:D105"/>
    <mergeCell ref="B108:D108"/>
    <mergeCell ref="B109:D109"/>
    <mergeCell ref="B110:D110"/>
    <mergeCell ref="B111:D111"/>
    <mergeCell ref="B112:D112"/>
    <mergeCell ref="B97:D97"/>
    <mergeCell ref="H7:I7"/>
    <mergeCell ref="H2:I2"/>
    <mergeCell ref="H3:I3"/>
    <mergeCell ref="H1:I1"/>
    <mergeCell ref="B36:D36"/>
    <mergeCell ref="B37:D37"/>
    <mergeCell ref="B38:D38"/>
    <mergeCell ref="B42:D42"/>
    <mergeCell ref="B39:D39"/>
    <mergeCell ref="B40:D40"/>
    <mergeCell ref="B41:D41"/>
    <mergeCell ref="A10:H10"/>
    <mergeCell ref="D11:H11"/>
    <mergeCell ref="B12:H12"/>
    <mergeCell ref="B13:D13"/>
    <mergeCell ref="B14:D14"/>
    <mergeCell ref="B15:D15"/>
    <mergeCell ref="B16:D16"/>
    <mergeCell ref="B17:D17"/>
    <mergeCell ref="B151:H151"/>
    <mergeCell ref="B7:D8"/>
    <mergeCell ref="D71:H71"/>
    <mergeCell ref="A63:H63"/>
    <mergeCell ref="B9:D9"/>
    <mergeCell ref="A5:I6"/>
    <mergeCell ref="A7:A8"/>
    <mergeCell ref="E7:E8"/>
    <mergeCell ref="F7:F8"/>
    <mergeCell ref="G7:G8"/>
    <mergeCell ref="B72:H72"/>
    <mergeCell ref="B73:D73"/>
    <mergeCell ref="B76:D76"/>
    <mergeCell ref="B79:D79"/>
    <mergeCell ref="B85:D85"/>
    <mergeCell ref="B82:D82"/>
    <mergeCell ref="B84:D84"/>
    <mergeCell ref="D29:H29"/>
    <mergeCell ref="B30:H30"/>
    <mergeCell ref="B31:D31"/>
    <mergeCell ref="B32:D32"/>
    <mergeCell ref="B33:D33"/>
    <mergeCell ref="B34:D34"/>
    <mergeCell ref="B35:D35"/>
    <mergeCell ref="D51:H51"/>
    <mergeCell ref="B52:H52"/>
    <mergeCell ref="B53:D53"/>
    <mergeCell ref="D18:H18"/>
    <mergeCell ref="B26:H26"/>
    <mergeCell ref="B27:D27"/>
    <mergeCell ref="B28:D28"/>
    <mergeCell ref="B55:D55"/>
    <mergeCell ref="B54:D54"/>
    <mergeCell ref="B50:D50"/>
    <mergeCell ref="B19:H19"/>
    <mergeCell ref="B25:D25"/>
    <mergeCell ref="B20:D20"/>
    <mergeCell ref="B21:D21"/>
    <mergeCell ref="B22:D22"/>
    <mergeCell ref="B23:D23"/>
    <mergeCell ref="B24:D24"/>
    <mergeCell ref="B43:D43"/>
    <mergeCell ref="B44:D44"/>
    <mergeCell ref="B45:D45"/>
    <mergeCell ref="B46:D46"/>
    <mergeCell ref="B48:D48"/>
    <mergeCell ref="B49:D49"/>
    <mergeCell ref="B47:D47"/>
    <mergeCell ref="B292:D292"/>
    <mergeCell ref="B293:D293"/>
    <mergeCell ref="B294:D294"/>
    <mergeCell ref="B284:D284"/>
    <mergeCell ref="B285:D285"/>
    <mergeCell ref="B286:D286"/>
    <mergeCell ref="B287:D287"/>
    <mergeCell ref="B288:D288"/>
    <mergeCell ref="B289:D289"/>
    <mergeCell ref="B290:D290"/>
    <mergeCell ref="B291:D291"/>
    <mergeCell ref="B56:D56"/>
    <mergeCell ref="B57:D57"/>
    <mergeCell ref="B74:D74"/>
    <mergeCell ref="B86:D86"/>
    <mergeCell ref="B153:D153"/>
    <mergeCell ref="B172:H172"/>
    <mergeCell ref="B173:D173"/>
    <mergeCell ref="B152:D152"/>
    <mergeCell ref="B162:D162"/>
    <mergeCell ref="B164:D164"/>
    <mergeCell ref="B58:H58"/>
    <mergeCell ref="B59:D59"/>
    <mergeCell ref="B60:D60"/>
    <mergeCell ref="B154:D154"/>
    <mergeCell ref="B155:D155"/>
    <mergeCell ref="B156:D156"/>
    <mergeCell ref="B157:H157"/>
    <mergeCell ref="B158:D158"/>
    <mergeCell ref="B160:D160"/>
    <mergeCell ref="B159:D159"/>
    <mergeCell ref="B163:D163"/>
    <mergeCell ref="B161:D161"/>
    <mergeCell ref="B165:D165"/>
    <mergeCell ref="B166:H166"/>
    <mergeCell ref="B75:D75"/>
    <mergeCell ref="B277:H277"/>
    <mergeCell ref="B278:D278"/>
    <mergeCell ref="B279:D279"/>
    <mergeCell ref="B280:D280"/>
    <mergeCell ref="B281:D281"/>
    <mergeCell ref="B282:D282"/>
    <mergeCell ref="B283:D283"/>
    <mergeCell ref="B185:D185"/>
    <mergeCell ref="B179:D179"/>
    <mergeCell ref="B180:D180"/>
    <mergeCell ref="B182:D182"/>
    <mergeCell ref="B183:D183"/>
    <mergeCell ref="B184:D184"/>
    <mergeCell ref="B175:D175"/>
    <mergeCell ref="B177:D177"/>
    <mergeCell ref="B176:D176"/>
    <mergeCell ref="B178:H178"/>
    <mergeCell ref="B181:D181"/>
    <mergeCell ref="B174:D174"/>
    <mergeCell ref="B167:D167"/>
    <mergeCell ref="B168:D168"/>
    <mergeCell ref="B169:D169"/>
    <mergeCell ref="B170:D170"/>
    <mergeCell ref="B171:D171"/>
    <mergeCell ref="B138:D138"/>
    <mergeCell ref="B150:D150"/>
    <mergeCell ref="D64:H64"/>
    <mergeCell ref="B65:H65"/>
    <mergeCell ref="B68:D68"/>
    <mergeCell ref="B69:D69"/>
    <mergeCell ref="B70:D70"/>
    <mergeCell ref="B66:D66"/>
    <mergeCell ref="B67:D67"/>
    <mergeCell ref="B77:D77"/>
    <mergeCell ref="B80:D80"/>
    <mergeCell ref="B81:D81"/>
    <mergeCell ref="B78:D78"/>
    <mergeCell ref="B83:D83"/>
    <mergeCell ref="B92:D92"/>
    <mergeCell ref="B93:D93"/>
    <mergeCell ref="B94:H94"/>
    <mergeCell ref="B95:D95"/>
    <mergeCell ref="B96:D96"/>
    <mergeCell ref="B87:D87"/>
    <mergeCell ref="B88:H88"/>
    <mergeCell ref="B89:D89"/>
    <mergeCell ref="B90:D90"/>
  </mergeCells>
  <pageMargins left="0.25" right="0.25" top="0.75" bottom="0.75" header="0.3" footer="0.3"/>
  <pageSetup paperSize="9" scale="7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4"/>
  <sheetViews>
    <sheetView topLeftCell="A4" zoomScale="77" zoomScaleNormal="77" workbookViewId="0">
      <selection activeCell="E8" sqref="E8"/>
    </sheetView>
  </sheetViews>
  <sheetFormatPr defaultColWidth="9.09765625" defaultRowHeight="18"/>
  <cols>
    <col min="1" max="1" width="9.296875" style="18" customWidth="1"/>
    <col min="2" max="2" width="58.59765625" style="17" customWidth="1"/>
    <col min="3" max="3" width="31.09765625" style="22" customWidth="1"/>
    <col min="4" max="4" width="22" style="17" customWidth="1"/>
    <col min="5" max="6" width="9.09765625" style="17"/>
    <col min="7" max="7" width="15.59765625" style="17" customWidth="1"/>
    <col min="8" max="16384" width="9.09765625" style="17"/>
  </cols>
  <sheetData>
    <row r="1" spans="1:4" s="456" customFormat="1" ht="37.5" customHeight="1">
      <c r="C1" s="457" t="s">
        <v>145</v>
      </c>
    </row>
    <row r="2" spans="1:4" s="273" customFormat="1" ht="17.350000000000001" customHeight="1">
      <c r="C2" s="281" t="s">
        <v>533</v>
      </c>
      <c r="D2" s="280"/>
    </row>
    <row r="3" spans="1:4" s="273" customFormat="1" ht="17.350000000000001" customHeight="1">
      <c r="C3" s="281" t="s">
        <v>9</v>
      </c>
      <c r="D3" s="280"/>
    </row>
    <row r="4" spans="1:4" s="273" customFormat="1"/>
    <row r="5" spans="1:4" ht="17.350000000000001" customHeight="1">
      <c r="A5" s="847"/>
      <c r="B5" s="847"/>
      <c r="C5" s="847"/>
    </row>
    <row r="6" spans="1:4" ht="58.25" customHeight="1">
      <c r="A6" s="849" t="s">
        <v>532</v>
      </c>
      <c r="B6" s="849"/>
      <c r="C6" s="849"/>
    </row>
    <row r="7" spans="1:4" ht="17.350000000000001" customHeight="1">
      <c r="A7" s="140"/>
      <c r="B7" s="848" t="s">
        <v>168</v>
      </c>
      <c r="C7" s="848"/>
    </row>
    <row r="8" spans="1:4" s="18" customFormat="1" ht="67.25" customHeight="1">
      <c r="A8" s="455"/>
      <c r="B8" s="846" t="s">
        <v>462</v>
      </c>
      <c r="C8" s="274" t="s">
        <v>49</v>
      </c>
    </row>
    <row r="9" spans="1:4" s="18" customFormat="1" ht="54.45" customHeight="1">
      <c r="A9" s="5"/>
      <c r="B9" s="708"/>
      <c r="C9" s="275" t="s">
        <v>169</v>
      </c>
    </row>
    <row r="10" spans="1:4" s="18" customFormat="1" ht="30.85" customHeight="1">
      <c r="A10" s="5"/>
      <c r="B10" s="6" t="s">
        <v>105</v>
      </c>
      <c r="C10" s="276">
        <f>+C12</f>
        <v>-2257855.6000000006</v>
      </c>
    </row>
    <row r="11" spans="1:4">
      <c r="A11" s="5"/>
      <c r="B11" s="6" t="s">
        <v>106</v>
      </c>
      <c r="C11" s="11"/>
    </row>
    <row r="12" spans="1:4" s="19" customFormat="1" ht="32.75">
      <c r="A12" s="453">
        <v>6</v>
      </c>
      <c r="B12" s="454" t="s">
        <v>461</v>
      </c>
      <c r="C12" s="276">
        <f>+C14</f>
        <v>-2257855.6000000006</v>
      </c>
    </row>
    <row r="13" spans="1:4" s="19" customFormat="1">
      <c r="A13" s="8"/>
      <c r="B13" s="8" t="s">
        <v>107</v>
      </c>
      <c r="C13" s="10"/>
    </row>
    <row r="14" spans="1:4" s="21" customFormat="1" ht="54">
      <c r="A14" s="277">
        <v>6.1</v>
      </c>
      <c r="B14" s="278" t="s">
        <v>312</v>
      </c>
      <c r="C14" s="279">
        <f>-'Havelvats 1'!G153</f>
        <v>-2257855.6000000006</v>
      </c>
      <c r="D14" s="20"/>
    </row>
  </sheetData>
  <mergeCells count="4">
    <mergeCell ref="B8:B9"/>
    <mergeCell ref="A5:C5"/>
    <mergeCell ref="B7:C7"/>
    <mergeCell ref="A6:C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81"/>
  <sheetViews>
    <sheetView topLeftCell="A49" zoomScale="70" zoomScaleNormal="70" zoomScaleSheetLayoutView="100" workbookViewId="0">
      <selection activeCell="F68" sqref="F68"/>
    </sheetView>
  </sheetViews>
  <sheetFormatPr defaultColWidth="9.09765625" defaultRowHeight="18"/>
  <cols>
    <col min="1" max="3" width="8.8984375" style="159" customWidth="1"/>
    <col min="4" max="4" width="10.296875" style="159" customWidth="1"/>
    <col min="5" max="5" width="14.59765625" style="159" customWidth="1"/>
    <col min="6" max="6" width="62.09765625" style="159" customWidth="1"/>
    <col min="7" max="8" width="14.09765625" style="159" customWidth="1"/>
    <col min="9" max="9" width="14.8984375" style="159" customWidth="1"/>
    <col min="10" max="10" width="13.09765625" style="159" customWidth="1"/>
    <col min="11" max="11" width="9.09765625" style="159"/>
    <col min="12" max="12" width="49.8984375" style="159" customWidth="1"/>
    <col min="13" max="13" width="14.296875" style="159" customWidth="1"/>
    <col min="14" max="16384" width="9.09765625" style="159"/>
  </cols>
  <sheetData>
    <row r="1" spans="1:10" ht="37.950000000000003" customHeight="1">
      <c r="H1" s="763" t="s">
        <v>170</v>
      </c>
      <c r="I1" s="763"/>
      <c r="J1" s="763"/>
    </row>
    <row r="2" spans="1:10" ht="17.350000000000001" customHeight="1">
      <c r="I2" s="235"/>
      <c r="J2" s="501" t="s">
        <v>533</v>
      </c>
    </row>
    <row r="3" spans="1:10" ht="17.350000000000001" customHeight="1">
      <c r="I3" s="235"/>
      <c r="J3" s="235" t="s">
        <v>9</v>
      </c>
    </row>
    <row r="6" spans="1:10" ht="52.5" customHeight="1">
      <c r="A6" s="765" t="s">
        <v>524</v>
      </c>
      <c r="B6" s="765"/>
      <c r="C6" s="765"/>
      <c r="D6" s="765"/>
      <c r="E6" s="765"/>
      <c r="F6" s="765"/>
      <c r="G6" s="765"/>
      <c r="H6" s="765"/>
      <c r="I6" s="765"/>
      <c r="J6" s="765"/>
    </row>
    <row r="8" spans="1:10">
      <c r="I8" s="858" t="s">
        <v>32</v>
      </c>
      <c r="J8" s="858"/>
    </row>
    <row r="9" spans="1:10" s="38" customFormat="1" ht="73.95" customHeight="1">
      <c r="A9" s="857" t="s">
        <v>33</v>
      </c>
      <c r="B9" s="857"/>
      <c r="C9" s="857"/>
      <c r="D9" s="857" t="s">
        <v>15</v>
      </c>
      <c r="E9" s="857"/>
      <c r="F9" s="857" t="s">
        <v>23</v>
      </c>
      <c r="G9" s="853" t="s">
        <v>34</v>
      </c>
      <c r="H9" s="854"/>
      <c r="I9" s="854"/>
      <c r="J9" s="855"/>
    </row>
    <row r="10" spans="1:10" s="38" customFormat="1" ht="45" customHeight="1">
      <c r="A10" s="35" t="s">
        <v>35</v>
      </c>
      <c r="B10" s="35" t="s">
        <v>36</v>
      </c>
      <c r="C10" s="35" t="s">
        <v>37</v>
      </c>
      <c r="D10" s="35" t="s">
        <v>20</v>
      </c>
      <c r="E10" s="35" t="s">
        <v>21</v>
      </c>
      <c r="F10" s="857"/>
      <c r="G10" s="389" t="s">
        <v>395</v>
      </c>
      <c r="H10" s="35" t="s">
        <v>17</v>
      </c>
      <c r="I10" s="35" t="s">
        <v>18</v>
      </c>
      <c r="J10" s="35" t="s">
        <v>19</v>
      </c>
    </row>
    <row r="11" spans="1:10" s="38" customFormat="1" ht="22.5" customHeight="1">
      <c r="A11" s="36"/>
      <c r="B11" s="36"/>
      <c r="C11" s="36"/>
      <c r="D11" s="35"/>
      <c r="E11" s="35"/>
      <c r="F11" s="37" t="s">
        <v>31</v>
      </c>
      <c r="G11" s="33">
        <f>+G13+G32</f>
        <v>0</v>
      </c>
      <c r="H11" s="33">
        <f>+H13+H32</f>
        <v>0</v>
      </c>
      <c r="I11" s="33">
        <f t="shared" ref="I11:J11" si="0">+I13+I32</f>
        <v>0</v>
      </c>
      <c r="J11" s="33">
        <f t="shared" si="0"/>
        <v>0</v>
      </c>
    </row>
    <row r="12" spans="1:10" s="38" customFormat="1" ht="22.5" customHeight="1">
      <c r="A12" s="36"/>
      <c r="B12" s="36"/>
      <c r="C12" s="36"/>
      <c r="D12" s="35"/>
      <c r="E12" s="35"/>
      <c r="F12" s="282" t="s">
        <v>58</v>
      </c>
      <c r="G12" s="33"/>
      <c r="H12" s="33"/>
      <c r="I12" s="33"/>
      <c r="J12" s="33"/>
    </row>
    <row r="13" spans="1:10" s="34" customFormat="1" ht="27" customHeight="1">
      <c r="A13" s="31"/>
      <c r="B13" s="31"/>
      <c r="C13" s="31"/>
      <c r="D13" s="35"/>
      <c r="E13" s="35"/>
      <c r="F13" s="383" t="s">
        <v>171</v>
      </c>
      <c r="G13" s="33">
        <f>+G14</f>
        <v>-12054.3</v>
      </c>
      <c r="H13" s="33">
        <f>+H14</f>
        <v>-213948.3</v>
      </c>
      <c r="I13" s="33">
        <f t="shared" ref="I13:J13" si="1">+I14</f>
        <v>-511599.8</v>
      </c>
      <c r="J13" s="33">
        <f t="shared" si="1"/>
        <v>-709475.70000000007</v>
      </c>
    </row>
    <row r="14" spans="1:10" ht="33.85">
      <c r="A14" s="856" t="s">
        <v>115</v>
      </c>
      <c r="B14" s="856"/>
      <c r="C14" s="856"/>
      <c r="D14" s="856"/>
      <c r="E14" s="856"/>
      <c r="F14" s="32" t="s">
        <v>38</v>
      </c>
      <c r="G14" s="33">
        <f t="shared" ref="G14" si="2">+G16</f>
        <v>-12054.3</v>
      </c>
      <c r="H14" s="33">
        <f t="shared" ref="H14:J14" si="3">+H16</f>
        <v>-213948.3</v>
      </c>
      <c r="I14" s="33">
        <f t="shared" si="3"/>
        <v>-511599.8</v>
      </c>
      <c r="J14" s="33">
        <f t="shared" si="3"/>
        <v>-709475.70000000007</v>
      </c>
    </row>
    <row r="15" spans="1:10">
      <c r="A15" s="856"/>
      <c r="B15" s="856"/>
      <c r="C15" s="856"/>
      <c r="D15" s="856"/>
      <c r="E15" s="856"/>
      <c r="F15" s="282" t="s">
        <v>25</v>
      </c>
      <c r="G15" s="283"/>
      <c r="H15" s="283"/>
      <c r="I15" s="283"/>
      <c r="J15" s="283"/>
    </row>
    <row r="16" spans="1:10" ht="33.85">
      <c r="A16" s="856"/>
      <c r="B16" s="856" t="s">
        <v>39</v>
      </c>
      <c r="C16" s="856"/>
      <c r="D16" s="856"/>
      <c r="E16" s="856"/>
      <c r="F16" s="32" t="s">
        <v>40</v>
      </c>
      <c r="G16" s="33">
        <f t="shared" ref="G16" si="4">+G18</f>
        <v>-12054.3</v>
      </c>
      <c r="H16" s="33">
        <f t="shared" ref="H16:J16" si="5">+H18</f>
        <v>-213948.3</v>
      </c>
      <c r="I16" s="33">
        <f t="shared" si="5"/>
        <v>-511599.8</v>
      </c>
      <c r="J16" s="33">
        <f t="shared" si="5"/>
        <v>-709475.70000000007</v>
      </c>
    </row>
    <row r="17" spans="1:10">
      <c r="A17" s="856"/>
      <c r="B17" s="856"/>
      <c r="C17" s="856"/>
      <c r="D17" s="856"/>
      <c r="E17" s="856"/>
      <c r="F17" s="282" t="s">
        <v>25</v>
      </c>
      <c r="G17" s="283"/>
      <c r="H17" s="283"/>
      <c r="I17" s="283"/>
      <c r="J17" s="283"/>
    </row>
    <row r="18" spans="1:10">
      <c r="A18" s="856"/>
      <c r="B18" s="856"/>
      <c r="C18" s="856" t="s">
        <v>39</v>
      </c>
      <c r="D18" s="856"/>
      <c r="E18" s="856"/>
      <c r="F18" s="37" t="s">
        <v>24</v>
      </c>
      <c r="G18" s="284">
        <f>+G20</f>
        <v>-12054.3</v>
      </c>
      <c r="H18" s="284">
        <f>+H20</f>
        <v>-213948.3</v>
      </c>
      <c r="I18" s="284">
        <f t="shared" ref="I18:J18" si="6">+I20</f>
        <v>-511599.8</v>
      </c>
      <c r="J18" s="284">
        <f t="shared" si="6"/>
        <v>-709475.70000000007</v>
      </c>
    </row>
    <row r="19" spans="1:10" ht="18" customHeight="1">
      <c r="A19" s="856"/>
      <c r="B19" s="856"/>
      <c r="C19" s="856"/>
      <c r="D19" s="856"/>
      <c r="E19" s="856"/>
      <c r="F19" s="282" t="s">
        <v>25</v>
      </c>
      <c r="G19" s="285"/>
      <c r="H19" s="285"/>
      <c r="I19" s="285"/>
      <c r="J19" s="285"/>
    </row>
    <row r="20" spans="1:10">
      <c r="A20" s="856"/>
      <c r="B20" s="856"/>
      <c r="C20" s="856"/>
      <c r="D20" s="856"/>
      <c r="E20" s="856"/>
      <c r="F20" s="282" t="s">
        <v>26</v>
      </c>
      <c r="G20" s="284">
        <f t="shared" ref="G20" si="7">+G22</f>
        <v>-12054.3</v>
      </c>
      <c r="H20" s="284">
        <f t="shared" ref="H20:J20" si="8">+H22</f>
        <v>-213948.3</v>
      </c>
      <c r="I20" s="284">
        <f t="shared" si="8"/>
        <v>-511599.8</v>
      </c>
      <c r="J20" s="284">
        <f t="shared" si="8"/>
        <v>-709475.70000000007</v>
      </c>
    </row>
    <row r="21" spans="1:10">
      <c r="A21" s="856"/>
      <c r="B21" s="856"/>
      <c r="C21" s="856"/>
      <c r="D21" s="856"/>
      <c r="E21" s="856"/>
      <c r="F21" s="282" t="s">
        <v>25</v>
      </c>
      <c r="G21" s="286"/>
      <c r="H21" s="286"/>
      <c r="I21" s="286"/>
      <c r="J21" s="286"/>
    </row>
    <row r="22" spans="1:10" s="219" customFormat="1" ht="22.5" customHeight="1">
      <c r="A22" s="856"/>
      <c r="B22" s="856"/>
      <c r="C22" s="856"/>
      <c r="D22" s="856" t="s">
        <v>111</v>
      </c>
      <c r="E22" s="863" t="s">
        <v>117</v>
      </c>
      <c r="F22" s="863" t="s">
        <v>24</v>
      </c>
      <c r="G22" s="284">
        <f>+G24</f>
        <v>-12054.3</v>
      </c>
      <c r="H22" s="284">
        <f>+H24</f>
        <v>-213948.3</v>
      </c>
      <c r="I22" s="284">
        <f t="shared" ref="I22:J22" si="9">+I24</f>
        <v>-511599.8</v>
      </c>
      <c r="J22" s="284">
        <f t="shared" si="9"/>
        <v>-709475.70000000007</v>
      </c>
    </row>
    <row r="23" spans="1:10" ht="17.75" customHeight="1">
      <c r="A23" s="856"/>
      <c r="B23" s="856"/>
      <c r="C23" s="856"/>
      <c r="D23" s="856"/>
      <c r="E23" s="287"/>
      <c r="F23" s="288" t="s">
        <v>25</v>
      </c>
      <c r="G23" s="289"/>
      <c r="H23" s="289"/>
      <c r="I23" s="289"/>
      <c r="J23" s="289"/>
    </row>
    <row r="24" spans="1:10" ht="20.05" customHeight="1">
      <c r="A24" s="856"/>
      <c r="B24" s="856"/>
      <c r="C24" s="856"/>
      <c r="D24" s="856"/>
      <c r="E24" s="290" t="s">
        <v>113</v>
      </c>
      <c r="F24" s="37" t="s">
        <v>24</v>
      </c>
      <c r="G24" s="291">
        <f t="shared" ref="G24" si="10">+G26</f>
        <v>-12054.3</v>
      </c>
      <c r="H24" s="291">
        <f t="shared" ref="H24:J24" si="11">+H26</f>
        <v>-213948.3</v>
      </c>
      <c r="I24" s="291">
        <f t="shared" si="11"/>
        <v>-511599.8</v>
      </c>
      <c r="J24" s="291">
        <f t="shared" si="11"/>
        <v>-709475.70000000007</v>
      </c>
    </row>
    <row r="25" spans="1:10" ht="17.75" customHeight="1">
      <c r="A25" s="856"/>
      <c r="B25" s="856"/>
      <c r="C25" s="856"/>
      <c r="D25" s="856"/>
      <c r="E25" s="864"/>
      <c r="F25" s="36" t="s">
        <v>94</v>
      </c>
      <c r="G25" s="292"/>
      <c r="H25" s="292"/>
      <c r="I25" s="292"/>
      <c r="J25" s="292"/>
    </row>
    <row r="26" spans="1:10">
      <c r="A26" s="856"/>
      <c r="B26" s="856"/>
      <c r="C26" s="856"/>
      <c r="D26" s="856"/>
      <c r="E26" s="864"/>
      <c r="F26" s="293" t="s">
        <v>26</v>
      </c>
      <c r="G26" s="294">
        <f t="shared" ref="G26" si="12">+G28</f>
        <v>-12054.3</v>
      </c>
      <c r="H26" s="294">
        <f t="shared" ref="H26:J26" si="13">+H28</f>
        <v>-213948.3</v>
      </c>
      <c r="I26" s="294">
        <f t="shared" si="13"/>
        <v>-511599.8</v>
      </c>
      <c r="J26" s="294">
        <f t="shared" si="13"/>
        <v>-709475.70000000007</v>
      </c>
    </row>
    <row r="27" spans="1:10" ht="54">
      <c r="A27" s="856"/>
      <c r="B27" s="856"/>
      <c r="C27" s="856"/>
      <c r="D27" s="856"/>
      <c r="E27" s="864"/>
      <c r="F27" s="89" t="s">
        <v>66</v>
      </c>
      <c r="G27" s="292"/>
      <c r="H27" s="292"/>
      <c r="I27" s="292"/>
      <c r="J27" s="292"/>
    </row>
    <row r="28" spans="1:10" ht="17.75" customHeight="1">
      <c r="A28" s="856"/>
      <c r="B28" s="856"/>
      <c r="C28" s="856"/>
      <c r="D28" s="856"/>
      <c r="E28" s="864"/>
      <c r="F28" s="295" t="s">
        <v>28</v>
      </c>
      <c r="G28" s="296">
        <f t="shared" ref="G28:J30" si="14">+G29</f>
        <v>-12054.3</v>
      </c>
      <c r="H28" s="296">
        <f t="shared" si="14"/>
        <v>-213948.3</v>
      </c>
      <c r="I28" s="296">
        <f t="shared" si="14"/>
        <v>-511599.8</v>
      </c>
      <c r="J28" s="296">
        <f t="shared" si="14"/>
        <v>-709475.70000000007</v>
      </c>
    </row>
    <row r="29" spans="1:10" ht="17.75" customHeight="1">
      <c r="A29" s="856"/>
      <c r="B29" s="856"/>
      <c r="C29" s="856"/>
      <c r="D29" s="856"/>
      <c r="E29" s="864"/>
      <c r="F29" s="297" t="s">
        <v>29</v>
      </c>
      <c r="G29" s="292">
        <f t="shared" si="14"/>
        <v>-12054.3</v>
      </c>
      <c r="H29" s="292">
        <f t="shared" si="14"/>
        <v>-213948.3</v>
      </c>
      <c r="I29" s="292">
        <f t="shared" si="14"/>
        <v>-511599.8</v>
      </c>
      <c r="J29" s="292">
        <f t="shared" si="14"/>
        <v>-709475.70000000007</v>
      </c>
    </row>
    <row r="30" spans="1:10" ht="17.75" customHeight="1">
      <c r="A30" s="856"/>
      <c r="B30" s="856"/>
      <c r="C30" s="856"/>
      <c r="D30" s="856"/>
      <c r="E30" s="864"/>
      <c r="F30" s="297" t="s">
        <v>60</v>
      </c>
      <c r="G30" s="292">
        <f t="shared" si="14"/>
        <v>-12054.3</v>
      </c>
      <c r="H30" s="292">
        <f t="shared" si="14"/>
        <v>-213948.3</v>
      </c>
      <c r="I30" s="292">
        <f t="shared" si="14"/>
        <v>-511599.8</v>
      </c>
      <c r="J30" s="292">
        <f t="shared" si="14"/>
        <v>-709475.70000000007</v>
      </c>
    </row>
    <row r="31" spans="1:10" ht="17.75" customHeight="1">
      <c r="A31" s="856"/>
      <c r="B31" s="856"/>
      <c r="C31" s="856"/>
      <c r="D31" s="856"/>
      <c r="E31" s="864"/>
      <c r="F31" s="282" t="s">
        <v>30</v>
      </c>
      <c r="G31" s="292">
        <f>+'Havelvats 2 '!G289</f>
        <v>-12054.3</v>
      </c>
      <c r="H31" s="292">
        <f>+'Havelvats 2 '!H289</f>
        <v>-213948.3</v>
      </c>
      <c r="I31" s="292">
        <f>+'Havelvats 2 '!I289</f>
        <v>-511599.8</v>
      </c>
      <c r="J31" s="292">
        <f>+'Havelvats 2 '!J289</f>
        <v>-709475.70000000007</v>
      </c>
    </row>
    <row r="32" spans="1:10" s="34" customFormat="1" ht="33.85">
      <c r="A32" s="31"/>
      <c r="B32" s="31"/>
      <c r="C32" s="31"/>
      <c r="D32" s="31"/>
      <c r="E32" s="31"/>
      <c r="F32" s="383" t="s">
        <v>96</v>
      </c>
      <c r="G32" s="33">
        <f>+G33+G52</f>
        <v>12054.3</v>
      </c>
      <c r="H32" s="33">
        <f t="shared" ref="H32:J32" si="15">+H33+H52</f>
        <v>213948.3</v>
      </c>
      <c r="I32" s="33">
        <f t="shared" si="15"/>
        <v>511599.8</v>
      </c>
      <c r="J32" s="33">
        <f t="shared" si="15"/>
        <v>709475.70000000007</v>
      </c>
    </row>
    <row r="33" spans="1:18" s="104" customFormat="1" ht="17.350000000000001" customHeight="1">
      <c r="A33" s="850" t="s">
        <v>186</v>
      </c>
      <c r="B33" s="873"/>
      <c r="C33" s="684"/>
      <c r="D33" s="867"/>
      <c r="E33" s="502"/>
      <c r="F33" s="106" t="s">
        <v>187</v>
      </c>
      <c r="G33" s="28">
        <f>+G35</f>
        <v>12054.3</v>
      </c>
      <c r="H33" s="28">
        <f t="shared" ref="H33:J33" si="16">+H35</f>
        <v>36163</v>
      </c>
      <c r="I33" s="28">
        <f t="shared" si="16"/>
        <v>60271.7</v>
      </c>
      <c r="J33" s="28">
        <f t="shared" si="16"/>
        <v>80362.3</v>
      </c>
    </row>
    <row r="34" spans="1:18" s="104" customFormat="1" ht="16.8" customHeight="1">
      <c r="A34" s="851"/>
      <c r="B34" s="873"/>
      <c r="C34" s="685"/>
      <c r="D34" s="868"/>
      <c r="E34" s="503"/>
      <c r="F34" s="500" t="s">
        <v>25</v>
      </c>
      <c r="G34" s="107"/>
      <c r="H34" s="107"/>
      <c r="I34" s="107"/>
      <c r="J34" s="107"/>
    </row>
    <row r="35" spans="1:18" s="104" customFormat="1">
      <c r="A35" s="851"/>
      <c r="B35" s="850" t="s">
        <v>41</v>
      </c>
      <c r="C35" s="685"/>
      <c r="D35" s="868"/>
      <c r="E35" s="503"/>
      <c r="F35" s="129" t="s">
        <v>194</v>
      </c>
      <c r="G35" s="108">
        <f>+G37</f>
        <v>12054.3</v>
      </c>
      <c r="H35" s="108">
        <f t="shared" ref="H35:J35" si="17">+H37</f>
        <v>36163</v>
      </c>
      <c r="I35" s="108">
        <f t="shared" si="17"/>
        <v>60271.7</v>
      </c>
      <c r="J35" s="108">
        <f t="shared" si="17"/>
        <v>80362.3</v>
      </c>
    </row>
    <row r="36" spans="1:18" s="104" customFormat="1" ht="16.8" customHeight="1">
      <c r="A36" s="851"/>
      <c r="B36" s="851"/>
      <c r="C36" s="686"/>
      <c r="D36" s="868"/>
      <c r="E36" s="503"/>
      <c r="F36" s="500" t="s">
        <v>25</v>
      </c>
      <c r="G36" s="107"/>
      <c r="H36" s="107"/>
      <c r="I36" s="108"/>
      <c r="J36" s="107"/>
    </row>
    <row r="37" spans="1:18" s="111" customFormat="1">
      <c r="A37" s="851"/>
      <c r="B37" s="851"/>
      <c r="C37" s="496" t="s">
        <v>41</v>
      </c>
      <c r="D37" s="868"/>
      <c r="E37" s="503"/>
      <c r="F37" s="129" t="s">
        <v>492</v>
      </c>
      <c r="G37" s="131">
        <f>+G39</f>
        <v>12054.3</v>
      </c>
      <c r="H37" s="109">
        <f>+H39</f>
        <v>36163</v>
      </c>
      <c r="I37" s="109">
        <f t="shared" ref="I37:J37" si="18">+I39</f>
        <v>60271.7</v>
      </c>
      <c r="J37" s="109">
        <f t="shared" si="18"/>
        <v>80362.3</v>
      </c>
      <c r="K37" s="110"/>
      <c r="L37" s="110"/>
      <c r="M37" s="110"/>
      <c r="N37" s="110"/>
      <c r="O37" s="110"/>
      <c r="P37" s="110"/>
      <c r="Q37" s="110"/>
      <c r="R37" s="110"/>
    </row>
    <row r="38" spans="1:18" s="111" customFormat="1" ht="16.8" customHeight="1">
      <c r="A38" s="851"/>
      <c r="B38" s="851"/>
      <c r="C38" s="497"/>
      <c r="D38" s="868"/>
      <c r="E38" s="503"/>
      <c r="F38" s="499" t="s">
        <v>25</v>
      </c>
      <c r="G38" s="113"/>
      <c r="H38" s="113"/>
      <c r="I38" s="109"/>
      <c r="J38" s="113"/>
      <c r="K38" s="110"/>
      <c r="L38" s="110"/>
      <c r="M38" s="110"/>
      <c r="N38" s="110"/>
      <c r="O38" s="110"/>
      <c r="P38" s="110"/>
      <c r="Q38" s="110"/>
      <c r="R38" s="110"/>
    </row>
    <row r="39" spans="1:18" s="111" customFormat="1" ht="36">
      <c r="A39" s="851"/>
      <c r="B39" s="851"/>
      <c r="C39" s="497"/>
      <c r="D39" s="868"/>
      <c r="E39" s="503"/>
      <c r="F39" s="114" t="s">
        <v>59</v>
      </c>
      <c r="G39" s="113">
        <f>+G41</f>
        <v>12054.3</v>
      </c>
      <c r="H39" s="113">
        <f>+H41</f>
        <v>36163</v>
      </c>
      <c r="I39" s="109">
        <f t="shared" ref="I39:J39" si="19">+I41</f>
        <v>60271.7</v>
      </c>
      <c r="J39" s="113">
        <f t="shared" si="19"/>
        <v>80362.3</v>
      </c>
      <c r="K39" s="110"/>
      <c r="L39" s="110"/>
      <c r="M39" s="110"/>
      <c r="N39" s="110"/>
      <c r="O39" s="110"/>
      <c r="P39" s="110"/>
      <c r="Q39" s="110"/>
      <c r="R39" s="110"/>
    </row>
    <row r="40" spans="1:18" s="111" customFormat="1" ht="16.8" customHeight="1">
      <c r="A40" s="851"/>
      <c r="B40" s="851"/>
      <c r="C40" s="497"/>
      <c r="D40" s="869"/>
      <c r="E40" s="503"/>
      <c r="F40" s="505" t="s">
        <v>25</v>
      </c>
      <c r="G40" s="113"/>
      <c r="H40" s="113"/>
      <c r="I40" s="109"/>
      <c r="J40" s="113"/>
      <c r="K40" s="110"/>
      <c r="L40" s="110"/>
      <c r="M40" s="110"/>
      <c r="N40" s="110"/>
      <c r="O40" s="110"/>
      <c r="P40" s="110"/>
      <c r="Q40" s="110"/>
      <c r="R40" s="110"/>
    </row>
    <row r="41" spans="1:18" s="111" customFormat="1">
      <c r="A41" s="851"/>
      <c r="B41" s="851"/>
      <c r="C41" s="497"/>
      <c r="D41" s="623">
        <v>1075</v>
      </c>
      <c r="E41" s="678" t="s">
        <v>493</v>
      </c>
      <c r="F41" s="678"/>
      <c r="G41" s="116">
        <f>+G43</f>
        <v>12054.3</v>
      </c>
      <c r="H41" s="116">
        <f t="shared" ref="H41:J41" si="20">+H43</f>
        <v>36163</v>
      </c>
      <c r="I41" s="116">
        <f t="shared" si="20"/>
        <v>60271.7</v>
      </c>
      <c r="J41" s="116">
        <f t="shared" si="20"/>
        <v>80362.3</v>
      </c>
      <c r="K41" s="110"/>
      <c r="L41" s="110"/>
      <c r="M41" s="110"/>
      <c r="N41" s="110"/>
      <c r="O41" s="110"/>
      <c r="P41" s="110"/>
      <c r="Q41" s="110"/>
      <c r="R41" s="110"/>
    </row>
    <row r="42" spans="1:18" s="111" customFormat="1" ht="16.8" customHeight="1">
      <c r="A42" s="851"/>
      <c r="B42" s="851"/>
      <c r="C42" s="497"/>
      <c r="D42" s="623"/>
      <c r="E42" s="506"/>
      <c r="F42" s="509" t="s">
        <v>25</v>
      </c>
      <c r="G42" s="113"/>
      <c r="H42" s="113"/>
      <c r="I42" s="109"/>
      <c r="J42" s="113"/>
      <c r="K42" s="110"/>
      <c r="L42" s="110"/>
      <c r="M42" s="110"/>
      <c r="N42" s="110"/>
      <c r="O42" s="110"/>
      <c r="P42" s="110"/>
      <c r="Q42" s="110"/>
      <c r="R42" s="110"/>
    </row>
    <row r="43" spans="1:18" s="111" customFormat="1" ht="33.85">
      <c r="A43" s="851"/>
      <c r="B43" s="851"/>
      <c r="C43" s="497"/>
      <c r="D43" s="623"/>
      <c r="E43" s="507">
        <v>32001</v>
      </c>
      <c r="F43" s="510" t="s">
        <v>185</v>
      </c>
      <c r="G43" s="118">
        <f>+G45</f>
        <v>12054.3</v>
      </c>
      <c r="H43" s="118">
        <f>+H45</f>
        <v>36163</v>
      </c>
      <c r="I43" s="118">
        <f t="shared" ref="I43:J43" si="21">+I45</f>
        <v>60271.7</v>
      </c>
      <c r="J43" s="117">
        <f t="shared" si="21"/>
        <v>80362.3</v>
      </c>
      <c r="K43" s="110"/>
      <c r="L43" s="110"/>
      <c r="M43" s="110"/>
      <c r="N43" s="110"/>
      <c r="O43" s="110"/>
      <c r="P43" s="110"/>
      <c r="Q43" s="110"/>
      <c r="R43" s="110"/>
    </row>
    <row r="44" spans="1:18" s="104" customFormat="1" ht="16.8" customHeight="1">
      <c r="A44" s="851"/>
      <c r="B44" s="851"/>
      <c r="C44" s="497"/>
      <c r="D44" s="623"/>
      <c r="E44" s="679"/>
      <c r="F44" s="437" t="s">
        <v>94</v>
      </c>
      <c r="G44" s="107"/>
      <c r="H44" s="107"/>
      <c r="I44" s="108"/>
      <c r="J44" s="107"/>
    </row>
    <row r="45" spans="1:18" s="122" customFormat="1" ht="36">
      <c r="A45" s="851"/>
      <c r="B45" s="851"/>
      <c r="C45" s="497"/>
      <c r="D45" s="623"/>
      <c r="E45" s="679"/>
      <c r="F45" s="511" t="s">
        <v>59</v>
      </c>
      <c r="G45" s="120">
        <f>+G47</f>
        <v>12054.3</v>
      </c>
      <c r="H45" s="120">
        <f>+H47</f>
        <v>36163</v>
      </c>
      <c r="I45" s="424">
        <f t="shared" ref="I45:J45" si="22">+I47</f>
        <v>60271.7</v>
      </c>
      <c r="J45" s="120">
        <f t="shared" si="22"/>
        <v>80362.3</v>
      </c>
    </row>
    <row r="46" spans="1:18" s="104" customFormat="1" ht="54">
      <c r="A46" s="851"/>
      <c r="B46" s="851"/>
      <c r="C46" s="497"/>
      <c r="D46" s="623"/>
      <c r="E46" s="679"/>
      <c r="F46" s="437" t="s">
        <v>66</v>
      </c>
      <c r="G46" s="107"/>
      <c r="H46" s="107"/>
      <c r="I46" s="124"/>
      <c r="J46" s="107"/>
    </row>
    <row r="47" spans="1:18" s="104" customFormat="1" ht="16.8" customHeight="1">
      <c r="A47" s="851"/>
      <c r="B47" s="851"/>
      <c r="C47" s="497"/>
      <c r="D47" s="623"/>
      <c r="E47" s="679"/>
      <c r="F47" s="512" t="s">
        <v>28</v>
      </c>
      <c r="G47" s="123">
        <f t="shared" ref="G47:J50" si="23">+G48</f>
        <v>12054.3</v>
      </c>
      <c r="H47" s="123">
        <f t="shared" si="23"/>
        <v>36163</v>
      </c>
      <c r="I47" s="124">
        <f t="shared" si="23"/>
        <v>60271.7</v>
      </c>
      <c r="J47" s="123">
        <f t="shared" si="23"/>
        <v>80362.3</v>
      </c>
    </row>
    <row r="48" spans="1:18" s="104" customFormat="1" ht="16.8" customHeight="1">
      <c r="A48" s="851"/>
      <c r="B48" s="851"/>
      <c r="C48" s="497"/>
      <c r="D48" s="623"/>
      <c r="E48" s="679"/>
      <c r="F48" s="89" t="s">
        <v>188</v>
      </c>
      <c r="G48" s="124">
        <f t="shared" si="23"/>
        <v>12054.3</v>
      </c>
      <c r="H48" s="124">
        <f t="shared" si="23"/>
        <v>36163</v>
      </c>
      <c r="I48" s="124">
        <f t="shared" si="23"/>
        <v>60271.7</v>
      </c>
      <c r="J48" s="124">
        <f t="shared" si="23"/>
        <v>80362.3</v>
      </c>
    </row>
    <row r="49" spans="1:18" s="104" customFormat="1" ht="16.8" customHeight="1">
      <c r="A49" s="851"/>
      <c r="B49" s="851"/>
      <c r="C49" s="497"/>
      <c r="D49" s="623"/>
      <c r="E49" s="679"/>
      <c r="F49" s="89" t="s">
        <v>189</v>
      </c>
      <c r="G49" s="124">
        <f t="shared" si="23"/>
        <v>12054.3</v>
      </c>
      <c r="H49" s="124">
        <f t="shared" si="23"/>
        <v>36163</v>
      </c>
      <c r="I49" s="124">
        <f t="shared" si="23"/>
        <v>60271.7</v>
      </c>
      <c r="J49" s="124">
        <f t="shared" si="23"/>
        <v>80362.3</v>
      </c>
    </row>
    <row r="50" spans="1:18" s="104" customFormat="1" ht="16.8" customHeight="1">
      <c r="A50" s="851"/>
      <c r="B50" s="851"/>
      <c r="C50" s="497"/>
      <c r="D50" s="623"/>
      <c r="E50" s="679"/>
      <c r="F50" s="89" t="s">
        <v>190</v>
      </c>
      <c r="G50" s="124">
        <f t="shared" si="23"/>
        <v>12054.3</v>
      </c>
      <c r="H50" s="124">
        <f t="shared" si="23"/>
        <v>36163</v>
      </c>
      <c r="I50" s="124">
        <f t="shared" si="23"/>
        <v>60271.7</v>
      </c>
      <c r="J50" s="124">
        <f t="shared" si="23"/>
        <v>80362.3</v>
      </c>
      <c r="K50" s="125"/>
    </row>
    <row r="51" spans="1:18" s="104" customFormat="1">
      <c r="A51" s="852"/>
      <c r="B51" s="852"/>
      <c r="C51" s="497"/>
      <c r="D51" s="623"/>
      <c r="E51" s="679"/>
      <c r="F51" s="89" t="s">
        <v>191</v>
      </c>
      <c r="G51" s="124">
        <f>+'Havelvats 2 '!G31</f>
        <v>12054.3</v>
      </c>
      <c r="H51" s="124">
        <f>+'Havelvats 2 '!H31</f>
        <v>36163</v>
      </c>
      <c r="I51" s="124">
        <f>+'Havelvats 2 '!I31</f>
        <v>60271.7</v>
      </c>
      <c r="J51" s="124">
        <f>+'Havelvats 2 '!J31</f>
        <v>80362.3</v>
      </c>
      <c r="K51" s="126"/>
    </row>
    <row r="52" spans="1:18" s="104" customFormat="1">
      <c r="A52" s="870" t="s">
        <v>64</v>
      </c>
      <c r="B52" s="871"/>
      <c r="C52" s="870"/>
      <c r="D52" s="866"/>
      <c r="E52" s="865"/>
      <c r="F52" s="298" t="s">
        <v>61</v>
      </c>
      <c r="G52" s="28">
        <f>+G54</f>
        <v>0</v>
      </c>
      <c r="H52" s="28">
        <f>+H54</f>
        <v>177785.3</v>
      </c>
      <c r="I52" s="28">
        <f t="shared" ref="I52:J52" si="24">+I54</f>
        <v>451328.1</v>
      </c>
      <c r="J52" s="28">
        <f t="shared" si="24"/>
        <v>629113.4</v>
      </c>
    </row>
    <row r="53" spans="1:18" s="104" customFormat="1">
      <c r="A53" s="870"/>
      <c r="B53" s="871"/>
      <c r="C53" s="870"/>
      <c r="D53" s="866"/>
      <c r="E53" s="865"/>
      <c r="F53" s="299" t="s">
        <v>25</v>
      </c>
      <c r="G53" s="107"/>
      <c r="H53" s="107"/>
      <c r="I53" s="107"/>
      <c r="J53" s="107"/>
    </row>
    <row r="54" spans="1:18" s="104" customFormat="1">
      <c r="A54" s="870"/>
      <c r="B54" s="870" t="s">
        <v>65</v>
      </c>
      <c r="C54" s="872"/>
      <c r="D54" s="866"/>
      <c r="E54" s="865"/>
      <c r="F54" s="298" t="s">
        <v>62</v>
      </c>
      <c r="G54" s="108">
        <f>+G56</f>
        <v>0</v>
      </c>
      <c r="H54" s="108">
        <f>+H56</f>
        <v>177785.3</v>
      </c>
      <c r="I54" s="108">
        <f t="shared" ref="I54:J54" si="25">+I56</f>
        <v>451328.1</v>
      </c>
      <c r="J54" s="108">
        <f t="shared" si="25"/>
        <v>629113.4</v>
      </c>
    </row>
    <row r="55" spans="1:18" s="104" customFormat="1">
      <c r="A55" s="870"/>
      <c r="B55" s="870"/>
      <c r="C55" s="872"/>
      <c r="D55" s="866"/>
      <c r="E55" s="865"/>
      <c r="F55" s="299" t="s">
        <v>25</v>
      </c>
      <c r="G55" s="108"/>
      <c r="H55" s="108"/>
      <c r="I55" s="108"/>
      <c r="J55" s="108"/>
    </row>
    <row r="56" spans="1:18" s="111" customFormat="1">
      <c r="A56" s="870"/>
      <c r="B56" s="870"/>
      <c r="C56" s="870" t="s">
        <v>149</v>
      </c>
      <c r="D56" s="866"/>
      <c r="E56" s="865"/>
      <c r="F56" s="300" t="s">
        <v>62</v>
      </c>
      <c r="G56" s="108">
        <f>+G58</f>
        <v>0</v>
      </c>
      <c r="H56" s="108">
        <f>+H58</f>
        <v>177785.3</v>
      </c>
      <c r="I56" s="108">
        <f t="shared" ref="I56:J56" si="26">+I58</f>
        <v>451328.1</v>
      </c>
      <c r="J56" s="108">
        <f t="shared" si="26"/>
        <v>629113.4</v>
      </c>
      <c r="K56" s="110"/>
      <c r="L56" s="110"/>
      <c r="M56" s="110"/>
      <c r="N56" s="110"/>
      <c r="O56" s="110"/>
      <c r="P56" s="110"/>
      <c r="Q56" s="110"/>
      <c r="R56" s="110"/>
    </row>
    <row r="57" spans="1:18" s="111" customFormat="1">
      <c r="A57" s="870"/>
      <c r="B57" s="870"/>
      <c r="C57" s="870"/>
      <c r="D57" s="866"/>
      <c r="E57" s="865"/>
      <c r="F57" s="301" t="s">
        <v>25</v>
      </c>
      <c r="G57" s="113"/>
      <c r="H57" s="113"/>
      <c r="I57" s="113"/>
      <c r="J57" s="113"/>
      <c r="K57" s="110"/>
      <c r="L57" s="110"/>
      <c r="M57" s="110"/>
      <c r="N57" s="110"/>
      <c r="O57" s="110"/>
      <c r="P57" s="110"/>
      <c r="Q57" s="110"/>
      <c r="R57" s="110"/>
    </row>
    <row r="58" spans="1:18" s="111" customFormat="1" ht="36">
      <c r="A58" s="870"/>
      <c r="B58" s="870"/>
      <c r="C58" s="870"/>
      <c r="D58" s="866"/>
      <c r="E58" s="865"/>
      <c r="F58" s="302" t="s">
        <v>59</v>
      </c>
      <c r="G58" s="131">
        <f>+G60+G71</f>
        <v>0</v>
      </c>
      <c r="H58" s="131">
        <f t="shared" ref="H58:J58" si="27">+H60+H71</f>
        <v>177785.3</v>
      </c>
      <c r="I58" s="131">
        <f t="shared" si="27"/>
        <v>451328.1</v>
      </c>
      <c r="J58" s="131">
        <f t="shared" si="27"/>
        <v>629113.4</v>
      </c>
      <c r="K58" s="110"/>
      <c r="L58" s="110"/>
      <c r="M58" s="110"/>
      <c r="N58" s="110"/>
      <c r="O58" s="110"/>
      <c r="P58" s="110"/>
      <c r="Q58" s="110"/>
      <c r="R58" s="110"/>
    </row>
    <row r="59" spans="1:18" s="111" customFormat="1">
      <c r="A59" s="870"/>
      <c r="B59" s="870"/>
      <c r="C59" s="870"/>
      <c r="D59" s="866"/>
      <c r="E59" s="865"/>
      <c r="F59" s="302" t="s">
        <v>100</v>
      </c>
      <c r="G59" s="131"/>
      <c r="H59" s="131"/>
      <c r="I59" s="132"/>
      <c r="J59" s="303"/>
      <c r="K59" s="304"/>
      <c r="L59" s="110"/>
      <c r="M59" s="110"/>
      <c r="N59" s="110"/>
      <c r="O59" s="110"/>
      <c r="P59" s="110"/>
      <c r="Q59" s="110"/>
      <c r="R59" s="110"/>
    </row>
    <row r="60" spans="1:18" s="111" customFormat="1">
      <c r="A60" s="870"/>
      <c r="B60" s="870"/>
      <c r="C60" s="870"/>
      <c r="D60" s="859">
        <v>1163</v>
      </c>
      <c r="E60" s="861" t="s">
        <v>68</v>
      </c>
      <c r="F60" s="862"/>
      <c r="G60" s="115">
        <f>+G62</f>
        <v>0</v>
      </c>
      <c r="H60" s="115">
        <f t="shared" ref="H60:J60" si="28">+H62</f>
        <v>177785.3</v>
      </c>
      <c r="I60" s="115">
        <f t="shared" si="28"/>
        <v>330172.59999999998</v>
      </c>
      <c r="J60" s="115">
        <f t="shared" si="28"/>
        <v>507957.9</v>
      </c>
      <c r="K60" s="110"/>
      <c r="L60" s="110"/>
      <c r="M60" s="110"/>
      <c r="N60" s="110"/>
      <c r="O60" s="110"/>
      <c r="P60" s="110"/>
      <c r="Q60" s="110"/>
      <c r="R60" s="110"/>
    </row>
    <row r="61" spans="1:18" s="111" customFormat="1" ht="16.8" customHeight="1">
      <c r="A61" s="870"/>
      <c r="B61" s="870"/>
      <c r="C61" s="870"/>
      <c r="D61" s="859"/>
      <c r="E61" s="384"/>
      <c r="F61" s="112" t="s">
        <v>25</v>
      </c>
      <c r="G61" s="113"/>
      <c r="H61" s="113"/>
      <c r="I61" s="109"/>
      <c r="J61" s="113"/>
      <c r="K61" s="110"/>
      <c r="L61" s="110"/>
      <c r="M61" s="110"/>
      <c r="N61" s="110"/>
      <c r="O61" s="110"/>
      <c r="P61" s="110"/>
      <c r="Q61" s="110"/>
      <c r="R61" s="110"/>
    </row>
    <row r="62" spans="1:18" s="111" customFormat="1">
      <c r="A62" s="870"/>
      <c r="B62" s="870"/>
      <c r="C62" s="870"/>
      <c r="D62" s="859"/>
      <c r="E62" s="133">
        <v>32002</v>
      </c>
      <c r="F62" s="70" t="s">
        <v>403</v>
      </c>
      <c r="G62" s="117">
        <f t="shared" ref="G62" si="29">G64</f>
        <v>0</v>
      </c>
      <c r="H62" s="117">
        <f t="shared" ref="H62:J62" si="30">H64</f>
        <v>177785.3</v>
      </c>
      <c r="I62" s="118">
        <f t="shared" si="30"/>
        <v>330172.59999999998</v>
      </c>
      <c r="J62" s="117">
        <f t="shared" si="30"/>
        <v>507957.9</v>
      </c>
      <c r="K62" s="110"/>
      <c r="L62" s="110"/>
      <c r="M62" s="110"/>
      <c r="N62" s="110"/>
      <c r="O62" s="110"/>
      <c r="P62" s="110"/>
      <c r="Q62" s="110"/>
      <c r="R62" s="110"/>
    </row>
    <row r="63" spans="1:18" s="104" customFormat="1">
      <c r="A63" s="870"/>
      <c r="B63" s="870"/>
      <c r="C63" s="870"/>
      <c r="D63" s="859"/>
      <c r="E63" s="860"/>
      <c r="F63" s="89" t="s">
        <v>94</v>
      </c>
      <c r="G63" s="107"/>
      <c r="H63" s="107"/>
      <c r="I63" s="108"/>
      <c r="J63" s="107"/>
    </row>
    <row r="64" spans="1:18" s="122" customFormat="1">
      <c r="A64" s="870"/>
      <c r="B64" s="870"/>
      <c r="C64" s="870"/>
      <c r="D64" s="859"/>
      <c r="E64" s="860"/>
      <c r="F64" s="119" t="s">
        <v>110</v>
      </c>
      <c r="G64" s="120">
        <f t="shared" ref="G64" si="31">G66</f>
        <v>0</v>
      </c>
      <c r="H64" s="120">
        <f t="shared" ref="H64:J64" si="32">H66</f>
        <v>177785.3</v>
      </c>
      <c r="I64" s="121">
        <f t="shared" si="32"/>
        <v>330172.59999999998</v>
      </c>
      <c r="J64" s="120">
        <f t="shared" si="32"/>
        <v>507957.9</v>
      </c>
    </row>
    <row r="65" spans="1:18" s="104" customFormat="1" ht="36">
      <c r="A65" s="870"/>
      <c r="B65" s="870"/>
      <c r="C65" s="870"/>
      <c r="D65" s="859"/>
      <c r="E65" s="860"/>
      <c r="F65" s="89" t="s">
        <v>27</v>
      </c>
      <c r="G65" s="107"/>
      <c r="H65" s="107"/>
      <c r="I65" s="108"/>
      <c r="J65" s="107"/>
    </row>
    <row r="66" spans="1:18" s="104" customFormat="1">
      <c r="A66" s="870"/>
      <c r="B66" s="870"/>
      <c r="C66" s="870"/>
      <c r="D66" s="859"/>
      <c r="E66" s="860"/>
      <c r="F66" s="105" t="s">
        <v>67</v>
      </c>
      <c r="G66" s="107">
        <f t="shared" ref="G66:J67" si="33">G67</f>
        <v>0</v>
      </c>
      <c r="H66" s="107">
        <f t="shared" si="33"/>
        <v>177785.3</v>
      </c>
      <c r="I66" s="108">
        <f t="shared" si="33"/>
        <v>330172.59999999998</v>
      </c>
      <c r="J66" s="107">
        <f t="shared" si="33"/>
        <v>507957.9</v>
      </c>
    </row>
    <row r="67" spans="1:18" s="104" customFormat="1">
      <c r="A67" s="870"/>
      <c r="B67" s="870"/>
      <c r="C67" s="870"/>
      <c r="D67" s="859"/>
      <c r="E67" s="860"/>
      <c r="F67" s="89" t="s">
        <v>69</v>
      </c>
      <c r="G67" s="124">
        <f t="shared" si="33"/>
        <v>0</v>
      </c>
      <c r="H67" s="124">
        <f t="shared" si="33"/>
        <v>177785.3</v>
      </c>
      <c r="I67" s="128">
        <f t="shared" si="33"/>
        <v>330172.59999999998</v>
      </c>
      <c r="J67" s="124">
        <f t="shared" si="33"/>
        <v>507957.9</v>
      </c>
    </row>
    <row r="68" spans="1:18" s="104" customFormat="1">
      <c r="A68" s="870"/>
      <c r="B68" s="870"/>
      <c r="C68" s="870"/>
      <c r="D68" s="859"/>
      <c r="E68" s="860"/>
      <c r="F68" s="89" t="s">
        <v>70</v>
      </c>
      <c r="G68" s="124">
        <f>+G69</f>
        <v>0</v>
      </c>
      <c r="H68" s="124">
        <f t="shared" ref="H68:J68" si="34">+H69</f>
        <v>177785.3</v>
      </c>
      <c r="I68" s="124">
        <f t="shared" si="34"/>
        <v>330172.59999999998</v>
      </c>
      <c r="J68" s="124">
        <f t="shared" si="34"/>
        <v>507957.9</v>
      </c>
    </row>
    <row r="69" spans="1:18" s="104" customFormat="1">
      <c r="A69" s="870"/>
      <c r="B69" s="870"/>
      <c r="C69" s="870"/>
      <c r="D69" s="859"/>
      <c r="E69" s="860"/>
      <c r="F69" s="89" t="s">
        <v>71</v>
      </c>
      <c r="G69" s="124">
        <f>+G70</f>
        <v>0</v>
      </c>
      <c r="H69" s="124">
        <f>+H70</f>
        <v>177785.3</v>
      </c>
      <c r="I69" s="128">
        <f t="shared" ref="I69:J69" si="35">+I70</f>
        <v>330172.59999999998</v>
      </c>
      <c r="J69" s="124">
        <f t="shared" si="35"/>
        <v>507957.9</v>
      </c>
      <c r="K69" s="125"/>
    </row>
    <row r="70" spans="1:18" s="104" customFormat="1">
      <c r="A70" s="870"/>
      <c r="B70" s="870"/>
      <c r="C70" s="870"/>
      <c r="D70" s="859"/>
      <c r="E70" s="860"/>
      <c r="F70" s="130" t="s">
        <v>191</v>
      </c>
      <c r="G70" s="124">
        <f>+'Havelvats 2 '!G203</f>
        <v>0</v>
      </c>
      <c r="H70" s="124">
        <f>+'Havelvats 2 '!H203</f>
        <v>177785.3</v>
      </c>
      <c r="I70" s="124">
        <f>+'Havelvats 2 '!I203</f>
        <v>330172.59999999998</v>
      </c>
      <c r="J70" s="124">
        <f>+'Havelvats 2 '!J203</f>
        <v>507957.9</v>
      </c>
      <c r="K70" s="126"/>
    </row>
    <row r="71" spans="1:18" s="111" customFormat="1">
      <c r="A71" s="870"/>
      <c r="B71" s="870"/>
      <c r="C71" s="870"/>
      <c r="D71" s="859">
        <v>1045</v>
      </c>
      <c r="E71" s="861" t="s">
        <v>150</v>
      </c>
      <c r="F71" s="862"/>
      <c r="G71" s="115">
        <f>+G73</f>
        <v>0</v>
      </c>
      <c r="H71" s="115">
        <f>+H73</f>
        <v>0</v>
      </c>
      <c r="I71" s="115">
        <f t="shared" ref="I71:J71" si="36">+I73</f>
        <v>121155.5</v>
      </c>
      <c r="J71" s="115">
        <f t="shared" si="36"/>
        <v>121155.5</v>
      </c>
      <c r="K71" s="110"/>
      <c r="L71" s="110"/>
      <c r="M71" s="110"/>
      <c r="N71" s="110"/>
      <c r="O71" s="110"/>
      <c r="P71" s="110"/>
      <c r="Q71" s="110"/>
      <c r="R71" s="110"/>
    </row>
    <row r="72" spans="1:18" s="111" customFormat="1" ht="16.8" customHeight="1">
      <c r="A72" s="870"/>
      <c r="B72" s="870"/>
      <c r="C72" s="870"/>
      <c r="D72" s="859"/>
      <c r="E72" s="458"/>
      <c r="F72" s="112" t="s">
        <v>25</v>
      </c>
      <c r="G72" s="113"/>
      <c r="H72" s="113"/>
      <c r="I72" s="134"/>
      <c r="J72" s="113"/>
      <c r="K72" s="110"/>
      <c r="L72" s="110"/>
      <c r="M72" s="110"/>
      <c r="N72" s="110"/>
      <c r="O72" s="110"/>
      <c r="P72" s="110"/>
      <c r="Q72" s="110"/>
      <c r="R72" s="110"/>
    </row>
    <row r="73" spans="1:18" s="111" customFormat="1" ht="67.650000000000006">
      <c r="A73" s="870"/>
      <c r="B73" s="870"/>
      <c r="C73" s="870"/>
      <c r="D73" s="859"/>
      <c r="E73" s="439">
        <v>32004</v>
      </c>
      <c r="F73" s="70" t="s">
        <v>276</v>
      </c>
      <c r="G73" s="117">
        <f t="shared" ref="G73" si="37">G75</f>
        <v>0</v>
      </c>
      <c r="H73" s="117">
        <f t="shared" ref="H73:J73" si="38">H75</f>
        <v>0</v>
      </c>
      <c r="I73" s="117">
        <f t="shared" si="38"/>
        <v>121155.5</v>
      </c>
      <c r="J73" s="117">
        <f t="shared" si="38"/>
        <v>121155.5</v>
      </c>
      <c r="K73" s="110"/>
      <c r="L73" s="110"/>
      <c r="M73" s="110"/>
      <c r="N73" s="110"/>
      <c r="O73" s="110"/>
      <c r="P73" s="110"/>
      <c r="Q73" s="110"/>
      <c r="R73" s="110"/>
    </row>
    <row r="74" spans="1:18" s="104" customFormat="1">
      <c r="A74" s="870"/>
      <c r="B74" s="870"/>
      <c r="C74" s="870"/>
      <c r="D74" s="859"/>
      <c r="E74" s="860"/>
      <c r="F74" s="89" t="s">
        <v>94</v>
      </c>
      <c r="G74" s="107"/>
      <c r="H74" s="107"/>
      <c r="I74" s="107"/>
      <c r="J74" s="107"/>
    </row>
    <row r="75" spans="1:18" s="122" customFormat="1" ht="36">
      <c r="A75" s="870"/>
      <c r="B75" s="870"/>
      <c r="C75" s="870"/>
      <c r="D75" s="859"/>
      <c r="E75" s="860"/>
      <c r="F75" s="119" t="s">
        <v>59</v>
      </c>
      <c r="G75" s="120">
        <f t="shared" ref="G75" si="39">G77</f>
        <v>0</v>
      </c>
      <c r="H75" s="120">
        <f t="shared" ref="H75:J75" si="40">H77</f>
        <v>0</v>
      </c>
      <c r="I75" s="120">
        <f t="shared" si="40"/>
        <v>121155.5</v>
      </c>
      <c r="J75" s="120">
        <f t="shared" si="40"/>
        <v>121155.5</v>
      </c>
    </row>
    <row r="76" spans="1:18" s="104" customFormat="1" ht="54">
      <c r="A76" s="870"/>
      <c r="B76" s="870"/>
      <c r="C76" s="870"/>
      <c r="D76" s="859"/>
      <c r="E76" s="860"/>
      <c r="F76" s="89" t="s">
        <v>66</v>
      </c>
      <c r="G76" s="107"/>
      <c r="H76" s="107"/>
      <c r="I76" s="107"/>
      <c r="J76" s="107"/>
    </row>
    <row r="77" spans="1:18" s="104" customFormat="1">
      <c r="A77" s="870"/>
      <c r="B77" s="870"/>
      <c r="C77" s="870"/>
      <c r="D77" s="859"/>
      <c r="E77" s="860"/>
      <c r="F77" s="105" t="s">
        <v>67</v>
      </c>
      <c r="G77" s="107">
        <f t="shared" ref="G77:J78" si="41">G78</f>
        <v>0</v>
      </c>
      <c r="H77" s="107">
        <f t="shared" si="41"/>
        <v>0</v>
      </c>
      <c r="I77" s="107">
        <f t="shared" si="41"/>
        <v>121155.5</v>
      </c>
      <c r="J77" s="107">
        <f t="shared" si="41"/>
        <v>121155.5</v>
      </c>
    </row>
    <row r="78" spans="1:18" s="104" customFormat="1">
      <c r="A78" s="870"/>
      <c r="B78" s="870"/>
      <c r="C78" s="870"/>
      <c r="D78" s="859"/>
      <c r="E78" s="860"/>
      <c r="F78" s="89" t="s">
        <v>188</v>
      </c>
      <c r="G78" s="124">
        <f t="shared" si="41"/>
        <v>0</v>
      </c>
      <c r="H78" s="124">
        <f t="shared" si="41"/>
        <v>0</v>
      </c>
      <c r="I78" s="124">
        <f t="shared" si="41"/>
        <v>121155.5</v>
      </c>
      <c r="J78" s="124">
        <f t="shared" si="41"/>
        <v>121155.5</v>
      </c>
    </row>
    <row r="79" spans="1:18" s="104" customFormat="1">
      <c r="A79" s="870"/>
      <c r="B79" s="870"/>
      <c r="C79" s="870"/>
      <c r="D79" s="859"/>
      <c r="E79" s="860"/>
      <c r="F79" s="89" t="s">
        <v>189</v>
      </c>
      <c r="G79" s="124">
        <f>+G80</f>
        <v>0</v>
      </c>
      <c r="H79" s="124">
        <f>+H80</f>
        <v>0</v>
      </c>
      <c r="I79" s="124">
        <f t="shared" ref="I79:J80" si="42">+I80</f>
        <v>121155.5</v>
      </c>
      <c r="J79" s="124">
        <f t="shared" si="42"/>
        <v>121155.5</v>
      </c>
    </row>
    <row r="80" spans="1:18" s="104" customFormat="1">
      <c r="A80" s="870"/>
      <c r="B80" s="870"/>
      <c r="C80" s="870"/>
      <c r="D80" s="859"/>
      <c r="E80" s="860"/>
      <c r="F80" s="89" t="s">
        <v>397</v>
      </c>
      <c r="G80" s="124">
        <f>+G81</f>
        <v>0</v>
      </c>
      <c r="H80" s="124">
        <f>+H81</f>
        <v>0</v>
      </c>
      <c r="I80" s="124">
        <f t="shared" si="42"/>
        <v>121155.5</v>
      </c>
      <c r="J80" s="124">
        <f t="shared" si="42"/>
        <v>121155.5</v>
      </c>
      <c r="K80" s="125"/>
    </row>
    <row r="81" spans="1:11" s="104" customFormat="1">
      <c r="A81" s="870"/>
      <c r="B81" s="870"/>
      <c r="C81" s="870"/>
      <c r="D81" s="859"/>
      <c r="E81" s="860"/>
      <c r="F81" s="130" t="s">
        <v>398</v>
      </c>
      <c r="G81" s="124">
        <f>+'Havelvats 2 '!G137</f>
        <v>0</v>
      </c>
      <c r="H81" s="124">
        <f>+'Havelvats 2 '!H137</f>
        <v>0</v>
      </c>
      <c r="I81" s="124">
        <f>+'Havelvats 2 '!I137</f>
        <v>121155.5</v>
      </c>
      <c r="J81" s="124">
        <f>+'Havelvats 2 '!J137</f>
        <v>121155.5</v>
      </c>
      <c r="K81" s="126"/>
    </row>
  </sheetData>
  <mergeCells count="38">
    <mergeCell ref="A52:A81"/>
    <mergeCell ref="B54:B81"/>
    <mergeCell ref="C56:C81"/>
    <mergeCell ref="B52:B53"/>
    <mergeCell ref="A14:A31"/>
    <mergeCell ref="B14:B15"/>
    <mergeCell ref="C14:C17"/>
    <mergeCell ref="C52:C55"/>
    <mergeCell ref="B33:B34"/>
    <mergeCell ref="D60:D70"/>
    <mergeCell ref="E63:E70"/>
    <mergeCell ref="E60:F60"/>
    <mergeCell ref="C18:C31"/>
    <mergeCell ref="D71:D81"/>
    <mergeCell ref="E71:F71"/>
    <mergeCell ref="E74:E81"/>
    <mergeCell ref="D22:D31"/>
    <mergeCell ref="E22:F22"/>
    <mergeCell ref="E25:E31"/>
    <mergeCell ref="E52:E59"/>
    <mergeCell ref="D52:D59"/>
    <mergeCell ref="D14:D21"/>
    <mergeCell ref="E14:E21"/>
    <mergeCell ref="C33:C36"/>
    <mergeCell ref="D33:D40"/>
    <mergeCell ref="G9:J9"/>
    <mergeCell ref="B16:B31"/>
    <mergeCell ref="H1:J1"/>
    <mergeCell ref="A6:J6"/>
    <mergeCell ref="A9:C9"/>
    <mergeCell ref="D9:E9"/>
    <mergeCell ref="F9:F10"/>
    <mergeCell ref="I8:J8"/>
    <mergeCell ref="D41:D51"/>
    <mergeCell ref="E41:F41"/>
    <mergeCell ref="E44:E51"/>
    <mergeCell ref="A33:A51"/>
    <mergeCell ref="B35:B5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Havelvats 1</vt:lpstr>
      <vt:lpstr>Havelvats 2 </vt:lpstr>
      <vt:lpstr>Havelvats 3</vt:lpstr>
      <vt:lpstr>Havelvats 4</vt:lpstr>
      <vt:lpstr>Havelvats 5</vt:lpstr>
      <vt:lpstr>Havelvats 6</vt:lpstr>
      <vt:lpstr>Havelvats 7</vt:lpstr>
      <vt:lpstr>Havelvats 8</vt:lpstr>
      <vt:lpstr>Havelvats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keywords>https:/mul-edu.gov.am/tasks/docs/attachment.php?id=336010&amp;fn=havelvacner+%282%29.xlsx&amp;out=1&amp;token=</cp:keywords>
  <cp:lastModifiedBy>User</cp:lastModifiedBy>
  <cp:lastPrinted>2022-01-03T13:44:10Z</cp:lastPrinted>
  <dcterms:created xsi:type="dcterms:W3CDTF">2022-01-04T07:12:58Z</dcterms:created>
  <dcterms:modified xsi:type="dcterms:W3CDTF">2022-02-15T10:57:43Z</dcterms:modified>
</cp:coreProperties>
</file>