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1125" windowWidth="14805" windowHeight="6990" firstSheet="19" activeTab="36"/>
  </bookViews>
  <sheets>
    <sheet name="1" sheetId="1" r:id="rId1"/>
    <sheet name="2" sheetId="12" r:id="rId2"/>
    <sheet name="3" sheetId="11" r:id="rId3"/>
    <sheet name="4" sheetId="10" r:id="rId4"/>
    <sheet name="5" sheetId="9" r:id="rId5"/>
    <sheet name="6" sheetId="8" r:id="rId6"/>
    <sheet name="7" sheetId="79" r:id="rId7"/>
    <sheet name="h8" sheetId="80" r:id="rId8"/>
    <sheet name="h9" sheetId="81" r:id="rId9"/>
    <sheet name="h10" sheetId="82" r:id="rId10"/>
    <sheet name="h11" sheetId="86" r:id="rId11"/>
    <sheet name="h12" sheetId="85" r:id="rId12"/>
    <sheet name="h13" sheetId="87" r:id="rId13"/>
    <sheet name="h14" sheetId="88" r:id="rId14"/>
    <sheet name="h15" sheetId="90" r:id="rId15"/>
    <sheet name="h16" sheetId="7" r:id="rId16"/>
    <sheet name="h17" sheetId="6" r:id="rId17"/>
    <sheet name="h18" sheetId="5" r:id="rId18"/>
    <sheet name="h19" sheetId="27" r:id="rId19"/>
    <sheet name="h20" sheetId="28" r:id="rId20"/>
    <sheet name="h21" sheetId="26" r:id="rId21"/>
    <sheet name="h22" sheetId="25" r:id="rId22"/>
    <sheet name="h23" sheetId="24" r:id="rId23"/>
    <sheet name="h24" sheetId="23" r:id="rId24"/>
    <sheet name="h25" sheetId="22" r:id="rId25"/>
    <sheet name="h26" sheetId="21" r:id="rId26"/>
    <sheet name="h27" sheetId="20" r:id="rId27"/>
    <sheet name="h28" sheetId="18" r:id="rId28"/>
    <sheet name="h29" sheetId="17" r:id="rId29"/>
    <sheet name="h30" sheetId="16" r:id="rId30"/>
    <sheet name="h31" sheetId="15" r:id="rId31"/>
    <sheet name="h32" sheetId="14" r:id="rId32"/>
    <sheet name="h33" sheetId="13" r:id="rId33"/>
    <sheet name="h34" sheetId="4" r:id="rId34"/>
    <sheet name="h35" sheetId="35" r:id="rId35"/>
    <sheet name="h36" sheetId="89" r:id="rId36"/>
    <sheet name="h37" sheetId="37" r:id="rId37"/>
    <sheet name="h39" sheetId="36" r:id="rId38"/>
    <sheet name="38" sheetId="29" r:id="rId39"/>
    <sheet name="h40" sheetId="63" r:id="rId40"/>
    <sheet name="h41" sheetId="62" r:id="rId41"/>
    <sheet name="h42" sheetId="61" r:id="rId42"/>
    <sheet name="h43" sheetId="60" r:id="rId43"/>
    <sheet name="h44" sheetId="59" r:id="rId44"/>
    <sheet name="h45" sheetId="58" r:id="rId45"/>
    <sheet name="h46" sheetId="57" r:id="rId46"/>
    <sheet name="h47" sheetId="56" r:id="rId47"/>
    <sheet name="h48" sheetId="55" r:id="rId48"/>
    <sheet name="h49" sheetId="54" r:id="rId49"/>
    <sheet name="h50" sheetId="53" r:id="rId50"/>
    <sheet name="h51" sheetId="52" r:id="rId51"/>
    <sheet name="h52" sheetId="51" r:id="rId52"/>
    <sheet name="h53" sheetId="50" r:id="rId53"/>
    <sheet name="h54" sheetId="49" r:id="rId54"/>
    <sheet name="h55" sheetId="48" r:id="rId55"/>
    <sheet name="h56" sheetId="47" r:id="rId56"/>
    <sheet name="h57" sheetId="66" r:id="rId57"/>
    <sheet name="h58" sheetId="69" r:id="rId58"/>
    <sheet name="h59" sheetId="68" r:id="rId59"/>
    <sheet name="h60" sheetId="78" r:id="rId60"/>
    <sheet name="h61" sheetId="71" r:id="rId61"/>
    <sheet name="h62" sheetId="73" r:id="rId62"/>
    <sheet name="h63" sheetId="77" r:id="rId63"/>
    <sheet name="h64" sheetId="76" r:id="rId64"/>
    <sheet name="h65" sheetId="75" r:id="rId65"/>
  </sheets>
  <calcPr calcId="144525"/>
</workbook>
</file>

<file path=xl/calcChain.xml><?xml version="1.0" encoding="utf-8"?>
<calcChain xmlns="http://schemas.openxmlformats.org/spreadsheetml/2006/main">
  <c r="W16" i="90" l="1"/>
  <c r="V16" i="90"/>
  <c r="U16" i="90"/>
  <c r="T16" i="90"/>
  <c r="R16" i="90"/>
  <c r="P16" i="90"/>
  <c r="M16" i="90"/>
  <c r="L16" i="90"/>
  <c r="J16" i="90"/>
  <c r="H16" i="90"/>
  <c r="G16" i="90"/>
  <c r="D16" i="90"/>
  <c r="S15" i="90"/>
  <c r="Q15" i="90"/>
  <c r="K15" i="90"/>
  <c r="I15" i="90"/>
  <c r="F15" i="90"/>
  <c r="S14" i="90"/>
  <c r="Q14" i="90"/>
  <c r="K14" i="90"/>
  <c r="I14" i="90"/>
  <c r="F14" i="90"/>
  <c r="S13" i="90"/>
  <c r="Q13" i="90"/>
  <c r="K13" i="90"/>
  <c r="I13" i="90"/>
  <c r="F13" i="90"/>
  <c r="F16" i="90" l="1"/>
  <c r="K16" i="90"/>
  <c r="Q16" i="90"/>
  <c r="I16" i="90"/>
  <c r="S16" i="90"/>
  <c r="H18" i="24"/>
  <c r="G18" i="24"/>
  <c r="E18" i="24"/>
  <c r="G17" i="24"/>
  <c r="G16" i="24"/>
  <c r="G15" i="24"/>
  <c r="G14" i="24"/>
  <c r="G31" i="23"/>
  <c r="H31" i="23"/>
  <c r="E31" i="23"/>
  <c r="H30" i="23"/>
  <c r="G30" i="23"/>
  <c r="G29" i="23"/>
  <c r="G28" i="23"/>
  <c r="G27" i="23"/>
  <c r="G26" i="23"/>
  <c r="G25" i="23"/>
  <c r="G24" i="23"/>
  <c r="G23" i="23"/>
  <c r="G22" i="23"/>
  <c r="H21" i="23"/>
  <c r="G21" i="23"/>
  <c r="G20" i="23"/>
  <c r="G33" i="4"/>
  <c r="H33" i="4"/>
  <c r="E33" i="4"/>
  <c r="H19" i="4"/>
  <c r="H20" i="4"/>
  <c r="H21" i="4"/>
  <c r="H22" i="4"/>
  <c r="H23" i="4"/>
  <c r="H24" i="4"/>
  <c r="H25" i="4"/>
  <c r="H26" i="4"/>
  <c r="H27" i="4"/>
  <c r="H28" i="4"/>
  <c r="H29" i="4"/>
  <c r="H30" i="4"/>
  <c r="H31" i="4"/>
  <c r="H13" i="4"/>
  <c r="H14" i="4"/>
  <c r="H15" i="4"/>
  <c r="H16" i="4"/>
  <c r="G32" i="4"/>
  <c r="G31" i="4"/>
  <c r="G30" i="4"/>
  <c r="G29" i="4"/>
  <c r="G28" i="4"/>
  <c r="G27" i="4"/>
  <c r="G26" i="4"/>
  <c r="G25" i="4"/>
  <c r="G24" i="4"/>
  <c r="G23" i="4"/>
  <c r="G22" i="4"/>
  <c r="G21" i="4"/>
  <c r="G20" i="4"/>
  <c r="G21" i="13" l="1"/>
  <c r="H21" i="13"/>
  <c r="E21" i="13"/>
  <c r="H18" i="13"/>
  <c r="G20" i="13"/>
  <c r="G19" i="13"/>
  <c r="G18" i="13"/>
  <c r="H17" i="13"/>
  <c r="G17" i="13"/>
  <c r="G16" i="13"/>
  <c r="G45" i="14" l="1"/>
  <c r="E45" i="14"/>
  <c r="G19" i="14"/>
  <c r="H19" i="14"/>
  <c r="H45" i="14" s="1"/>
  <c r="E19" i="14"/>
  <c r="H18" i="14"/>
  <c r="G18" i="14"/>
  <c r="H17" i="14"/>
  <c r="G17" i="14"/>
  <c r="G16" i="14"/>
  <c r="G15" i="14"/>
  <c r="G14" i="14"/>
  <c r="G13" i="14"/>
  <c r="G23" i="15"/>
  <c r="H23" i="15"/>
  <c r="E23" i="15"/>
  <c r="G22" i="15"/>
  <c r="G21" i="15"/>
  <c r="H20" i="15"/>
  <c r="G20" i="15"/>
  <c r="G19" i="15"/>
  <c r="H18" i="15"/>
  <c r="G18" i="15"/>
  <c r="G17" i="15"/>
  <c r="G16" i="15"/>
  <c r="G15" i="15"/>
  <c r="G14" i="73" l="1"/>
  <c r="F14" i="73"/>
  <c r="G86" i="89" l="1"/>
  <c r="H86" i="89"/>
  <c r="E86" i="89"/>
  <c r="H85" i="89"/>
  <c r="G85" i="89"/>
  <c r="E85" i="89"/>
  <c r="G84" i="89"/>
  <c r="E84" i="89"/>
  <c r="H83" i="89"/>
  <c r="G83" i="89"/>
  <c r="H82" i="89"/>
  <c r="H84" i="89" s="1"/>
  <c r="G82" i="89"/>
  <c r="H79" i="89"/>
  <c r="G79" i="89"/>
  <c r="E79" i="89"/>
  <c r="E78" i="89"/>
  <c r="H77" i="89"/>
  <c r="G77" i="89"/>
  <c r="G78" i="89" s="1"/>
  <c r="H76" i="89"/>
  <c r="H78" i="89" s="1"/>
  <c r="G76" i="89"/>
  <c r="H73" i="89"/>
  <c r="G73" i="89"/>
  <c r="E73" i="89"/>
  <c r="E72" i="89"/>
  <c r="H71" i="89"/>
  <c r="G71" i="89"/>
  <c r="H70" i="89"/>
  <c r="H72" i="89" s="1"/>
  <c r="G70" i="89"/>
  <c r="G72" i="89" s="1"/>
  <c r="E66" i="89"/>
  <c r="H65" i="89"/>
  <c r="G65" i="89"/>
  <c r="H64" i="89"/>
  <c r="G64" i="89"/>
  <c r="G66" i="89" s="1"/>
  <c r="H63" i="89"/>
  <c r="H66" i="89" s="1"/>
  <c r="G63" i="89"/>
  <c r="E61" i="89"/>
  <c r="E67" i="89" s="1"/>
  <c r="H60" i="89"/>
  <c r="G60" i="89"/>
  <c r="H59" i="89"/>
  <c r="H61" i="89" s="1"/>
  <c r="H67" i="89" s="1"/>
  <c r="G59" i="89"/>
  <c r="G61" i="89" s="1"/>
  <c r="H58" i="89"/>
  <c r="G58" i="89"/>
  <c r="G67" i="89" l="1"/>
  <c r="E54" i="89"/>
  <c r="H53" i="89"/>
  <c r="G53" i="89"/>
  <c r="H52" i="89"/>
  <c r="H54" i="89" s="1"/>
  <c r="G52" i="89"/>
  <c r="G54" i="89" s="1"/>
  <c r="G50" i="89"/>
  <c r="E50" i="89"/>
  <c r="H49" i="89"/>
  <c r="H50" i="89" s="1"/>
  <c r="G49" i="89"/>
  <c r="H47" i="89"/>
  <c r="G47" i="89"/>
  <c r="E47" i="89"/>
  <c r="H46" i="89"/>
  <c r="G46" i="89"/>
  <c r="E44" i="89"/>
  <c r="H43" i="89"/>
  <c r="G43" i="89"/>
  <c r="H42" i="89"/>
  <c r="H44" i="89" s="1"/>
  <c r="G42" i="89"/>
  <c r="H41" i="89"/>
  <c r="G41" i="89"/>
  <c r="G44" i="89" s="1"/>
  <c r="E39" i="89"/>
  <c r="H38" i="89"/>
  <c r="H39" i="89" s="1"/>
  <c r="G38" i="89"/>
  <c r="G39" i="89" s="1"/>
  <c r="E36" i="89"/>
  <c r="H35" i="89"/>
  <c r="G35" i="89"/>
  <c r="H34" i="89"/>
  <c r="G34" i="89"/>
  <c r="H33" i="89"/>
  <c r="H36" i="89" s="1"/>
  <c r="G33" i="89"/>
  <c r="G36" i="89" s="1"/>
  <c r="E31" i="89"/>
  <c r="H30" i="89"/>
  <c r="G30" i="89"/>
  <c r="H29" i="89"/>
  <c r="G29" i="89"/>
  <c r="G31" i="89" s="1"/>
  <c r="H28" i="89"/>
  <c r="H31" i="89" s="1"/>
  <c r="G28" i="89"/>
  <c r="E26" i="89"/>
  <c r="H25" i="89"/>
  <c r="G25" i="89"/>
  <c r="H24" i="89"/>
  <c r="G24" i="89"/>
  <c r="H23" i="89"/>
  <c r="H26" i="89" s="1"/>
  <c r="G23" i="89"/>
  <c r="G26" i="89" s="1"/>
  <c r="H21" i="89"/>
  <c r="E21" i="89"/>
  <c r="H20" i="89"/>
  <c r="G20" i="89"/>
  <c r="G19" i="89"/>
  <c r="G18" i="89"/>
  <c r="G21" i="89" s="1"/>
  <c r="E16" i="89"/>
  <c r="E55" i="89" s="1"/>
  <c r="H15" i="89"/>
  <c r="G15" i="89"/>
  <c r="H14" i="89"/>
  <c r="G14" i="89"/>
  <c r="H13" i="89"/>
  <c r="H16" i="89" s="1"/>
  <c r="G13" i="89"/>
  <c r="G16" i="89" s="1"/>
  <c r="G199" i="35"/>
  <c r="H199" i="35"/>
  <c r="E199" i="35"/>
  <c r="H197" i="35"/>
  <c r="E197" i="35"/>
  <c r="H196" i="35"/>
  <c r="G196" i="35"/>
  <c r="G197" i="35" s="1"/>
  <c r="G194" i="35"/>
  <c r="E194" i="35"/>
  <c r="H193" i="35"/>
  <c r="G193" i="35"/>
  <c r="H192" i="35"/>
  <c r="H194" i="35" s="1"/>
  <c r="G192" i="35"/>
  <c r="H190" i="35"/>
  <c r="E190" i="35"/>
  <c r="H189" i="35"/>
  <c r="G189" i="35"/>
  <c r="G190" i="35" s="1"/>
  <c r="G187" i="35"/>
  <c r="E187" i="35"/>
  <c r="E198" i="35" s="1"/>
  <c r="H186" i="35"/>
  <c r="H187" i="35" s="1"/>
  <c r="H198" i="35" s="1"/>
  <c r="G186" i="35"/>
  <c r="E182" i="35"/>
  <c r="H181" i="35"/>
  <c r="G181" i="35"/>
  <c r="H180" i="35"/>
  <c r="G180" i="35"/>
  <c r="H179" i="35"/>
  <c r="H182" i="35" s="1"/>
  <c r="G179" i="35"/>
  <c r="G182" i="35" s="1"/>
  <c r="E177" i="35"/>
  <c r="E183" i="35" s="1"/>
  <c r="H176" i="35"/>
  <c r="G176" i="35"/>
  <c r="H175" i="35"/>
  <c r="G175" i="35"/>
  <c r="G177" i="35" s="1"/>
  <c r="H174" i="35"/>
  <c r="H177" i="35" s="1"/>
  <c r="G174" i="35"/>
  <c r="G170" i="35"/>
  <c r="E170" i="35"/>
  <c r="H169" i="35"/>
  <c r="G169" i="35"/>
  <c r="H168" i="35"/>
  <c r="G168" i="35"/>
  <c r="H167" i="35"/>
  <c r="H170" i="35" s="1"/>
  <c r="G167" i="35"/>
  <c r="E165" i="35"/>
  <c r="E171" i="35" s="1"/>
  <c r="H164" i="35"/>
  <c r="G164" i="35"/>
  <c r="H163" i="35"/>
  <c r="H165" i="35" s="1"/>
  <c r="G163" i="35"/>
  <c r="H162" i="35"/>
  <c r="G162" i="35"/>
  <c r="G165" i="35" s="1"/>
  <c r="G160" i="35"/>
  <c r="E160" i="35"/>
  <c r="H159" i="35"/>
  <c r="G159" i="35"/>
  <c r="H158" i="35"/>
  <c r="G158" i="35"/>
  <c r="H157" i="35"/>
  <c r="H160" i="35" s="1"/>
  <c r="G157" i="35"/>
  <c r="H155" i="35"/>
  <c r="H171" i="35" s="1"/>
  <c r="E155" i="35"/>
  <c r="H154" i="35"/>
  <c r="G154" i="35"/>
  <c r="H153" i="35"/>
  <c r="G153" i="35"/>
  <c r="H152" i="35"/>
  <c r="G152" i="35"/>
  <c r="G155" i="35" s="1"/>
  <c r="G171" i="35" s="1"/>
  <c r="G149" i="35"/>
  <c r="H149" i="35"/>
  <c r="E149" i="35"/>
  <c r="E148" i="35"/>
  <c r="H147" i="35"/>
  <c r="G147" i="35"/>
  <c r="H146" i="35"/>
  <c r="H148" i="35" s="1"/>
  <c r="G146" i="35"/>
  <c r="G148" i="35" s="1"/>
  <c r="E144" i="35"/>
  <c r="H143" i="35"/>
  <c r="G143" i="35"/>
  <c r="H142" i="35"/>
  <c r="G142" i="35"/>
  <c r="H141" i="35"/>
  <c r="H144" i="35" s="1"/>
  <c r="G141" i="35"/>
  <c r="G144" i="35" s="1"/>
  <c r="E139" i="35"/>
  <c r="H138" i="35"/>
  <c r="G138" i="35"/>
  <c r="H137" i="35"/>
  <c r="G137" i="35"/>
  <c r="H136" i="35"/>
  <c r="H139" i="35" s="1"/>
  <c r="G136" i="35"/>
  <c r="G139" i="35" s="1"/>
  <c r="E134" i="35"/>
  <c r="H133" i="35"/>
  <c r="G133" i="35"/>
  <c r="H132" i="35"/>
  <c r="G132" i="35"/>
  <c r="H131" i="35"/>
  <c r="H134" i="35" s="1"/>
  <c r="G131" i="35"/>
  <c r="G134" i="35" s="1"/>
  <c r="E129" i="35"/>
  <c r="H128" i="35"/>
  <c r="G128" i="35"/>
  <c r="H127" i="35"/>
  <c r="H129" i="35" s="1"/>
  <c r="G127" i="35"/>
  <c r="H126" i="35"/>
  <c r="G126" i="35"/>
  <c r="G55" i="89" l="1"/>
  <c r="H55" i="89"/>
  <c r="G198" i="35"/>
  <c r="H183" i="35"/>
  <c r="G183" i="35"/>
  <c r="G129" i="35"/>
  <c r="E122" i="35"/>
  <c r="H121" i="35"/>
  <c r="G121" i="35"/>
  <c r="H120" i="35"/>
  <c r="G120" i="35"/>
  <c r="H119" i="35"/>
  <c r="G119" i="35"/>
  <c r="H118" i="35"/>
  <c r="H122" i="35" s="1"/>
  <c r="G118" i="35"/>
  <c r="G122" i="35" s="1"/>
  <c r="G116" i="35"/>
  <c r="E116" i="35"/>
  <c r="H115" i="35"/>
  <c r="G115" i="35"/>
  <c r="H114" i="35"/>
  <c r="H116" i="35" s="1"/>
  <c r="G114" i="35"/>
  <c r="H113" i="35"/>
  <c r="G113" i="35"/>
  <c r="E111" i="35"/>
  <c r="H110" i="35"/>
  <c r="G110" i="35"/>
  <c r="H109" i="35"/>
  <c r="H111" i="35" s="1"/>
  <c r="G109" i="35"/>
  <c r="H108" i="35"/>
  <c r="G108" i="35"/>
  <c r="G111" i="35" s="1"/>
  <c r="E106" i="35"/>
  <c r="E123" i="35" s="1"/>
  <c r="H105" i="35"/>
  <c r="G105" i="35"/>
  <c r="H104" i="35"/>
  <c r="H106" i="35" s="1"/>
  <c r="G104" i="35"/>
  <c r="G106" i="35" s="1"/>
  <c r="G123" i="35" s="1"/>
  <c r="E100" i="35"/>
  <c r="H99" i="35"/>
  <c r="G99" i="35"/>
  <c r="H98" i="35"/>
  <c r="G98" i="35"/>
  <c r="H97" i="35"/>
  <c r="G97" i="35"/>
  <c r="E95" i="35"/>
  <c r="H94" i="35"/>
  <c r="G94" i="35"/>
  <c r="H93" i="35"/>
  <c r="H95" i="35" s="1"/>
  <c r="G93" i="35"/>
  <c r="G95" i="35" s="1"/>
  <c r="E91" i="35"/>
  <c r="H90" i="35"/>
  <c r="G90" i="35"/>
  <c r="H89" i="35"/>
  <c r="G89" i="35"/>
  <c r="H88" i="35"/>
  <c r="G88" i="35"/>
  <c r="E86" i="35"/>
  <c r="E101" i="35" s="1"/>
  <c r="H85" i="35"/>
  <c r="G85" i="35"/>
  <c r="H84" i="35"/>
  <c r="H86" i="35" s="1"/>
  <c r="G84" i="35"/>
  <c r="G86" i="35" s="1"/>
  <c r="H83" i="35"/>
  <c r="G83" i="35"/>
  <c r="H79" i="35"/>
  <c r="E79" i="35"/>
  <c r="H78" i="35"/>
  <c r="G78" i="35"/>
  <c r="G79" i="35" s="1"/>
  <c r="E76" i="35"/>
  <c r="H75" i="35"/>
  <c r="G75" i="35"/>
  <c r="H74" i="35"/>
  <c r="G74" i="35"/>
  <c r="G76" i="35" s="1"/>
  <c r="H73" i="35"/>
  <c r="H76" i="35" s="1"/>
  <c r="G73" i="35"/>
  <c r="E71" i="35"/>
  <c r="H70" i="35"/>
  <c r="G70" i="35"/>
  <c r="H69" i="35"/>
  <c r="G69" i="35"/>
  <c r="H68" i="35"/>
  <c r="G68" i="35"/>
  <c r="E66" i="35"/>
  <c r="H65" i="35"/>
  <c r="G65" i="35"/>
  <c r="H64" i="35"/>
  <c r="G64" i="35"/>
  <c r="G66" i="35" s="1"/>
  <c r="E62" i="35"/>
  <c r="H61" i="35"/>
  <c r="G61" i="35"/>
  <c r="H60" i="35"/>
  <c r="G60" i="35"/>
  <c r="G62" i="35" s="1"/>
  <c r="E56" i="35"/>
  <c r="H55" i="35"/>
  <c r="H56" i="35" s="1"/>
  <c r="G55" i="35"/>
  <c r="G56" i="35" s="1"/>
  <c r="E53" i="35"/>
  <c r="G52" i="35"/>
  <c r="H51" i="35"/>
  <c r="G51" i="35"/>
  <c r="H50" i="35"/>
  <c r="G50" i="35"/>
  <c r="H49" i="35"/>
  <c r="G49" i="35"/>
  <c r="H48" i="35"/>
  <c r="G48" i="35"/>
  <c r="H47" i="35"/>
  <c r="G47" i="35"/>
  <c r="E45" i="35"/>
  <c r="H44" i="35"/>
  <c r="G44" i="35"/>
  <c r="H43" i="35"/>
  <c r="H45" i="35" s="1"/>
  <c r="G43" i="35"/>
  <c r="H42" i="35"/>
  <c r="G42" i="35"/>
  <c r="H38" i="35"/>
  <c r="E38" i="35"/>
  <c r="G37" i="35"/>
  <c r="G36" i="35"/>
  <c r="G38" i="35" s="1"/>
  <c r="E34" i="35"/>
  <c r="H33" i="35"/>
  <c r="G33" i="35"/>
  <c r="H32" i="35"/>
  <c r="G32" i="35"/>
  <c r="H31" i="35"/>
  <c r="G31" i="35"/>
  <c r="H30" i="35"/>
  <c r="G30" i="35"/>
  <c r="E28" i="35"/>
  <c r="H27" i="35"/>
  <c r="G27" i="35"/>
  <c r="H26" i="35"/>
  <c r="G26" i="35"/>
  <c r="H25" i="35"/>
  <c r="G25" i="35"/>
  <c r="G34" i="35" l="1"/>
  <c r="E39" i="35"/>
  <c r="E57" i="35"/>
  <c r="E80" i="35"/>
  <c r="G28" i="35"/>
  <c r="G39" i="35" s="1"/>
  <c r="H34" i="35"/>
  <c r="G45" i="35"/>
  <c r="G53" i="35"/>
  <c r="H62" i="35"/>
  <c r="G71" i="35"/>
  <c r="G80" i="35" s="1"/>
  <c r="H91" i="35"/>
  <c r="H100" i="35"/>
  <c r="H101" i="35" s="1"/>
  <c r="H28" i="35"/>
  <c r="H53" i="35"/>
  <c r="H57" i="35" s="1"/>
  <c r="H66" i="35"/>
  <c r="H71" i="35"/>
  <c r="G91" i="35"/>
  <c r="G101" i="35" s="1"/>
  <c r="G100" i="35"/>
  <c r="H123" i="35"/>
  <c r="H80" i="35"/>
  <c r="H22" i="80"/>
  <c r="H137" i="82"/>
  <c r="G156" i="86"/>
  <c r="G257" i="85"/>
  <c r="G128" i="85"/>
  <c r="G215" i="7"/>
  <c r="G161" i="7"/>
  <c r="G142" i="7"/>
  <c r="H39" i="35" l="1"/>
  <c r="G57" i="35"/>
  <c r="G52" i="7"/>
  <c r="G30" i="7"/>
  <c r="G27" i="7"/>
  <c r="M13" i="7"/>
  <c r="M14" i="7"/>
  <c r="M15" i="7"/>
  <c r="M16" i="7"/>
  <c r="M17" i="7"/>
  <c r="M18" i="7"/>
  <c r="M19" i="7"/>
  <c r="M20" i="7"/>
  <c r="M21" i="7"/>
  <c r="M22" i="7"/>
  <c r="M23" i="7"/>
  <c r="M24" i="7"/>
  <c r="M25" i="7"/>
  <c r="M26" i="7"/>
  <c r="M27" i="7"/>
  <c r="M28" i="7"/>
  <c r="M29" i="7"/>
  <c r="M30" i="7"/>
  <c r="M31" i="7"/>
  <c r="M32" i="7"/>
  <c r="M33" i="7"/>
  <c r="M34" i="7"/>
  <c r="M35" i="7"/>
  <c r="M36" i="7"/>
  <c r="M37" i="7"/>
  <c r="M38" i="7"/>
  <c r="M39" i="7"/>
  <c r="M40" i="7"/>
  <c r="M41" i="7"/>
  <c r="M42" i="7"/>
  <c r="M43" i="7"/>
  <c r="M44" i="7"/>
  <c r="M45" i="7"/>
  <c r="M46" i="7"/>
  <c r="M47" i="7"/>
  <c r="M48" i="7"/>
  <c r="M49" i="7"/>
  <c r="M50" i="7"/>
  <c r="M51" i="7"/>
  <c r="M52" i="7"/>
  <c r="M53" i="7"/>
  <c r="M54" i="7"/>
  <c r="M55" i="7"/>
  <c r="M56" i="7"/>
  <c r="M57" i="7"/>
  <c r="M58" i="7"/>
  <c r="M59" i="7"/>
  <c r="M60" i="7"/>
  <c r="M61" i="7"/>
  <c r="M62" i="7"/>
  <c r="M63" i="7"/>
  <c r="M64" i="7"/>
  <c r="M65" i="7"/>
  <c r="M66" i="7"/>
  <c r="M67" i="7"/>
  <c r="M68" i="7"/>
  <c r="M69" i="7"/>
  <c r="M70" i="7"/>
  <c r="M71" i="7"/>
  <c r="M72" i="7"/>
  <c r="M73" i="7"/>
  <c r="M74" i="7"/>
  <c r="M75" i="7"/>
  <c r="M76" i="7"/>
  <c r="M77" i="7"/>
  <c r="M78" i="7"/>
  <c r="M79" i="7"/>
  <c r="M80" i="7"/>
  <c r="M81" i="7"/>
  <c r="M82" i="7"/>
  <c r="M83" i="7"/>
  <c r="M84" i="7"/>
  <c r="M85" i="7"/>
  <c r="M86" i="7"/>
  <c r="M87" i="7"/>
  <c r="M88" i="7"/>
  <c r="M89" i="7"/>
  <c r="M90" i="7"/>
  <c r="M91" i="7"/>
  <c r="M92" i="7"/>
  <c r="M93" i="7"/>
  <c r="M94" i="7"/>
  <c r="M95" i="7"/>
  <c r="M96" i="7"/>
  <c r="M97" i="7"/>
  <c r="M98" i="7"/>
  <c r="M99" i="7"/>
  <c r="M100" i="7"/>
  <c r="M101" i="7"/>
  <c r="M102" i="7"/>
  <c r="M103" i="7"/>
  <c r="M104" i="7"/>
  <c r="M105" i="7"/>
  <c r="M106" i="7"/>
  <c r="M107" i="7"/>
  <c r="M108" i="7"/>
  <c r="M109" i="7"/>
  <c r="M110" i="7"/>
  <c r="L111" i="7"/>
  <c r="T111" i="7"/>
  <c r="M113" i="7"/>
  <c r="M114" i="7"/>
  <c r="M115" i="7"/>
  <c r="M116" i="7"/>
  <c r="M117" i="7"/>
  <c r="M118" i="7"/>
  <c r="M119" i="7"/>
  <c r="M120" i="7"/>
  <c r="M121" i="7"/>
  <c r="M122" i="7"/>
  <c r="M123" i="7"/>
  <c r="M124" i="7"/>
  <c r="M125" i="7"/>
  <c r="M126" i="7"/>
  <c r="M127" i="7"/>
  <c r="M128" i="7"/>
  <c r="M129" i="7"/>
  <c r="M130" i="7"/>
  <c r="M131" i="7"/>
  <c r="M132" i="7"/>
  <c r="M133" i="7"/>
  <c r="M134" i="7"/>
  <c r="M135" i="7"/>
  <c r="M136" i="7"/>
  <c r="M137" i="7"/>
  <c r="M138" i="7"/>
  <c r="M139" i="7"/>
  <c r="M140" i="7"/>
  <c r="M141" i="7"/>
  <c r="L142" i="7"/>
  <c r="T142" i="7"/>
  <c r="U142" i="7"/>
  <c r="I146" i="7"/>
  <c r="K146" i="7"/>
  <c r="Q146" i="7"/>
  <c r="S146" i="7"/>
  <c r="I147" i="7"/>
  <c r="K147" i="7"/>
  <c r="Q147" i="7"/>
  <c r="S147" i="7"/>
  <c r="I148" i="7"/>
  <c r="K148" i="7"/>
  <c r="Q148" i="7"/>
  <c r="S148" i="7"/>
  <c r="U155" i="7"/>
  <c r="I149" i="7"/>
  <c r="K149" i="7"/>
  <c r="Q149" i="7"/>
  <c r="S149" i="7"/>
  <c r="I150" i="7"/>
  <c r="K150" i="7"/>
  <c r="Q150" i="7"/>
  <c r="S150" i="7"/>
  <c r="I151" i="7"/>
  <c r="K151" i="7"/>
  <c r="Q151" i="7"/>
  <c r="S151" i="7"/>
  <c r="I152" i="7"/>
  <c r="K152" i="7"/>
  <c r="Q152" i="7"/>
  <c r="S152" i="7"/>
  <c r="I153" i="7"/>
  <c r="K153" i="7"/>
  <c r="Q153" i="7"/>
  <c r="S153" i="7"/>
  <c r="I154" i="7"/>
  <c r="K154" i="7"/>
  <c r="Q154" i="7"/>
  <c r="S154" i="7"/>
  <c r="H155" i="7"/>
  <c r="H162" i="7" s="1"/>
  <c r="J155" i="7"/>
  <c r="L155" i="7"/>
  <c r="P155" i="7"/>
  <c r="R155" i="7"/>
  <c r="R162" i="7" s="1"/>
  <c r="T155" i="7"/>
  <c r="K157" i="7"/>
  <c r="Q157" i="7"/>
  <c r="K158" i="7"/>
  <c r="Q158" i="7"/>
  <c r="K159" i="7"/>
  <c r="Q159" i="7"/>
  <c r="K160" i="7"/>
  <c r="Q160" i="7"/>
  <c r="J161" i="7"/>
  <c r="L161" i="7"/>
  <c r="P161" i="7"/>
  <c r="T161" i="7"/>
  <c r="U161" i="7"/>
  <c r="O165" i="7"/>
  <c r="O166" i="7"/>
  <c r="O167" i="7"/>
  <c r="O168" i="7"/>
  <c r="O169" i="7"/>
  <c r="O170" i="7"/>
  <c r="O171" i="7"/>
  <c r="O172" i="7"/>
  <c r="O173" i="7"/>
  <c r="O174" i="7"/>
  <c r="O175" i="7"/>
  <c r="O176" i="7"/>
  <c r="O177" i="7"/>
  <c r="O178" i="7"/>
  <c r="O179" i="7"/>
  <c r="O180" i="7"/>
  <c r="O181" i="7"/>
  <c r="O182" i="7"/>
  <c r="O183" i="7"/>
  <c r="O184" i="7"/>
  <c r="O185" i="7"/>
  <c r="O186" i="7"/>
  <c r="O187" i="7"/>
  <c r="O188" i="7"/>
  <c r="O189" i="7"/>
  <c r="O190" i="7"/>
  <c r="O191" i="7"/>
  <c r="O192" i="7"/>
  <c r="O193" i="7"/>
  <c r="O194" i="7"/>
  <c r="O195" i="7"/>
  <c r="O196" i="7"/>
  <c r="O197" i="7"/>
  <c r="O198" i="7"/>
  <c r="O199" i="7"/>
  <c r="O200" i="7"/>
  <c r="O201" i="7"/>
  <c r="L202" i="7"/>
  <c r="N202" i="7"/>
  <c r="T202" i="7"/>
  <c r="U202" i="7"/>
  <c r="L215" i="7"/>
  <c r="N215" i="7"/>
  <c r="O215" i="7"/>
  <c r="T215" i="7"/>
  <c r="U215" i="7"/>
  <c r="W215" i="7"/>
  <c r="V215" i="7"/>
  <c r="D215" i="7"/>
  <c r="F214" i="7"/>
  <c r="F213" i="7"/>
  <c r="F212" i="7"/>
  <c r="F211" i="7"/>
  <c r="F210" i="7"/>
  <c r="F209" i="7"/>
  <c r="F208" i="7"/>
  <c r="F207" i="7"/>
  <c r="F206" i="7"/>
  <c r="F205" i="7"/>
  <c r="F204" i="7"/>
  <c r="V202" i="7"/>
  <c r="D202" i="7"/>
  <c r="G201" i="7"/>
  <c r="F201" i="7"/>
  <c r="G200" i="7"/>
  <c r="F200" i="7"/>
  <c r="F199" i="7"/>
  <c r="F198" i="7"/>
  <c r="G197" i="7"/>
  <c r="F197" i="7"/>
  <c r="G196" i="7"/>
  <c r="F196" i="7"/>
  <c r="G195" i="7"/>
  <c r="F195" i="7"/>
  <c r="G194" i="7"/>
  <c r="F194" i="7"/>
  <c r="F193" i="7"/>
  <c r="F192" i="7"/>
  <c r="F191" i="7"/>
  <c r="F190" i="7"/>
  <c r="G189" i="7"/>
  <c r="F189" i="7"/>
  <c r="W202" i="7"/>
  <c r="F188" i="7"/>
  <c r="F187" i="7"/>
  <c r="G186" i="7"/>
  <c r="F186" i="7"/>
  <c r="G185" i="7"/>
  <c r="F185" i="7"/>
  <c r="G184" i="7"/>
  <c r="F184" i="7"/>
  <c r="F183" i="7"/>
  <c r="F182" i="7"/>
  <c r="F181" i="7"/>
  <c r="F180" i="7"/>
  <c r="F179" i="7"/>
  <c r="F178" i="7"/>
  <c r="F177" i="7"/>
  <c r="F176" i="7"/>
  <c r="F175" i="7"/>
  <c r="G174" i="7"/>
  <c r="F174" i="7"/>
  <c r="F173" i="7"/>
  <c r="F172" i="7"/>
  <c r="F171" i="7"/>
  <c r="F170" i="7"/>
  <c r="G169" i="7"/>
  <c r="F169" i="7"/>
  <c r="G168" i="7"/>
  <c r="F168" i="7"/>
  <c r="G167" i="7"/>
  <c r="F167" i="7"/>
  <c r="F166" i="7"/>
  <c r="G165" i="7"/>
  <c r="F165" i="7"/>
  <c r="W161" i="7"/>
  <c r="V161" i="7"/>
  <c r="D161" i="7"/>
  <c r="F160" i="7"/>
  <c r="F159" i="7"/>
  <c r="F158" i="7"/>
  <c r="F157" i="7"/>
  <c r="W155" i="7"/>
  <c r="V155" i="7"/>
  <c r="D155" i="7"/>
  <c r="F154" i="7"/>
  <c r="F153" i="7"/>
  <c r="F152" i="7"/>
  <c r="F151" i="7"/>
  <c r="F150" i="7"/>
  <c r="F149" i="7"/>
  <c r="F148" i="7"/>
  <c r="F147" i="7"/>
  <c r="F146" i="7"/>
  <c r="W142" i="7"/>
  <c r="V142" i="7"/>
  <c r="D142" i="7"/>
  <c r="F141" i="7"/>
  <c r="F140" i="7"/>
  <c r="F139" i="7"/>
  <c r="F138" i="7"/>
  <c r="F137" i="7"/>
  <c r="F136" i="7"/>
  <c r="F135" i="7"/>
  <c r="F134" i="7"/>
  <c r="F133" i="7"/>
  <c r="F132" i="7"/>
  <c r="F131" i="7"/>
  <c r="F130" i="7"/>
  <c r="F129" i="7"/>
  <c r="F128" i="7"/>
  <c r="F127" i="7"/>
  <c r="F126" i="7"/>
  <c r="F125" i="7"/>
  <c r="F124" i="7"/>
  <c r="F123" i="7"/>
  <c r="F122" i="7"/>
  <c r="F121" i="7"/>
  <c r="F120" i="7"/>
  <c r="F119" i="7"/>
  <c r="F118" i="7"/>
  <c r="F117" i="7"/>
  <c r="F116" i="7"/>
  <c r="F115" i="7"/>
  <c r="F114" i="7"/>
  <c r="F113" i="7"/>
  <c r="V111" i="7"/>
  <c r="D111" i="7"/>
  <c r="F110" i="7"/>
  <c r="F109" i="7"/>
  <c r="F108" i="7"/>
  <c r="F107" i="7"/>
  <c r="F106" i="7"/>
  <c r="F105" i="7"/>
  <c r="F104" i="7"/>
  <c r="F103" i="7"/>
  <c r="F102" i="7"/>
  <c r="F101" i="7"/>
  <c r="F100" i="7"/>
  <c r="F99" i="7"/>
  <c r="F98" i="7"/>
  <c r="F97" i="7"/>
  <c r="F96" i="7"/>
  <c r="F95" i="7"/>
  <c r="F94" i="7"/>
  <c r="F93" i="7"/>
  <c r="F92" i="7"/>
  <c r="F91" i="7"/>
  <c r="F90" i="7"/>
  <c r="F89" i="7"/>
  <c r="F88" i="7"/>
  <c r="F87" i="7"/>
  <c r="F86" i="7"/>
  <c r="F85" i="7"/>
  <c r="F84" i="7"/>
  <c r="F83" i="7"/>
  <c r="F82" i="7"/>
  <c r="F81" i="7"/>
  <c r="F80" i="7"/>
  <c r="F79" i="7"/>
  <c r="F78" i="7"/>
  <c r="F77" i="7"/>
  <c r="F76" i="7"/>
  <c r="F75" i="7"/>
  <c r="F74" i="7"/>
  <c r="F73" i="7"/>
  <c r="F72" i="7"/>
  <c r="F71" i="7"/>
  <c r="F70" i="7"/>
  <c r="F69" i="7"/>
  <c r="F68" i="7"/>
  <c r="F67" i="7"/>
  <c r="F66" i="7"/>
  <c r="F65" i="7"/>
  <c r="F64" i="7"/>
  <c r="F63" i="7"/>
  <c r="F62" i="7"/>
  <c r="F61" i="7"/>
  <c r="F60" i="7"/>
  <c r="F59" i="7"/>
  <c r="F58" i="7"/>
  <c r="F57" i="7"/>
  <c r="F56" i="7"/>
  <c r="F55" i="7"/>
  <c r="F54" i="7"/>
  <c r="F53" i="7"/>
  <c r="F52" i="7"/>
  <c r="F51" i="7"/>
  <c r="F50" i="7"/>
  <c r="F49" i="7"/>
  <c r="F48" i="7"/>
  <c r="F47" i="7"/>
  <c r="F46" i="7"/>
  <c r="F45" i="7"/>
  <c r="F44" i="7"/>
  <c r="F43" i="7"/>
  <c r="F42" i="7"/>
  <c r="F41" i="7"/>
  <c r="F40" i="7"/>
  <c r="F39" i="7"/>
  <c r="F38" i="7"/>
  <c r="F37" i="7"/>
  <c r="F36" i="7"/>
  <c r="F35" i="7"/>
  <c r="F34" i="7"/>
  <c r="F33" i="7"/>
  <c r="F32" i="7"/>
  <c r="F31" i="7"/>
  <c r="F30" i="7"/>
  <c r="F29" i="7"/>
  <c r="F28" i="7"/>
  <c r="F27" i="7"/>
  <c r="F26" i="7"/>
  <c r="F25" i="7"/>
  <c r="F24" i="7"/>
  <c r="F23" i="7"/>
  <c r="F22" i="7"/>
  <c r="F21" i="7"/>
  <c r="F20" i="7"/>
  <c r="F19" i="7"/>
  <c r="F18" i="7"/>
  <c r="F17" i="7"/>
  <c r="F16" i="7"/>
  <c r="F15" i="7"/>
  <c r="F14" i="7"/>
  <c r="F13" i="7"/>
  <c r="D28" i="88"/>
  <c r="D29" i="88" s="1"/>
  <c r="F27" i="88"/>
  <c r="G26" i="88"/>
  <c r="F26" i="88"/>
  <c r="G23" i="88"/>
  <c r="D23" i="88"/>
  <c r="F22" i="88"/>
  <c r="F21" i="88"/>
  <c r="F20" i="88"/>
  <c r="F19" i="88"/>
  <c r="F18" i="88"/>
  <c r="F17" i="88"/>
  <c r="F16" i="88"/>
  <c r="F15" i="88"/>
  <c r="F14" i="88"/>
  <c r="F13" i="88"/>
  <c r="D26" i="87"/>
  <c r="G25" i="87"/>
  <c r="F25" i="87"/>
  <c r="D22" i="87"/>
  <c r="D27" i="87" s="1"/>
  <c r="F21" i="87"/>
  <c r="G18" i="87"/>
  <c r="D18" i="87"/>
  <c r="F17" i="87"/>
  <c r="F16" i="87"/>
  <c r="F15" i="87"/>
  <c r="F14" i="87"/>
  <c r="F13" i="87"/>
  <c r="G105" i="86"/>
  <c r="F98" i="86"/>
  <c r="F99" i="86"/>
  <c r="F100" i="86"/>
  <c r="F101" i="86"/>
  <c r="F102" i="86"/>
  <c r="F103" i="86"/>
  <c r="F104" i="86"/>
  <c r="F105" i="86"/>
  <c r="G102" i="86"/>
  <c r="D93" i="86"/>
  <c r="G60" i="86"/>
  <c r="G47" i="86"/>
  <c r="G46" i="86"/>
  <c r="G35" i="86"/>
  <c r="D156" i="86"/>
  <c r="F155" i="86"/>
  <c r="F154" i="86"/>
  <c r="F153" i="86"/>
  <c r="F152" i="86"/>
  <c r="F151" i="86"/>
  <c r="F150" i="86"/>
  <c r="F149" i="86"/>
  <c r="F148" i="86"/>
  <c r="F147" i="86"/>
  <c r="F146" i="86"/>
  <c r="F145" i="86"/>
  <c r="F144" i="86"/>
  <c r="F143" i="86"/>
  <c r="F142" i="86"/>
  <c r="F141" i="86"/>
  <c r="F140" i="86"/>
  <c r="F139" i="86"/>
  <c r="D137" i="86"/>
  <c r="F136" i="86"/>
  <c r="F135" i="86"/>
  <c r="F134" i="86"/>
  <c r="F133" i="86"/>
  <c r="F132" i="86"/>
  <c r="G131" i="86"/>
  <c r="F131" i="86"/>
  <c r="F130" i="86"/>
  <c r="F129" i="86"/>
  <c r="G128" i="86"/>
  <c r="F128" i="86"/>
  <c r="G127" i="86"/>
  <c r="F127" i="86"/>
  <c r="F126" i="86"/>
  <c r="F125" i="86"/>
  <c r="F124" i="86"/>
  <c r="G123" i="86"/>
  <c r="F123" i="86"/>
  <c r="F122" i="86"/>
  <c r="G121" i="86"/>
  <c r="F121" i="86"/>
  <c r="F120" i="86"/>
  <c r="D116" i="86"/>
  <c r="F115" i="86"/>
  <c r="F114" i="86"/>
  <c r="F113" i="86"/>
  <c r="F112" i="86"/>
  <c r="F111" i="86"/>
  <c r="F110" i="86"/>
  <c r="E109" i="86"/>
  <c r="F109" i="86" s="1"/>
  <c r="E108" i="86"/>
  <c r="D106" i="86"/>
  <c r="F97" i="86"/>
  <c r="F92" i="86"/>
  <c r="F91" i="86"/>
  <c r="F90" i="86"/>
  <c r="F89" i="86"/>
  <c r="F88" i="86"/>
  <c r="F87" i="86"/>
  <c r="F86" i="86"/>
  <c r="F85" i="86"/>
  <c r="D83" i="86"/>
  <c r="F82" i="86"/>
  <c r="F81" i="86"/>
  <c r="F80" i="86"/>
  <c r="F79" i="86"/>
  <c r="F78" i="86"/>
  <c r="F77" i="86"/>
  <c r="F76" i="86"/>
  <c r="F75" i="86"/>
  <c r="F74" i="86"/>
  <c r="F73" i="86"/>
  <c r="F72" i="86"/>
  <c r="F71" i="86"/>
  <c r="F70" i="86"/>
  <c r="F69" i="86"/>
  <c r="F68" i="86"/>
  <c r="F67" i="86"/>
  <c r="F66" i="86"/>
  <c r="F65" i="86"/>
  <c r="F64" i="86"/>
  <c r="F63" i="86"/>
  <c r="F62" i="86"/>
  <c r="F61" i="86"/>
  <c r="F60" i="86"/>
  <c r="F59" i="86"/>
  <c r="F58" i="86"/>
  <c r="F57" i="86"/>
  <c r="F56" i="86"/>
  <c r="F55" i="86"/>
  <c r="F54" i="86"/>
  <c r="F53" i="86"/>
  <c r="F52" i="86"/>
  <c r="F51" i="86"/>
  <c r="F50" i="86"/>
  <c r="F49" i="86"/>
  <c r="F48" i="86"/>
  <c r="F47" i="86"/>
  <c r="F46" i="86"/>
  <c r="F45" i="86"/>
  <c r="F44" i="86"/>
  <c r="F43" i="86"/>
  <c r="F42" i="86"/>
  <c r="F41" i="86"/>
  <c r="F40" i="86"/>
  <c r="F39" i="86"/>
  <c r="F38" i="86"/>
  <c r="F37" i="86"/>
  <c r="F36" i="86"/>
  <c r="F35" i="86"/>
  <c r="F34" i="86"/>
  <c r="F33" i="86"/>
  <c r="F32" i="86"/>
  <c r="F31" i="86"/>
  <c r="F30" i="86"/>
  <c r="F29" i="86"/>
  <c r="F28" i="86"/>
  <c r="F27" i="86"/>
  <c r="F26" i="86"/>
  <c r="F25" i="86"/>
  <c r="F24" i="86"/>
  <c r="F23" i="86"/>
  <c r="F22" i="86"/>
  <c r="F21" i="86"/>
  <c r="F20" i="86"/>
  <c r="F19" i="86"/>
  <c r="F18" i="86"/>
  <c r="F17" i="86"/>
  <c r="F16" i="86"/>
  <c r="F15" i="86"/>
  <c r="F14" i="86"/>
  <c r="F13" i="86"/>
  <c r="D257" i="85"/>
  <c r="F256" i="85"/>
  <c r="F255" i="85"/>
  <c r="F254" i="85"/>
  <c r="F253" i="85"/>
  <c r="F252" i="85"/>
  <c r="F251" i="85"/>
  <c r="F250" i="85"/>
  <c r="F249" i="85"/>
  <c r="F248" i="85"/>
  <c r="D246" i="85"/>
  <c r="F245" i="85"/>
  <c r="F244" i="85"/>
  <c r="F243" i="85"/>
  <c r="F242" i="85"/>
  <c r="G241" i="85"/>
  <c r="F241" i="85"/>
  <c r="F240" i="85"/>
  <c r="F239" i="85"/>
  <c r="F238" i="85"/>
  <c r="F237" i="85"/>
  <c r="F236" i="85"/>
  <c r="F235" i="85"/>
  <c r="F234" i="85"/>
  <c r="G233" i="85"/>
  <c r="F233" i="85"/>
  <c r="G232" i="85"/>
  <c r="F232" i="85"/>
  <c r="F231" i="85"/>
  <c r="G230" i="85"/>
  <c r="F230" i="85"/>
  <c r="F229" i="85"/>
  <c r="F228" i="85"/>
  <c r="G227" i="85"/>
  <c r="F227" i="85"/>
  <c r="F226" i="85"/>
  <c r="F225" i="85"/>
  <c r="F224" i="85"/>
  <c r="F223" i="85"/>
  <c r="F222" i="85"/>
  <c r="F221" i="85"/>
  <c r="G220" i="85"/>
  <c r="F220" i="85"/>
  <c r="F219" i="85"/>
  <c r="G218" i="85"/>
  <c r="F218" i="85"/>
  <c r="F217" i="85"/>
  <c r="F216" i="85"/>
  <c r="F215" i="85"/>
  <c r="F214" i="85"/>
  <c r="F213" i="85"/>
  <c r="F212" i="85"/>
  <c r="F211" i="85"/>
  <c r="F210" i="85"/>
  <c r="F209" i="85"/>
  <c r="F208" i="85"/>
  <c r="F207" i="85"/>
  <c r="F206" i="85"/>
  <c r="F205" i="85"/>
  <c r="F204" i="85"/>
  <c r="F203" i="85"/>
  <c r="F202" i="85"/>
  <c r="G201" i="85"/>
  <c r="F201" i="85"/>
  <c r="G200" i="85"/>
  <c r="F200" i="85"/>
  <c r="F199" i="85"/>
  <c r="F198" i="85"/>
  <c r="G197" i="85"/>
  <c r="F197" i="85"/>
  <c r="G196" i="85"/>
  <c r="F196" i="85"/>
  <c r="F195" i="85"/>
  <c r="F194" i="85"/>
  <c r="F193" i="85"/>
  <c r="F192" i="85"/>
  <c r="F191" i="85"/>
  <c r="F190" i="85"/>
  <c r="F189" i="85"/>
  <c r="G188" i="85"/>
  <c r="F188" i="85"/>
  <c r="F187" i="85"/>
  <c r="G186" i="85"/>
  <c r="F186" i="85"/>
  <c r="G185" i="85"/>
  <c r="F185" i="85"/>
  <c r="G184" i="85"/>
  <c r="F184" i="85"/>
  <c r="F183" i="85"/>
  <c r="G182" i="85"/>
  <c r="F182" i="85"/>
  <c r="F181" i="85"/>
  <c r="F180" i="85"/>
  <c r="F179" i="85"/>
  <c r="F178" i="85"/>
  <c r="F177" i="85"/>
  <c r="F176" i="85"/>
  <c r="F175" i="85"/>
  <c r="F174" i="85"/>
  <c r="F173" i="85"/>
  <c r="F172" i="85"/>
  <c r="G171" i="85"/>
  <c r="F171" i="85"/>
  <c r="F170" i="85"/>
  <c r="F169" i="85"/>
  <c r="F168" i="85"/>
  <c r="F167" i="85"/>
  <c r="F166" i="85"/>
  <c r="G165" i="85"/>
  <c r="F165" i="85"/>
  <c r="F164" i="85"/>
  <c r="F163" i="85"/>
  <c r="G162" i="85"/>
  <c r="F162" i="85"/>
  <c r="F161" i="85"/>
  <c r="F160" i="85"/>
  <c r="G159" i="85"/>
  <c r="F159" i="85"/>
  <c r="F158" i="85"/>
  <c r="F157" i="85"/>
  <c r="G156" i="85"/>
  <c r="F156" i="85"/>
  <c r="F155" i="85"/>
  <c r="F154" i="85"/>
  <c r="F153" i="85"/>
  <c r="F152" i="85"/>
  <c r="F151" i="85"/>
  <c r="F150" i="85"/>
  <c r="F149" i="85"/>
  <c r="F148" i="85"/>
  <c r="F147" i="85"/>
  <c r="F146" i="85"/>
  <c r="F145" i="85"/>
  <c r="F144" i="85"/>
  <c r="F143" i="85"/>
  <c r="G142" i="85"/>
  <c r="F142" i="85"/>
  <c r="G141" i="85"/>
  <c r="F141" i="85"/>
  <c r="G140" i="85"/>
  <c r="F140" i="85"/>
  <c r="G139" i="85"/>
  <c r="F139" i="85"/>
  <c r="G138" i="85"/>
  <c r="F138" i="85"/>
  <c r="F137" i="85"/>
  <c r="G136" i="85"/>
  <c r="F136" i="85"/>
  <c r="G135" i="85"/>
  <c r="F135" i="85"/>
  <c r="G134" i="85"/>
  <c r="F134" i="85"/>
  <c r="G133" i="85"/>
  <c r="F133" i="85"/>
  <c r="F132" i="85"/>
  <c r="D128" i="85"/>
  <c r="D129" i="85" s="1"/>
  <c r="F127" i="85"/>
  <c r="F126" i="85"/>
  <c r="F125" i="85"/>
  <c r="F124" i="85"/>
  <c r="F123" i="85"/>
  <c r="F122" i="85"/>
  <c r="F121" i="85"/>
  <c r="F120" i="85"/>
  <c r="F119" i="85"/>
  <c r="F118" i="85"/>
  <c r="G116" i="85"/>
  <c r="D116" i="85"/>
  <c r="F115" i="85"/>
  <c r="F114" i="85"/>
  <c r="F113" i="85"/>
  <c r="F112" i="85"/>
  <c r="F111" i="85"/>
  <c r="F110" i="85"/>
  <c r="F109" i="85"/>
  <c r="F108" i="85"/>
  <c r="F107" i="85"/>
  <c r="F106" i="85"/>
  <c r="F105" i="85"/>
  <c r="F104" i="85"/>
  <c r="F103" i="85"/>
  <c r="F102" i="85"/>
  <c r="F101" i="85"/>
  <c r="F100" i="85"/>
  <c r="F99" i="85"/>
  <c r="F98" i="85"/>
  <c r="F97" i="85"/>
  <c r="F96" i="85"/>
  <c r="F95" i="85"/>
  <c r="F94" i="85"/>
  <c r="F93" i="85"/>
  <c r="F92" i="85"/>
  <c r="F91" i="85"/>
  <c r="F90" i="85"/>
  <c r="F89" i="85"/>
  <c r="F88" i="85"/>
  <c r="F87" i="85"/>
  <c r="F86" i="85"/>
  <c r="F85" i="85"/>
  <c r="F84" i="85"/>
  <c r="F83" i="85"/>
  <c r="F82" i="85"/>
  <c r="F81" i="85"/>
  <c r="F80" i="85"/>
  <c r="F79" i="85"/>
  <c r="F78" i="85"/>
  <c r="F77" i="85"/>
  <c r="F76" i="85"/>
  <c r="F75" i="85"/>
  <c r="F74" i="85"/>
  <c r="F73" i="85"/>
  <c r="F72" i="85"/>
  <c r="F71" i="85"/>
  <c r="F70" i="85"/>
  <c r="F69" i="85"/>
  <c r="F68" i="85"/>
  <c r="F67" i="85"/>
  <c r="F66" i="85"/>
  <c r="F65" i="85"/>
  <c r="F64" i="85"/>
  <c r="F63" i="85"/>
  <c r="F62" i="85"/>
  <c r="F61" i="85"/>
  <c r="F60" i="85"/>
  <c r="F59" i="85"/>
  <c r="F58" i="85"/>
  <c r="F57" i="85"/>
  <c r="F56" i="85"/>
  <c r="F55" i="85"/>
  <c r="F54" i="85"/>
  <c r="F53" i="85"/>
  <c r="F52" i="85"/>
  <c r="F51" i="85"/>
  <c r="F50" i="85"/>
  <c r="F49" i="85"/>
  <c r="F48" i="85"/>
  <c r="F47" i="85"/>
  <c r="F46" i="85"/>
  <c r="F45" i="85"/>
  <c r="F44" i="85"/>
  <c r="F43" i="85"/>
  <c r="F42" i="85"/>
  <c r="F41" i="85"/>
  <c r="F40" i="85"/>
  <c r="F39" i="85"/>
  <c r="F38" i="85"/>
  <c r="F37" i="85"/>
  <c r="F36" i="85"/>
  <c r="F35" i="85"/>
  <c r="F34" i="85"/>
  <c r="F33" i="85"/>
  <c r="F32" i="85"/>
  <c r="F31" i="85"/>
  <c r="F30" i="85"/>
  <c r="F29" i="85"/>
  <c r="F28" i="85"/>
  <c r="F27" i="85"/>
  <c r="F26" i="85"/>
  <c r="F25" i="85"/>
  <c r="F24" i="85"/>
  <c r="F23" i="85"/>
  <c r="F22" i="85"/>
  <c r="F21" i="85"/>
  <c r="F20" i="85"/>
  <c r="F19" i="85"/>
  <c r="F18" i="85"/>
  <c r="F17" i="85"/>
  <c r="F16" i="85"/>
  <c r="F15" i="85"/>
  <c r="F14" i="85"/>
  <c r="F13" i="85"/>
  <c r="D162" i="7" l="1"/>
  <c r="D143" i="7"/>
  <c r="G111" i="7"/>
  <c r="G143" i="7" s="1"/>
  <c r="K161" i="7"/>
  <c r="T216" i="7"/>
  <c r="I155" i="7"/>
  <c r="I162" i="7" s="1"/>
  <c r="Q155" i="7"/>
  <c r="V162" i="7"/>
  <c r="T162" i="7"/>
  <c r="L162" i="7"/>
  <c r="U162" i="7"/>
  <c r="J162" i="7"/>
  <c r="N216" i="7"/>
  <c r="M155" i="7"/>
  <c r="L216" i="7"/>
  <c r="M202" i="7"/>
  <c r="L143" i="7"/>
  <c r="M111" i="7"/>
  <c r="T143" i="7"/>
  <c r="U216" i="7"/>
  <c r="P162" i="7"/>
  <c r="M142" i="7"/>
  <c r="G202" i="7"/>
  <c r="G216" i="7" s="1"/>
  <c r="S155" i="7"/>
  <c r="S162" i="7" s="1"/>
  <c r="U111" i="7"/>
  <c r="U143" i="7" s="1"/>
  <c r="M215" i="7"/>
  <c r="O202" i="7"/>
  <c r="O216" i="7" s="1"/>
  <c r="K155" i="7"/>
  <c r="G155" i="7"/>
  <c r="G162" i="7" s="1"/>
  <c r="F215" i="7"/>
  <c r="F142" i="7"/>
  <c r="F155" i="7"/>
  <c r="D216" i="7"/>
  <c r="W162" i="7"/>
  <c r="V216" i="7"/>
  <c r="W111" i="7"/>
  <c r="W143" i="7" s="1"/>
  <c r="V143" i="7"/>
  <c r="F202" i="7"/>
  <c r="F111" i="7"/>
  <c r="W216" i="7"/>
  <c r="F23" i="88"/>
  <c r="F28" i="88"/>
  <c r="F29" i="88" s="1"/>
  <c r="G28" i="88"/>
  <c r="G29" i="88" s="1"/>
  <c r="F26" i="87"/>
  <c r="G22" i="87"/>
  <c r="F22" i="87"/>
  <c r="F18" i="87"/>
  <c r="G26" i="87"/>
  <c r="D117" i="86"/>
  <c r="D94" i="86"/>
  <c r="G83" i="86"/>
  <c r="G94" i="86" s="1"/>
  <c r="F108" i="86"/>
  <c r="F116" i="86" s="1"/>
  <c r="F93" i="86"/>
  <c r="G106" i="86"/>
  <c r="G117" i="86" s="1"/>
  <c r="F156" i="86"/>
  <c r="D157" i="86"/>
  <c r="F83" i="86"/>
  <c r="F106" i="86"/>
  <c r="F137" i="86"/>
  <c r="G137" i="86"/>
  <c r="G157" i="86" s="1"/>
  <c r="F257" i="85"/>
  <c r="G129" i="85"/>
  <c r="D258" i="85"/>
  <c r="D259" i="85" s="1"/>
  <c r="F116" i="85"/>
  <c r="F128" i="85"/>
  <c r="F129" i="85" s="1"/>
  <c r="G246" i="85"/>
  <c r="G258" i="85" s="1"/>
  <c r="F246" i="85"/>
  <c r="F258" i="85" s="1"/>
  <c r="F259" i="85" s="1"/>
  <c r="E137" i="82"/>
  <c r="G136" i="82"/>
  <c r="G135" i="82"/>
  <c r="G134" i="82"/>
  <c r="G133" i="82"/>
  <c r="G132" i="82"/>
  <c r="G131" i="82"/>
  <c r="G130" i="82"/>
  <c r="G129" i="82"/>
  <c r="G128" i="82"/>
  <c r="G127" i="82"/>
  <c r="G126" i="82"/>
  <c r="G125" i="82"/>
  <c r="G124" i="82"/>
  <c r="G123" i="82"/>
  <c r="G122" i="82"/>
  <c r="G121" i="82"/>
  <c r="G120" i="82"/>
  <c r="G119" i="82"/>
  <c r="G118" i="82"/>
  <c r="G117" i="82"/>
  <c r="G116" i="82"/>
  <c r="G115" i="82"/>
  <c r="E113" i="82"/>
  <c r="H112" i="82"/>
  <c r="G112" i="82"/>
  <c r="H111" i="82"/>
  <c r="G111" i="82"/>
  <c r="G110" i="82"/>
  <c r="G109" i="82"/>
  <c r="G108" i="82"/>
  <c r="G107" i="82"/>
  <c r="G106" i="82"/>
  <c r="G105" i="82"/>
  <c r="G104" i="82"/>
  <c r="G103" i="82"/>
  <c r="G102" i="82"/>
  <c r="G101" i="82"/>
  <c r="G100" i="82"/>
  <c r="G99" i="82"/>
  <c r="G98" i="82"/>
  <c r="G97" i="82"/>
  <c r="G96" i="82"/>
  <c r="G95" i="82"/>
  <c r="G94" i="82"/>
  <c r="G93" i="82"/>
  <c r="G92" i="82"/>
  <c r="G91" i="82"/>
  <c r="G90" i="82"/>
  <c r="G89" i="82"/>
  <c r="G88" i="82"/>
  <c r="G87" i="82"/>
  <c r="H86" i="82"/>
  <c r="G86" i="82"/>
  <c r="G85" i="82"/>
  <c r="G84" i="82"/>
  <c r="H83" i="82"/>
  <c r="G83" i="82"/>
  <c r="G82" i="82"/>
  <c r="G81" i="82"/>
  <c r="G80" i="82"/>
  <c r="H79" i="82"/>
  <c r="G79" i="82"/>
  <c r="G78" i="82"/>
  <c r="G77" i="82"/>
  <c r="G76" i="82"/>
  <c r="G75" i="82"/>
  <c r="G74" i="82"/>
  <c r="G73" i="82"/>
  <c r="G72" i="82"/>
  <c r="G71" i="82"/>
  <c r="G70" i="82"/>
  <c r="H69" i="82"/>
  <c r="G69" i="82"/>
  <c r="G68" i="82"/>
  <c r="G67" i="82"/>
  <c r="G66" i="82"/>
  <c r="G65" i="82"/>
  <c r="G64" i="82"/>
  <c r="G63" i="82"/>
  <c r="G62" i="82"/>
  <c r="G61" i="82"/>
  <c r="G60" i="82"/>
  <c r="G59" i="82"/>
  <c r="G58" i="82"/>
  <c r="G57" i="82"/>
  <c r="G56" i="82"/>
  <c r="G55" i="82"/>
  <c r="G54" i="82"/>
  <c r="G53" i="82"/>
  <c r="G52" i="82"/>
  <c r="G51" i="82"/>
  <c r="G50" i="82"/>
  <c r="G49" i="82"/>
  <c r="G48" i="82"/>
  <c r="G47" i="82"/>
  <c r="G46" i="82"/>
  <c r="G45" i="82"/>
  <c r="G44" i="82"/>
  <c r="G43" i="82"/>
  <c r="G42" i="82"/>
  <c r="G41" i="82"/>
  <c r="G40" i="82"/>
  <c r="G39" i="82"/>
  <c r="G38" i="82"/>
  <c r="G37" i="82"/>
  <c r="G36" i="82"/>
  <c r="G35" i="82"/>
  <c r="G34" i="82"/>
  <c r="G33" i="82"/>
  <c r="G32" i="82"/>
  <c r="G31" i="82"/>
  <c r="G30" i="82"/>
  <c r="G29" i="82"/>
  <c r="G28" i="82"/>
  <c r="G27" i="82"/>
  <c r="G26" i="82"/>
  <c r="G25" i="82"/>
  <c r="G24" i="82"/>
  <c r="G23" i="82"/>
  <c r="G22" i="82"/>
  <c r="G21" i="82"/>
  <c r="G20" i="82"/>
  <c r="G19" i="82"/>
  <c r="G18" i="82"/>
  <c r="G17" i="82"/>
  <c r="G16" i="82"/>
  <c r="G15" i="82"/>
  <c r="G14" i="82"/>
  <c r="G13" i="82"/>
  <c r="E15" i="81"/>
  <c r="G14" i="81"/>
  <c r="G13" i="81"/>
  <c r="E22" i="80"/>
  <c r="G21" i="80"/>
  <c r="G20" i="80"/>
  <c r="G19" i="80"/>
  <c r="E17" i="80"/>
  <c r="G16" i="80"/>
  <c r="G15" i="80"/>
  <c r="G14" i="80"/>
  <c r="G13" i="80"/>
  <c r="H25" i="79"/>
  <c r="H26" i="79"/>
  <c r="H27" i="79"/>
  <c r="E27" i="79"/>
  <c r="G26" i="79"/>
  <c r="G25" i="79"/>
  <c r="G24" i="79"/>
  <c r="G23" i="79"/>
  <c r="G22" i="79"/>
  <c r="G21" i="79"/>
  <c r="G20" i="79"/>
  <c r="G19" i="79"/>
  <c r="G18" i="79"/>
  <c r="G17" i="79"/>
  <c r="G16" i="79"/>
  <c r="G15" i="79"/>
  <c r="G14" i="79"/>
  <c r="G13" i="79"/>
  <c r="D217" i="7" l="1"/>
  <c r="G259" i="85"/>
  <c r="G217" i="7"/>
  <c r="F216" i="7"/>
  <c r="F143" i="7"/>
  <c r="K162" i="7"/>
  <c r="M216" i="7"/>
  <c r="M143" i="7"/>
  <c r="M161" i="7"/>
  <c r="M162" i="7" s="1"/>
  <c r="Q161" i="7"/>
  <c r="Q162" i="7" s="1"/>
  <c r="F161" i="7"/>
  <c r="F162" i="7" s="1"/>
  <c r="G27" i="87"/>
  <c r="F27" i="87"/>
  <c r="G158" i="86"/>
  <c r="D158" i="86"/>
  <c r="F117" i="86"/>
  <c r="F94" i="86"/>
  <c r="F157" i="86"/>
  <c r="E138" i="82"/>
  <c r="G137" i="82"/>
  <c r="G113" i="82"/>
  <c r="H113" i="82"/>
  <c r="H138" i="82" s="1"/>
  <c r="G15" i="81"/>
  <c r="H15" i="81"/>
  <c r="G22" i="80"/>
  <c r="G17" i="80"/>
  <c r="E23" i="80"/>
  <c r="H17" i="80"/>
  <c r="H23" i="80" s="1"/>
  <c r="G27" i="79"/>
  <c r="H11" i="36"/>
  <c r="H13" i="36"/>
  <c r="H15" i="36"/>
  <c r="H16" i="36"/>
  <c r="H26" i="36"/>
  <c r="H29" i="36"/>
  <c r="H30" i="36"/>
  <c r="H31" i="36"/>
  <c r="H32" i="36"/>
  <c r="H33" i="36"/>
  <c r="H34" i="36"/>
  <c r="H35" i="36"/>
  <c r="H37" i="36"/>
  <c r="H38" i="36"/>
  <c r="G11" i="36"/>
  <c r="G13" i="36"/>
  <c r="G15" i="36"/>
  <c r="G16" i="36"/>
  <c r="G26" i="36"/>
  <c r="G29" i="36"/>
  <c r="G30" i="36"/>
  <c r="G31" i="36"/>
  <c r="G32" i="36"/>
  <c r="G33" i="36"/>
  <c r="G34" i="36"/>
  <c r="G35" i="36"/>
  <c r="G36" i="36"/>
  <c r="G37" i="36"/>
  <c r="G38" i="36"/>
  <c r="E38" i="36"/>
  <c r="H19" i="71"/>
  <c r="I19" i="71"/>
  <c r="I18" i="71"/>
  <c r="H18" i="71"/>
  <c r="I17" i="71"/>
  <c r="H17" i="71"/>
  <c r="I16" i="71"/>
  <c r="H16" i="71"/>
  <c r="I15" i="71"/>
  <c r="H15" i="71"/>
  <c r="I14" i="71"/>
  <c r="H14" i="71"/>
  <c r="I13" i="71"/>
  <c r="H13" i="71"/>
  <c r="I12" i="71"/>
  <c r="H12" i="71"/>
  <c r="H22" i="76"/>
  <c r="I22" i="76"/>
  <c r="J22" i="76"/>
  <c r="H21" i="76"/>
  <c r="H20" i="76"/>
  <c r="H19" i="76"/>
  <c r="H18" i="76"/>
  <c r="H17" i="76"/>
  <c r="H16" i="76"/>
  <c r="H15" i="76"/>
  <c r="H14" i="76"/>
  <c r="H13" i="76"/>
  <c r="H12" i="76"/>
  <c r="I18" i="78"/>
  <c r="H18" i="78"/>
  <c r="E17" i="6"/>
  <c r="G29" i="75"/>
  <c r="D29" i="75"/>
  <c r="E28" i="75"/>
  <c r="E27" i="75"/>
  <c r="E26" i="75"/>
  <c r="E25" i="75"/>
  <c r="E24" i="75"/>
  <c r="E23" i="75"/>
  <c r="E22" i="75"/>
  <c r="E21" i="75"/>
  <c r="E20" i="75"/>
  <c r="F19" i="75"/>
  <c r="F18" i="75"/>
  <c r="F17" i="75"/>
  <c r="F16" i="75"/>
  <c r="F15" i="75"/>
  <c r="F14" i="75"/>
  <c r="F13" i="75"/>
  <c r="F12" i="75"/>
  <c r="F11" i="75"/>
  <c r="F29" i="75"/>
  <c r="G22" i="76"/>
  <c r="E11" i="77"/>
  <c r="G19" i="71"/>
  <c r="G18" i="78"/>
  <c r="J19" i="71"/>
  <c r="E12" i="73"/>
  <c r="E11" i="73"/>
  <c r="J18" i="78"/>
  <c r="G13" i="25"/>
  <c r="G14" i="25"/>
  <c r="G15" i="25"/>
  <c r="G16" i="25"/>
  <c r="G17" i="25"/>
  <c r="G18" i="25"/>
  <c r="G19" i="25"/>
  <c r="G20" i="25"/>
  <c r="G21" i="25"/>
  <c r="G22" i="25"/>
  <c r="G23" i="25"/>
  <c r="G12" i="25"/>
  <c r="F11" i="68"/>
  <c r="F11" i="69"/>
  <c r="G13" i="66"/>
  <c r="F13" i="66"/>
  <c r="D13" i="66"/>
  <c r="F12" i="66"/>
  <c r="F11" i="66"/>
  <c r="F11" i="47"/>
  <c r="F11" i="48"/>
  <c r="G13" i="49"/>
  <c r="F13" i="49"/>
  <c r="D13" i="49"/>
  <c r="F12" i="49"/>
  <c r="F11" i="49"/>
  <c r="F11" i="50"/>
  <c r="F11" i="51"/>
  <c r="F11" i="52"/>
  <c r="F11" i="53"/>
  <c r="F11" i="54"/>
  <c r="G14" i="55"/>
  <c r="F14" i="55"/>
  <c r="D14" i="55"/>
  <c r="F12" i="55"/>
  <c r="F13" i="55"/>
  <c r="F11" i="55"/>
  <c r="F11" i="56"/>
  <c r="F11" i="57"/>
  <c r="F11" i="58"/>
  <c r="F11" i="59"/>
  <c r="F11" i="60"/>
  <c r="G11" i="61"/>
  <c r="F11" i="61"/>
  <c r="G11" i="62"/>
  <c r="F11" i="62"/>
  <c r="G11" i="63"/>
  <c r="F11" i="63"/>
  <c r="E14" i="29"/>
  <c r="H13" i="29"/>
  <c r="G13" i="29"/>
  <c r="H12" i="29"/>
  <c r="G12" i="29"/>
  <c r="G14" i="29"/>
  <c r="H11" i="29"/>
  <c r="H14" i="29"/>
  <c r="G11" i="29"/>
  <c r="E24" i="37"/>
  <c r="H23" i="37"/>
  <c r="H24" i="37"/>
  <c r="G23" i="37"/>
  <c r="H22" i="37"/>
  <c r="G22" i="37"/>
  <c r="G24" i="37"/>
  <c r="H20" i="37"/>
  <c r="E20" i="37"/>
  <c r="H19" i="37"/>
  <c r="G19" i="37"/>
  <c r="G20" i="37"/>
  <c r="E17" i="37"/>
  <c r="H16" i="37"/>
  <c r="H17" i="37"/>
  <c r="G16" i="37"/>
  <c r="G17" i="37"/>
  <c r="E14" i="37"/>
  <c r="H13" i="37"/>
  <c r="G13" i="37"/>
  <c r="H12" i="37"/>
  <c r="G12" i="37"/>
  <c r="G14" i="37"/>
  <c r="G25" i="37"/>
  <c r="E21" i="35"/>
  <c r="H20" i="35"/>
  <c r="G20" i="35"/>
  <c r="H19" i="35"/>
  <c r="G19" i="35"/>
  <c r="H18" i="35"/>
  <c r="H21" i="35"/>
  <c r="G18" i="35"/>
  <c r="E16" i="35"/>
  <c r="H15" i="35"/>
  <c r="G15" i="35"/>
  <c r="G16" i="35" s="1"/>
  <c r="G22" i="35" s="1"/>
  <c r="H14" i="35"/>
  <c r="G14" i="35"/>
  <c r="H13" i="35"/>
  <c r="H16" i="35"/>
  <c r="H22" i="35" s="1"/>
  <c r="G13" i="35"/>
  <c r="E90" i="4"/>
  <c r="H89" i="4"/>
  <c r="G89" i="4"/>
  <c r="H88" i="4"/>
  <c r="G88" i="4"/>
  <c r="H87" i="4"/>
  <c r="G87" i="4"/>
  <c r="H86" i="4"/>
  <c r="G86" i="4"/>
  <c r="H85" i="4"/>
  <c r="G85" i="4"/>
  <c r="H84" i="4"/>
  <c r="G84" i="4"/>
  <c r="H83" i="4"/>
  <c r="G83" i="4"/>
  <c r="H82" i="4"/>
  <c r="G82" i="4"/>
  <c r="H81" i="4"/>
  <c r="G81" i="4"/>
  <c r="H80" i="4"/>
  <c r="G80" i="4"/>
  <c r="H79" i="4"/>
  <c r="G79" i="4"/>
  <c r="H78" i="4"/>
  <c r="G78" i="4"/>
  <c r="H77" i="4"/>
  <c r="G77" i="4"/>
  <c r="H76" i="4"/>
  <c r="G76" i="4"/>
  <c r="H75" i="4"/>
  <c r="G75" i="4"/>
  <c r="H74" i="4"/>
  <c r="G74" i="4"/>
  <c r="H73" i="4"/>
  <c r="G73" i="4"/>
  <c r="H72" i="4"/>
  <c r="G72" i="4"/>
  <c r="H71" i="4"/>
  <c r="G71" i="4"/>
  <c r="H70" i="4"/>
  <c r="G70" i="4"/>
  <c r="H69" i="4"/>
  <c r="G69" i="4"/>
  <c r="H68" i="4"/>
  <c r="G68" i="4"/>
  <c r="H67" i="4"/>
  <c r="G67" i="4"/>
  <c r="H66" i="4"/>
  <c r="G66" i="4"/>
  <c r="H65" i="4"/>
  <c r="G65" i="4"/>
  <c r="H64" i="4"/>
  <c r="G64" i="4"/>
  <c r="H63" i="4"/>
  <c r="G63" i="4"/>
  <c r="H62" i="4"/>
  <c r="G62" i="4"/>
  <c r="H61" i="4"/>
  <c r="G61" i="4"/>
  <c r="H60" i="4"/>
  <c r="G60" i="4"/>
  <c r="H59" i="4"/>
  <c r="G59" i="4"/>
  <c r="H58" i="4"/>
  <c r="G58" i="4"/>
  <c r="H57" i="4"/>
  <c r="G57" i="4"/>
  <c r="H56" i="4"/>
  <c r="G56" i="4"/>
  <c r="H55" i="4"/>
  <c r="G55" i="4"/>
  <c r="H54" i="4"/>
  <c r="G54" i="4"/>
  <c r="H53" i="4"/>
  <c r="G53" i="4"/>
  <c r="H52" i="4"/>
  <c r="G52" i="4"/>
  <c r="H51" i="4"/>
  <c r="G51" i="4"/>
  <c r="H50" i="4"/>
  <c r="G50" i="4"/>
  <c r="H49" i="4"/>
  <c r="G49" i="4"/>
  <c r="H48" i="4"/>
  <c r="G48" i="4"/>
  <c r="H47" i="4"/>
  <c r="G47" i="4"/>
  <c r="H46" i="4"/>
  <c r="G46" i="4"/>
  <c r="H45" i="4"/>
  <c r="G45" i="4"/>
  <c r="H44" i="4"/>
  <c r="G44" i="4"/>
  <c r="H43" i="4"/>
  <c r="G43" i="4"/>
  <c r="H42" i="4"/>
  <c r="G42" i="4"/>
  <c r="H41" i="4"/>
  <c r="G41" i="4"/>
  <c r="H40" i="4"/>
  <c r="G40" i="4"/>
  <c r="H39" i="4"/>
  <c r="G39" i="4"/>
  <c r="H38" i="4"/>
  <c r="G38" i="4"/>
  <c r="H37" i="4"/>
  <c r="G37" i="4"/>
  <c r="H36" i="4"/>
  <c r="G36" i="4"/>
  <c r="H35" i="4"/>
  <c r="H90" i="4" s="1"/>
  <c r="G35" i="4"/>
  <c r="G90" i="4" s="1"/>
  <c r="E91" i="4"/>
  <c r="G19" i="4"/>
  <c r="H18" i="4"/>
  <c r="G18" i="4"/>
  <c r="H17" i="4"/>
  <c r="G17" i="4"/>
  <c r="G16" i="4"/>
  <c r="G15" i="4"/>
  <c r="G14" i="4"/>
  <c r="G13" i="4"/>
  <c r="G91" i="4" s="1"/>
  <c r="H12" i="4"/>
  <c r="G12" i="4"/>
  <c r="H15" i="13"/>
  <c r="G15" i="13"/>
  <c r="H14" i="13"/>
  <c r="G14" i="13"/>
  <c r="H13" i="13"/>
  <c r="G13" i="13"/>
  <c r="H12" i="13"/>
  <c r="G12" i="13"/>
  <c r="H11" i="13"/>
  <c r="G11" i="13"/>
  <c r="E44" i="14"/>
  <c r="H43" i="14"/>
  <c r="G43" i="14"/>
  <c r="H42" i="14"/>
  <c r="G42" i="14"/>
  <c r="H41" i="14"/>
  <c r="G41" i="14"/>
  <c r="H40" i="14"/>
  <c r="G40" i="14"/>
  <c r="H39" i="14"/>
  <c r="G39" i="14"/>
  <c r="H38" i="14"/>
  <c r="G38" i="14"/>
  <c r="H37" i="14"/>
  <c r="G37" i="14"/>
  <c r="H36" i="14"/>
  <c r="G36" i="14"/>
  <c r="H35" i="14"/>
  <c r="G35" i="14"/>
  <c r="H34" i="14"/>
  <c r="G34" i="14"/>
  <c r="H33" i="14"/>
  <c r="G33" i="14"/>
  <c r="H32" i="14"/>
  <c r="G32" i="14"/>
  <c r="H31" i="14"/>
  <c r="G31" i="14"/>
  <c r="H30" i="14"/>
  <c r="G30" i="14"/>
  <c r="H29" i="14"/>
  <c r="G29" i="14"/>
  <c r="H28" i="14"/>
  <c r="G28" i="14"/>
  <c r="H27" i="14"/>
  <c r="G27" i="14"/>
  <c r="H26" i="14"/>
  <c r="G26" i="14"/>
  <c r="H25" i="14"/>
  <c r="G25" i="14"/>
  <c r="H24" i="14"/>
  <c r="G24" i="14"/>
  <c r="H23" i="14"/>
  <c r="G23" i="14"/>
  <c r="H22" i="14"/>
  <c r="H44" i="14" s="1"/>
  <c r="G22" i="14"/>
  <c r="H21" i="14"/>
  <c r="G21" i="14"/>
  <c r="G44" i="14" s="1"/>
  <c r="H12" i="14"/>
  <c r="G12" i="14"/>
  <c r="H14" i="15"/>
  <c r="G14" i="15"/>
  <c r="H13" i="15"/>
  <c r="G13" i="15"/>
  <c r="H12" i="15"/>
  <c r="G12" i="15"/>
  <c r="H11" i="15"/>
  <c r="G11" i="15"/>
  <c r="E16" i="16"/>
  <c r="H15" i="16"/>
  <c r="G15" i="16"/>
  <c r="H14" i="16"/>
  <c r="G14" i="16"/>
  <c r="H13" i="16"/>
  <c r="G13" i="16"/>
  <c r="H12" i="16"/>
  <c r="G12" i="16"/>
  <c r="H11" i="16"/>
  <c r="H16" i="16"/>
  <c r="G11" i="16"/>
  <c r="E16" i="17"/>
  <c r="H15" i="17"/>
  <c r="G15" i="17"/>
  <c r="H14" i="17"/>
  <c r="G14" i="17"/>
  <c r="H13" i="17"/>
  <c r="G13" i="17"/>
  <c r="H12" i="17"/>
  <c r="H16" i="17"/>
  <c r="G12" i="17"/>
  <c r="H11" i="17"/>
  <c r="G11" i="17"/>
  <c r="G16" i="17"/>
  <c r="H12" i="18"/>
  <c r="G12" i="18"/>
  <c r="E12" i="18"/>
  <c r="H11" i="18"/>
  <c r="G11" i="18"/>
  <c r="H12" i="20"/>
  <c r="G12" i="20"/>
  <c r="E12" i="20"/>
  <c r="H11" i="20"/>
  <c r="G11" i="20"/>
  <c r="E22" i="21"/>
  <c r="E23" i="21"/>
  <c r="H21" i="21"/>
  <c r="G21" i="21"/>
  <c r="H20" i="21"/>
  <c r="G20" i="21"/>
  <c r="H19" i="21"/>
  <c r="G19" i="21"/>
  <c r="H18" i="21"/>
  <c r="H22" i="21"/>
  <c r="G18" i="21"/>
  <c r="G22" i="21"/>
  <c r="E16" i="21"/>
  <c r="H15" i="21"/>
  <c r="G15" i="21"/>
  <c r="H14" i="21"/>
  <c r="G14" i="21"/>
  <c r="H13" i="21"/>
  <c r="G13" i="21"/>
  <c r="H12" i="21"/>
  <c r="H16" i="21"/>
  <c r="H23" i="21"/>
  <c r="G12" i="21"/>
  <c r="H12" i="22"/>
  <c r="G12" i="22"/>
  <c r="E12" i="22"/>
  <c r="H11" i="22"/>
  <c r="G11" i="22"/>
  <c r="H42" i="23"/>
  <c r="E42" i="23"/>
  <c r="G41" i="23"/>
  <c r="G40" i="23"/>
  <c r="G39" i="23"/>
  <c r="G38" i="23"/>
  <c r="G37" i="23"/>
  <c r="G36" i="23"/>
  <c r="G35" i="23"/>
  <c r="G34" i="23"/>
  <c r="G33" i="23"/>
  <c r="E43" i="23"/>
  <c r="H19" i="23"/>
  <c r="G19" i="23"/>
  <c r="H18" i="23"/>
  <c r="G18" i="23"/>
  <c r="H17" i="23"/>
  <c r="G17" i="23"/>
  <c r="H16" i="23"/>
  <c r="G16" i="23"/>
  <c r="H15" i="23"/>
  <c r="G15" i="23"/>
  <c r="H14" i="23"/>
  <c r="G14" i="23"/>
  <c r="H13" i="23"/>
  <c r="G13" i="23"/>
  <c r="H12" i="23"/>
  <c r="H43" i="23" s="1"/>
  <c r="G12" i="23"/>
  <c r="H13" i="24"/>
  <c r="G13" i="24"/>
  <c r="H12" i="24"/>
  <c r="G12" i="24"/>
  <c r="H11" i="24"/>
  <c r="G11" i="24"/>
  <c r="G16" i="6"/>
  <c r="E22" i="35"/>
  <c r="G21" i="35"/>
  <c r="E25" i="37"/>
  <c r="H14" i="37"/>
  <c r="H25" i="37"/>
  <c r="G16" i="16"/>
  <c r="G16" i="21"/>
  <c r="G23" i="21"/>
  <c r="G43" i="23"/>
  <c r="G42" i="23"/>
  <c r="H14" i="5"/>
  <c r="G14" i="5"/>
  <c r="E14" i="5"/>
  <c r="G12" i="5"/>
  <c r="G13" i="5"/>
  <c r="G11" i="5"/>
  <c r="G15" i="6"/>
  <c r="G14" i="6"/>
  <c r="G13" i="6"/>
  <c r="G12" i="6"/>
  <c r="H17" i="6"/>
  <c r="G11" i="6"/>
  <c r="G17" i="6" s="1"/>
  <c r="G11" i="8"/>
  <c r="H23" i="27"/>
  <c r="H42" i="27"/>
  <c r="G40" i="27"/>
  <c r="G39" i="27"/>
  <c r="G38" i="27"/>
  <c r="G37" i="27"/>
  <c r="G36" i="27"/>
  <c r="G35" i="27"/>
  <c r="G34" i="27"/>
  <c r="G33" i="27"/>
  <c r="G32" i="27"/>
  <c r="G31" i="27"/>
  <c r="G30" i="27"/>
  <c r="G29" i="27"/>
  <c r="G28" i="27"/>
  <c r="G27" i="27"/>
  <c r="G26" i="27"/>
  <c r="G25" i="27"/>
  <c r="G22" i="27"/>
  <c r="G21" i="27"/>
  <c r="G20" i="27"/>
  <c r="G19" i="27"/>
  <c r="G18" i="27"/>
  <c r="G17" i="27"/>
  <c r="G16" i="27"/>
  <c r="G15" i="27"/>
  <c r="G14" i="27"/>
  <c r="G13" i="27"/>
  <c r="G12" i="27"/>
  <c r="G23" i="27"/>
  <c r="G35" i="28"/>
  <c r="G20" i="28"/>
  <c r="G33" i="28"/>
  <c r="G32" i="28"/>
  <c r="G31" i="28"/>
  <c r="G30" i="28"/>
  <c r="G29" i="28"/>
  <c r="G28" i="28"/>
  <c r="G27" i="28"/>
  <c r="G26" i="28"/>
  <c r="G25" i="28"/>
  <c r="G24" i="28"/>
  <c r="G23" i="28"/>
  <c r="G22" i="28"/>
  <c r="G34" i="28"/>
  <c r="H20" i="28"/>
  <c r="H35" i="28"/>
  <c r="G19" i="28"/>
  <c r="G18" i="28"/>
  <c r="G17" i="28"/>
  <c r="G16" i="28"/>
  <c r="G15" i="28"/>
  <c r="G14" i="28"/>
  <c r="G13" i="28"/>
  <c r="G12" i="28"/>
  <c r="G36" i="26"/>
  <c r="G35" i="26"/>
  <c r="G34" i="26"/>
  <c r="G33" i="26"/>
  <c r="G32" i="26"/>
  <c r="G31" i="26"/>
  <c r="G30" i="26"/>
  <c r="G29" i="26"/>
  <c r="G28" i="26"/>
  <c r="G27" i="26"/>
  <c r="G26" i="26"/>
  <c r="G25" i="26"/>
  <c r="G24" i="26"/>
  <c r="G23" i="26"/>
  <c r="G20" i="26"/>
  <c r="H21" i="26"/>
  <c r="H38" i="26"/>
  <c r="G19" i="26"/>
  <c r="G18" i="26"/>
  <c r="G17" i="26"/>
  <c r="G16" i="26"/>
  <c r="G15" i="26"/>
  <c r="G14" i="26"/>
  <c r="G13" i="26"/>
  <c r="G12" i="26"/>
  <c r="G39" i="25"/>
  <c r="G38" i="25"/>
  <c r="G37" i="25"/>
  <c r="G36" i="25"/>
  <c r="G35" i="25"/>
  <c r="G34" i="25"/>
  <c r="G33" i="25"/>
  <c r="G32" i="25"/>
  <c r="G31" i="25"/>
  <c r="G30" i="25"/>
  <c r="G29" i="25"/>
  <c r="G28" i="25"/>
  <c r="G40" i="25"/>
  <c r="G27" i="25"/>
  <c r="G26" i="25"/>
  <c r="G24" i="25"/>
  <c r="G41" i="25"/>
  <c r="G37" i="26"/>
  <c r="G21" i="26"/>
  <c r="G38" i="26"/>
  <c r="G41" i="27"/>
  <c r="G42" i="27"/>
  <c r="H24" i="25"/>
  <c r="H41" i="25"/>
  <c r="H17" i="9"/>
  <c r="G17" i="9"/>
  <c r="E17" i="9"/>
  <c r="H12" i="10"/>
  <c r="G12" i="10"/>
  <c r="E12" i="10"/>
  <c r="H15" i="11"/>
  <c r="G15" i="11"/>
  <c r="E15" i="11"/>
  <c r="H16" i="12"/>
  <c r="E16" i="12"/>
  <c r="G15" i="12"/>
  <c r="G14" i="12"/>
  <c r="G16" i="12" s="1"/>
  <c r="G13" i="12"/>
  <c r="G12" i="12"/>
  <c r="G11" i="12"/>
  <c r="H38" i="1"/>
  <c r="E38" i="1"/>
  <c r="G37" i="1"/>
  <c r="G36" i="1"/>
  <c r="G35" i="1"/>
  <c r="G38" i="1" s="1"/>
  <c r="G34" i="1"/>
  <c r="G33" i="1"/>
  <c r="G32" i="1"/>
  <c r="G31" i="1"/>
  <c r="G30" i="1"/>
  <c r="G29" i="1"/>
  <c r="G28" i="1"/>
  <c r="G27" i="1"/>
  <c r="G26" i="1"/>
  <c r="G25" i="1"/>
  <c r="G24" i="1"/>
  <c r="G23" i="1"/>
  <c r="G22" i="1"/>
  <c r="G21" i="1"/>
  <c r="G20" i="1"/>
  <c r="G19" i="1"/>
  <c r="G18" i="1"/>
  <c r="G17" i="1"/>
  <c r="G16" i="1"/>
  <c r="G15" i="1"/>
  <c r="G14" i="1"/>
  <c r="G13" i="1"/>
  <c r="G12" i="1"/>
  <c r="G11" i="1"/>
  <c r="F217" i="7" l="1"/>
  <c r="H91" i="4"/>
  <c r="F158" i="86"/>
  <c r="G138" i="82"/>
  <c r="G23" i="80"/>
</calcChain>
</file>

<file path=xl/comments1.xml><?xml version="1.0" encoding="utf-8"?>
<comments xmlns="http://schemas.openxmlformats.org/spreadsheetml/2006/main">
  <authors>
    <author>Author</author>
  </authors>
  <commentList>
    <comment ref="G18" authorId="0">
      <text>
        <r>
          <rPr>
            <b/>
            <sz val="9"/>
            <color indexed="81"/>
            <rFont val="Tahoma"/>
            <family val="2"/>
          </rPr>
          <t xml:space="preserve">Author:
</t>
        </r>
      </text>
    </comment>
  </commentList>
</comments>
</file>

<file path=xl/comments2.xml><?xml version="1.0" encoding="utf-8"?>
<comments xmlns="http://schemas.openxmlformats.org/spreadsheetml/2006/main">
  <authors>
    <author>Author</author>
  </authors>
  <commentList>
    <comment ref="C12" authorId="0">
      <text>
        <r>
          <rPr>
            <b/>
            <sz val="9"/>
            <color indexed="81"/>
            <rFont val="Tahoma"/>
            <family val="2"/>
          </rPr>
          <t>Author:</t>
        </r>
        <r>
          <rPr>
            <sz val="9"/>
            <color indexed="81"/>
            <rFont val="Tahoma"/>
            <family val="2"/>
          </rPr>
          <t xml:space="preserve">
Համայնքի սեփականություն</t>
        </r>
      </text>
    </comment>
  </commentList>
</comments>
</file>

<file path=xl/sharedStrings.xml><?xml version="1.0" encoding="utf-8"?>
<sst xmlns="http://schemas.openxmlformats.org/spreadsheetml/2006/main" count="4172" uniqueCount="1399">
  <si>
    <t>Հավելված N 1</t>
  </si>
  <si>
    <t>ՀՀ կառավարության 20......      թվականի</t>
  </si>
  <si>
    <t>......................      -ի N        -Ն որոշման</t>
  </si>
  <si>
    <t>Ց Ա Ն Կ</t>
  </si>
  <si>
    <t>NN</t>
  </si>
  <si>
    <t>Գույքի անվանումը և մակնիշը</t>
  </si>
  <si>
    <t>Չափի միավորը</t>
  </si>
  <si>
    <t>Քանակը</t>
  </si>
  <si>
    <t>Միավորի գինը </t>
  </si>
  <si>
    <t>Սկզբնական արժեքը</t>
  </si>
  <si>
    <t>Հաշվեկշռային (մնացորդային արժեքը)</t>
  </si>
  <si>
    <t>ը/կ</t>
  </si>
  <si>
    <t>(դրամ)</t>
  </si>
  <si>
    <t>Համակարգիչ Dell Optiplex GX745</t>
  </si>
  <si>
    <t>հատ</t>
  </si>
  <si>
    <t>Համակարգիչ Dell Optiplex GX320</t>
  </si>
  <si>
    <t>Համակարգիչ Dell Optiplex 210L</t>
  </si>
  <si>
    <t>Համակարգիչ Dell Optiplex 6X620</t>
  </si>
  <si>
    <t>Համակարգիչ HP</t>
  </si>
  <si>
    <t>Համակարգիչ Vento ASUS</t>
  </si>
  <si>
    <t xml:space="preserve">Հեռուստացույց Samsung տեսագրիչով( LG DVD recorder) </t>
  </si>
  <si>
    <t>Մոնիթոր DELL 177 FPC</t>
  </si>
  <si>
    <t>Մոնիթոր 1 Dell E 1773 FP</t>
  </si>
  <si>
    <t>Մոնիթոր Samsung SyncMaster 793MG</t>
  </si>
  <si>
    <t>Մոնիթոր 17" Orange LCD</t>
  </si>
  <si>
    <t>Մոնիթոր HP</t>
  </si>
  <si>
    <t>Մոնիթոր LG</t>
  </si>
  <si>
    <t>Սկաներ Canon LIDE 25</t>
  </si>
  <si>
    <t xml:space="preserve">Գրաֆիկական պլանշետ, գրիչ (գրաֆիկական պատկերների համակարգիչ մուտքագրման) Digitizer Genius Tablet, pen </t>
  </si>
  <si>
    <t>Բազմացման սարք DVD «Կատյուշա»</t>
  </si>
  <si>
    <t xml:space="preserve">Պրինտեր HP LaserJet 1005     </t>
  </si>
  <si>
    <t xml:space="preserve">Պրինտեր Lexmark E340                     </t>
  </si>
  <si>
    <t>Տպիչ HP LJ 1020</t>
  </si>
  <si>
    <t xml:space="preserve">Տպիչ HP-1022     </t>
  </si>
  <si>
    <t xml:space="preserve">Տպիչ HPLG-2200D      </t>
  </si>
  <si>
    <t xml:space="preserve">Տպիչ HP LJ 1300 </t>
  </si>
  <si>
    <t>Բազմաֆունկցիոնալ սարք Canon iR 1018j (printer, copier, scaner)</t>
  </si>
  <si>
    <t>Թղթապանակների պահարան երկաթյա</t>
  </si>
  <si>
    <t>Խոհանոցի աթոռ փոքր պլաստմասե նստատեղով</t>
  </si>
  <si>
    <t>Ընդամենը</t>
  </si>
  <si>
    <t>Հավելված N 2</t>
  </si>
  <si>
    <t>Դաշնամուր «Բելոռուս»</t>
  </si>
  <si>
    <t>Դաշնամուր «Ռոստով նա Դոնու»</t>
  </si>
  <si>
    <t>Երկաթե պահարան, սեյֆ</t>
  </si>
  <si>
    <t>Աշակերտական սեղան</t>
  </si>
  <si>
    <t>Խալու դազգահ փայտե</t>
  </si>
  <si>
    <t>Հավելված N 3</t>
  </si>
  <si>
    <t>Սեղան փայտյա</t>
  </si>
  <si>
    <t>Բազկաթոռ</t>
  </si>
  <si>
    <t xml:space="preserve">Աթոռ </t>
  </si>
  <si>
    <t>Գրասեղան մեկ տումբանի</t>
  </si>
  <si>
    <t>Հավելված N 4</t>
  </si>
  <si>
    <t>Մահճակալ, փայտյա առանց նեքնակի</t>
  </si>
  <si>
    <t>Հավելված N 5</t>
  </si>
  <si>
    <t>Մահճակալներ երկաթյա, մեկ տեղանի երկաթե ոտերով և ճաղավանդակներով   մատրասով (սմ. 90 x 204 )</t>
  </si>
  <si>
    <t xml:space="preserve">Մահճակալներ  փայտյա, մեկ տեղանի մատրասով  </t>
  </si>
  <si>
    <t>Սեղան աշակերտական, փայտյա   (սմ.70 լայն  x 120 երկ  x 70 բարձ)</t>
  </si>
  <si>
    <t>Աթոռներ երկաթյա ոտքերով, թիկնակը ճաղերով, կիսակլոր փայտյա նստատեղով</t>
  </si>
  <si>
    <t>Պահարան փոքր, փայտյա մեկ դռանի (սմ.42 լայն  x 40 երկ  x 62 բարձ )</t>
  </si>
  <si>
    <t>Լվացքի մեքենա կիսավտոմատ VEGA</t>
  </si>
  <si>
    <t>«Աշխատանքի և սոցիալական հետազոտությունների ազգային ինստիտուտ» պետական ոչ առևտրային կազմակերպությունից հետ վերցվող և որպես բնաիրային օգնություն՝ Հայաստանի Հանրապետության աշխատանքի և սոցիալական հարցերի նախարարության ենթակայության բնակչության սոցիալական պաշտպանության հաստատություն (երեխաների խնամքի և պաշտպանության գիշերօթիկ հաստատություն և մանկատուն) հանդիսացող պետական ոչ առևտրային կազմակերպությունների վերանվանման կամ վերակազմակերպման արդյունքում ընտանիք տեղափոխված երեխաների և սոցիալապես անապահով ընտանիքներին տրամադրվող գույքի</t>
  </si>
  <si>
    <t>««Ձորակ» հոգեկան առողջության խնդիրներ ունեցող անձանց խնամքի կենտրոն» պետական ոչ առևտրային կազմակերպությունից հետ վերցվող և որպես բնաիրային օգնություն՝ Հայաստանի Հանրապետության աշխատանքի և սոցիալական հարցերի նախարարության ենթակայության բնակչության սոցիալական պաշտպանության հաստատություն (երեխաների խնամքի և պաշտպանության գիշերօթիկ հաստատություն և մանկատուն) հանդիսացող պետական ոչ առևտրային կազմակերպությունների վերանվանման կամ վերակազմակերպման արդյունքում ընտանիք տեղափոխված երեխաների և սոցիալապես անապահով ընտանիքներին տրամադրվող գույքի</t>
  </si>
  <si>
    <t>«Երեխայի և ընտանիքի աջակցության կենտրոն» պետական ոչ առևտրային կազմակերպությունից հետ վերցվող և որպես բնաիրային օգնություն՝ Հայաստանի Հանրապետության աշխատանքի և սոցիալական հարցերի նախարարության ենթակայության բնակչության սոցիալական պաշտպանության հաստատություն (երեխաների խնամքի և պաշտպանության գիշերօթիկ հաստատություն և մանկատուն) հանդիսացող պետական ոչ առևտրային կազմակերպությունների վերանվանման կամ վերակազմակերպման արդյունքում ընտանիք տեղափոխված երեխաների և սոցիալապես անապահով ընտանիքներին տրամադրվող գույքի</t>
  </si>
  <si>
    <t>«Սյունիքի մարզի երեխայի և ընտանիքի աջակցության կենտրոն» հիմնադրամից հետ վերցվող և որպես բնաիրային օգնություն՝ Հայաստանի Հանրապետության աշխատանքի և սոցիալական հարցերի նախարարության ենթակայության բնակչության սոցիալական պաշտպանության հաստատություն (երեխաների խնամքի և պաշտպանության գիշերօթիկ հաստատություն և մանկատուն) հանդիսացող պետական ոչ առևտրային կազմակերպությունների վերանվանման կամ վերակազմակերպման արդյունքում ընտանիք տեղափոխված երեխաների և սոցիալապես անապահով ընտանիքներին տրամադրվող գույքի</t>
  </si>
  <si>
    <t>«Երևանի «Զատիկ» երեխաների աջակցության կենտրոն» պետական ոչ առևտրային կազմակերպությունից հետ վերցվող և որպես բնաիրային օգնություն՝ Հայաստանի Հանրապետության աշխատանքի և սոցիալական հարցերի նախարարության ենթակայության բնակչության սոցիալական պաշտպանության հաստատություն (երեխաների խնամքի և պաշտպանության գիշերօթիկ հաստատություն և մանկատուն) հանդիսացող պետական ոչ առևտրային կազմակերպությունների վերանվանման կամ վերակազմակերպման արդյունքում ընտանիք տեղափոխված երեխաների և սոցիալապես անապահով ընտանիքներին տրամադրվող գույքի</t>
  </si>
  <si>
    <t>Հավելված N 6</t>
  </si>
  <si>
    <t>Հավելված N 7</t>
  </si>
  <si>
    <t>Հավելված N 8</t>
  </si>
  <si>
    <t>Հավելված N 9</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</si>
  <si>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հետ վերցվող և Հայաստանի Հանրապետության օրենսդրությամբ սահմանված կարգով «Հանս Քրիստիան Կոֆոեդ» բարեգործական հիմնադրամին նվիրաբերվող գույքի</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</si>
  <si>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հետ վերցվող և Հայաստանի Հանրապետության օրենսդրությամբ սահմանված կարգով «Հայկական Կարիտաս» բարեսիրական հասարակական կազմակերպությանը նվիրաբերվող գույքի</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</si>
  <si>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հետ վերցվող և «Երևանի «Զատիկ» երեխաների աջակցության կենտրոն» պետական ոչ առևտրային կազմակերպությանը ամրացվող գույքի </t>
  </si>
  <si>
    <t>Հավելված N 10</t>
  </si>
  <si>
    <t>Հավելված N 11</t>
  </si>
  <si>
    <t>Հավելված N 12</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</si>
  <si>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հետ վերցվող և որպես բնաիրային օգնություն՝ Հայաստանի Հանրապետության կառավարության 2019 թվականի նոյեմբերի 7-ի N 1555-Ն որոշման 3-րդ կետի համաձայն տրամադրված բնակարանի գնման վկայագրով բնակարան ձեռքբերած, «Վանաձորի մանկատուն» պետական ոչ առևտրային կազմակերպության նախկին սան Վանուհի Վարուժանի Մանուչարյանին տրամադրվող գույքի</t>
  </si>
  <si>
    <t>Հավելված N 13</t>
  </si>
  <si>
    <t>Հավելված N 14</t>
  </si>
  <si>
    <t>Հավելված N 15</t>
  </si>
  <si>
    <t>Հավելված N 16</t>
  </si>
  <si>
    <t>Հավելված N 17</t>
  </si>
  <si>
    <t>Հավելված N 18</t>
  </si>
  <si>
    <t>Հավելված N 20</t>
  </si>
  <si>
    <t>Հավելված N 21</t>
  </si>
  <si>
    <t>Հավելված N 22</t>
  </si>
  <si>
    <t>Հավելված N 23</t>
  </si>
  <si>
    <t>Հավելված N 24</t>
  </si>
  <si>
    <t>Հավելված N 25</t>
  </si>
  <si>
    <t>Հավելված N 26</t>
  </si>
  <si>
    <t>Հավելված N 28</t>
  </si>
  <si>
    <t>Հավելված N 27</t>
  </si>
  <si>
    <t>Հավելված N 29</t>
  </si>
  <si>
    <t>Հավելված N 31</t>
  </si>
  <si>
    <t>Հավելված N 30</t>
  </si>
  <si>
    <t>Հավելված N 32</t>
  </si>
  <si>
    <t>Հավելված N 33</t>
  </si>
  <si>
    <t>Հավելված N 34</t>
  </si>
  <si>
    <t>Հավելված N 35</t>
  </si>
  <si>
    <t>Հավելված N 36</t>
  </si>
  <si>
    <t>Հավելված N 37</t>
  </si>
  <si>
    <t>Հավելված N 38</t>
  </si>
  <si>
    <t>Հավելված N 39</t>
  </si>
  <si>
    <t>Հավելված N 40</t>
  </si>
  <si>
    <t>Հավելված N 41</t>
  </si>
  <si>
    <t>Հավելված N 42</t>
  </si>
  <si>
    <t>Հավելված N 43</t>
  </si>
  <si>
    <t>Հավելված N 44</t>
  </si>
  <si>
    <t xml:space="preserve">Հեռուստացույց Samsung </t>
  </si>
  <si>
    <t>Լվացքի մեքենա Ariston</t>
  </si>
  <si>
    <t xml:space="preserve">Աշակերտական սեղան  </t>
  </si>
  <si>
    <t xml:space="preserve">Տումբոչկա </t>
  </si>
  <si>
    <t xml:space="preserve">Համակարգիչ </t>
  </si>
  <si>
    <t>Համակարգչային սեղան</t>
  </si>
  <si>
    <t xml:space="preserve">Էլ. Ջեռակ յուղով </t>
  </si>
  <si>
    <t xml:space="preserve">Կարի մեքենա </t>
  </si>
  <si>
    <t xml:space="preserve">Մահճակալ </t>
  </si>
  <si>
    <t xml:space="preserve">Մատրաս </t>
  </si>
  <si>
    <t xml:space="preserve">Ներքնակ բրդյա </t>
  </si>
  <si>
    <t xml:space="preserve">Վերմակ բրդյա </t>
  </si>
  <si>
    <t>Անկողնային սպիտակեղենի հավաքածու (1-ական հատ ծրար, բարձի երես և սավան)</t>
  </si>
  <si>
    <t xml:space="preserve">Լոգարանի սրբիչ </t>
  </si>
  <si>
    <t>Ափսե ճաշի</t>
  </si>
  <si>
    <t xml:space="preserve">Ափսե 2-րդ ճաշի </t>
  </si>
  <si>
    <t xml:space="preserve">Ափսե փոքր </t>
  </si>
  <si>
    <t xml:space="preserve">Բաժակ թեյի </t>
  </si>
  <si>
    <t xml:space="preserve">Բաժակ հյութի </t>
  </si>
  <si>
    <t xml:space="preserve">Գդալ ճաշի </t>
  </si>
  <si>
    <t xml:space="preserve">Պատառաքաղ </t>
  </si>
  <si>
    <t xml:space="preserve">Դանակ </t>
  </si>
  <si>
    <t xml:space="preserve">Ջրաման </t>
  </si>
  <si>
    <t xml:space="preserve">Աղաման </t>
  </si>
  <si>
    <t>Հիմնական միջոց հանդիսացող գույք</t>
  </si>
  <si>
    <t>Պաշարներ (այդ թվում՝ փոքրարժեք և արագամաշ առարկաներ)</t>
  </si>
  <si>
    <t>Ընդհանուրը</t>
  </si>
  <si>
    <t>Սառնարան BEKO</t>
  </si>
  <si>
    <t>Փոշեկուլ</t>
  </si>
  <si>
    <t xml:space="preserve">Արդուկ Phillips </t>
  </si>
  <si>
    <t>Լվացքի չորանոց</t>
  </si>
  <si>
    <t xml:space="preserve">Շերեփ </t>
  </si>
  <si>
    <t xml:space="preserve">Գդալ թեյի </t>
  </si>
  <si>
    <t>Հեռուստացույց BERG*49</t>
  </si>
  <si>
    <t xml:space="preserve">Հացաման </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</si>
  <si>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հետ վերցվող և որպես բնաիրային օգնություն՝ Հայաստանի Հանրապետության կառավարության 2019 թվականի նոյեմբերի 7-ի N 1555-Ն որոշման 3-րդ կետի համաձայն տրամադրված բնակարանի գնման վկայագրով բնակարան ձեռքբերած, «Վանաձորի մանկատուն» պետական ոչ առևտրային կազմակերպության նախկին սան Սիրանույշ Վալերիի Աբելյանին տրամադրվող գույքի</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</si>
  <si>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հետ վերցվող և որպես բնաիրային օգնություն՝ Հայաստանի Հանրապետության կառավարության 2019 թվականի նոյեմբերի 7-ի N 1555-Ն որոշման 3-րդ կետի համաձայն տրամադրված բնակարանի գնման վկայագրով բնակարան ձեռքբերած, «Վանաձորի մանկատուն» պետական ոչ առևտրային կազմակերպության նախկին սան Նունե Հարությունի Պապյանին տրամադրվող գույքի</t>
  </si>
  <si>
    <t>Լվացքի մեքենա LG</t>
  </si>
  <si>
    <t>Դյուրակի համակարգիչ HP PAV 13Conetdie 360</t>
  </si>
  <si>
    <t xml:space="preserve">Սեղան </t>
  </si>
  <si>
    <t xml:space="preserve">Թավա </t>
  </si>
  <si>
    <t xml:space="preserve">Կաթսա 10լ </t>
  </si>
  <si>
    <t xml:space="preserve">Էլ թեյնիկ </t>
  </si>
  <si>
    <t>Հավելված N 45</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</si>
  <si>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հետ վերցվող և որպես բնաիրային օգնություն՝ Հայաստանի Հանրապետության կառավարության 2019 թվականի նոյեմբերի 7-ի N 1555-Ն որոշման 3-րդ կետի համաձայն տրամադրված բնակարանի գնման վկայագրով բնակարան ձեռքբերած, «Վանաձորի մանկատուն» պետական ոչ առևտրային կազմակերպության նախկին սան Քրիստինա Մարտունի Մաթոսյանին տրամադրվող գույքի</t>
  </si>
  <si>
    <t>Համակարգիչ FUJITSU ESPRIMO P2560</t>
  </si>
  <si>
    <t>Մոնիթոր Samsung E1920 E</t>
  </si>
  <si>
    <t xml:space="preserve">Անխափան սնուցման սարք Power Com 600AP </t>
  </si>
  <si>
    <t>YL4Q503385</t>
  </si>
  <si>
    <t>CL19HVHBC00343H</t>
  </si>
  <si>
    <t>Մահճակալ երկհարկանի</t>
  </si>
  <si>
    <t>Մահճակալ</t>
  </si>
  <si>
    <t>Մահճակալ 1 հարկով 165/1</t>
  </si>
  <si>
    <t>Մահճակալ 2 հարկով 154/1</t>
  </si>
  <si>
    <t>Մատրաս</t>
  </si>
  <si>
    <t>6</t>
  </si>
  <si>
    <t>Համակարգչի մոնիտոր Beng</t>
  </si>
  <si>
    <t>Պրոցեսոր LG</t>
  </si>
  <si>
    <t>Համակարգիչ LG</t>
  </si>
  <si>
    <t>Համակարգիչի մոնիտոր LG</t>
  </si>
  <si>
    <t>Պրոցեսոր</t>
  </si>
  <si>
    <t>Պատճենահանման սարք Canon i-Sensys MF 3220</t>
  </si>
  <si>
    <t>Պրինտեր Xerox Phaser 3117</t>
  </si>
  <si>
    <t>Պատճենահանման սարք i-Sensys MF 4410</t>
  </si>
  <si>
    <t>Համակարգչի մոնիտոր ASUS</t>
  </si>
  <si>
    <t>Համակարգչի մոնիտոր Samsung</t>
  </si>
  <si>
    <t>Պրինտեր Xerox Phaser 3140</t>
  </si>
  <si>
    <t>Համակարգիչ P4</t>
  </si>
  <si>
    <t>Մոնիտոր LG LCD 19</t>
  </si>
  <si>
    <t>Տպիչ HS P1102</t>
  </si>
  <si>
    <t>Սքաներ Canon Lide 110</t>
  </si>
  <si>
    <t>Խոսափող Մաքս</t>
  </si>
  <si>
    <t>Դինամիկ Մաքս</t>
  </si>
  <si>
    <t>Բուֆեր</t>
  </si>
  <si>
    <t>Տեսագրիչ In Focus x2</t>
  </si>
  <si>
    <t>Գրապահարան</t>
  </si>
  <si>
    <t>Համակարգչի սեղան</t>
  </si>
  <si>
    <t>Աթոռ</t>
  </si>
  <si>
    <t>Փոքր սեղան</t>
  </si>
  <si>
    <t>Սեղան ուսուցչական</t>
  </si>
  <si>
    <t>Բարձրախոսի հենակ</t>
  </si>
  <si>
    <t>UPS APC</t>
  </si>
  <si>
    <t>Վարսահարդարման բազկաթոռ</t>
  </si>
  <si>
    <t>Վարսահարդարման սեղան հայելիով</t>
  </si>
  <si>
    <t>Բշժկական թախտ</t>
  </si>
  <si>
    <t>Կշեռք հասակաչափ</t>
  </si>
  <si>
    <t>Բշժկական պահարան</t>
  </si>
  <si>
    <t>Ատամնաբուժական Բոր մեքենա УС Բազկաթոռ КСЭМ-03</t>
  </si>
  <si>
    <t>Բժշկական կշեռք</t>
  </si>
  <si>
    <t>Բժշկական սարքավորումների սեղան</t>
  </si>
  <si>
    <t>Բժշկական պահարան</t>
  </si>
  <si>
    <t>Հեռուստացույց JVC</t>
  </si>
  <si>
    <t>Հեռուստացույց Grundig</t>
  </si>
  <si>
    <t>Հեռուստացույց LG</t>
  </si>
  <si>
    <t>Հեռուստացույց Hitachi</t>
  </si>
  <si>
    <t>Դաշնամուր Կովկաս</t>
  </si>
  <si>
    <t>Եռակցման ապարատ ԱԱ-220</t>
  </si>
  <si>
    <t>Էլ. մարտկոց</t>
  </si>
  <si>
    <t>Արբանյակային ընդունիչ OPEN AOX</t>
  </si>
  <si>
    <t>Սինթեզատոր YAMAHA</t>
  </si>
  <si>
    <t>Գազի վառարան</t>
  </si>
  <si>
    <t>Գազի ջրատաքացուցիչ</t>
  </si>
  <si>
    <t>Հեռուստացույց Hisense</t>
  </si>
  <si>
    <t>Ջրատաքացուցիչ գազով Mercury</t>
  </si>
  <si>
    <t>Էլ. վառարան</t>
  </si>
  <si>
    <t>Ջրատաքացուցիչ 50լ. PRO-R</t>
  </si>
  <si>
    <t>Սառնարան GSR 1240</t>
  </si>
  <si>
    <t>Գազօջախ CG 15112GW</t>
  </si>
  <si>
    <t>Հեռախոս Panasonic</t>
  </si>
  <si>
    <t>Էլ. դռել</t>
  </si>
  <si>
    <t>Պահարան կոմբինացիոն</t>
  </si>
  <si>
    <t>Պահարան գրադարանի</t>
  </si>
  <si>
    <t>Սեղան մանկավարժական</t>
  </si>
  <si>
    <t>Զգեստապահարան</t>
  </si>
  <si>
    <t>Հոգեբանի սեղան կիսալուսնաձև</t>
  </si>
  <si>
    <t>Սեղան կցորդ</t>
  </si>
  <si>
    <t>Գրասեղան</t>
  </si>
  <si>
    <t>Սեղան ճշարանի</t>
  </si>
  <si>
    <t>Բազմոց</t>
  </si>
  <si>
    <t>Պահարան փոքր</t>
  </si>
  <si>
    <t>Սպասքի պահարան</t>
  </si>
  <si>
    <t>Պահարան ճաշարանի</t>
  </si>
  <si>
    <t>Սեղան փոքր</t>
  </si>
  <si>
    <t>Գրադարակ</t>
  </si>
  <si>
    <t>Սեղան ամսագրային</t>
  </si>
  <si>
    <t>Աթոռ մեծ</t>
  </si>
  <si>
    <t>Աշակերտական սեղան միջին</t>
  </si>
  <si>
    <t>Աշակերտական աթոռ միջին</t>
  </si>
  <si>
    <t>Աշակերտական սեղան մեծ</t>
  </si>
  <si>
    <t>Աշակերտական աթոռ մեծ</t>
  </si>
  <si>
    <t>Աշակերտական սեղան փոքր</t>
  </si>
  <si>
    <t>Աշակերտական աթոռ փոքր</t>
  </si>
  <si>
    <t>Չհրկիզվող պահարան</t>
  </si>
  <si>
    <t>Մոլբերտ նկարակալ</t>
  </si>
  <si>
    <t>Կարպետ</t>
  </si>
  <si>
    <t>Աստիճան մեծ</t>
  </si>
  <si>
    <t>Ուսուցչական սեղան</t>
  </si>
  <si>
    <t>Գրատախտակ</t>
  </si>
  <si>
    <t>Աթոռ դպրոցական</t>
  </si>
  <si>
    <t>Կախիչ պատի</t>
  </si>
  <si>
    <t>Հանդերձապահարան</t>
  </si>
  <si>
    <t>Մետաղյա տումբա</t>
  </si>
  <si>
    <t>Մետաղյա պահարան</t>
  </si>
  <si>
    <t>Աշխատանքային սեղան</t>
  </si>
  <si>
    <t>Գրապահարան 2դռնանի</t>
  </si>
  <si>
    <t>Պահարան 3դարակով</t>
  </si>
  <si>
    <t>Գրասեղան 1տումբանի 3դարակով</t>
  </si>
  <si>
    <t>Գրասենյակային սև աթոռ</t>
  </si>
  <si>
    <t>Հոլլ(1 բազմոց 2 բազկաթոռ)</t>
  </si>
  <si>
    <t>Նստարան երկաթյա</t>
  </si>
  <si>
    <t>Փայտյա տումբա</t>
  </si>
  <si>
    <t>Սառնարան երկփեղկ</t>
  </si>
  <si>
    <t>Սառնարան Գոււչել</t>
  </si>
  <si>
    <t>Սառնարան պահարան 2դռնանի</t>
  </si>
  <si>
    <t>Սառնարան խցիկ Հայեր</t>
  </si>
  <si>
    <t>Փայտյա գրապահարան</t>
  </si>
  <si>
    <t>Փայտյա գրասեղան</t>
  </si>
  <si>
    <t>Պատի ժամացույց</t>
  </si>
  <si>
    <t>Աթոռ փոքր</t>
  </si>
  <si>
    <t>Կարի մեքենա Kenmore</t>
  </si>
  <si>
    <t>Կարի մեքենա Singer</t>
  </si>
  <si>
    <t>Կարի մեքենա Toyota</t>
  </si>
  <si>
    <t>Կարի մեքենա Husgvarna</t>
  </si>
  <si>
    <t>Կարի մեքենա Empiral</t>
  </si>
  <si>
    <t>Դազգահ գորգագործական</t>
  </si>
  <si>
    <t>Կարի մեքենա Jonies</t>
  </si>
  <si>
    <t>Կարի մեքենա Pez</t>
  </si>
  <si>
    <t>Կարի մեքենա Pinnock</t>
  </si>
  <si>
    <t>Սեղան երկար</t>
  </si>
  <si>
    <t>Օղակ գիմնաստիկայի</t>
  </si>
  <si>
    <t>Մատ սպորտային</t>
  </si>
  <si>
    <t>Նստարան սպորտային</t>
  </si>
  <si>
    <t>Թենիսի սեղան</t>
  </si>
  <si>
    <t>Լվացքի մեքենա Beko</t>
  </si>
  <si>
    <t>Քամիչ սարք Bosh</t>
  </si>
  <si>
    <t>Լվացքի մեքենա</t>
  </si>
  <si>
    <t>Լվացքամզիչ</t>
  </si>
  <si>
    <t>Դեկորատիվ ծաղկաման</t>
  </si>
  <si>
    <t>Էլ. լուսամփոփ</t>
  </si>
  <si>
    <t>Էլ. մսաղաց</t>
  </si>
  <si>
    <t>Հաց կտրող սարք</t>
  </si>
  <si>
    <t>Վառարան հրուշակեղենի</t>
  </si>
  <si>
    <t>Էլ. ջեռոց ASEL</t>
  </si>
  <si>
    <t>Էլ. բլենդեր</t>
  </si>
  <si>
    <t>Էլ. թեյնիկ SEVEN7STAR</t>
  </si>
  <si>
    <t xml:space="preserve">Կաթսա </t>
  </si>
  <si>
    <t>Ուղեգորգ</t>
  </si>
  <si>
    <t>Փոշեկուլ LG</t>
  </si>
  <si>
    <t>Փոշեկուլ Geepas</t>
  </si>
  <si>
    <t>Գրքերի պահարան</t>
  </si>
  <si>
    <t>Կաթսա մեծ</t>
  </si>
  <si>
    <t>Ափսեների չորանոց</t>
  </si>
  <si>
    <t>Աթոռ ճաշարանի</t>
  </si>
  <si>
    <t>Սեղան ճաշարանի</t>
  </si>
  <si>
    <t>Աշակերտական աթոռ</t>
  </si>
  <si>
    <t>Սայլակ խահանոցի</t>
  </si>
  <si>
    <t>Թենիսի սեղանի ցանց</t>
  </si>
  <si>
    <t>Վոլեյբոլի ցանց</t>
  </si>
  <si>
    <t>Ալեհավաքի ընդունիչ</t>
  </si>
  <si>
    <t>Սեղան</t>
  </si>
  <si>
    <t>Գորգ հատակի</t>
  </si>
  <si>
    <t>Կաշվե ներքնակ</t>
  </si>
  <si>
    <t>Շերտավարագույր</t>
  </si>
  <si>
    <t>Արդուկի սեղան</t>
  </si>
  <si>
    <t>Կարի մեքենա</t>
  </si>
  <si>
    <t>Գրադարանային ֆոնդ</t>
  </si>
  <si>
    <t>Լուսարձակ LED</t>
  </si>
  <si>
    <t xml:space="preserve">հատ   </t>
  </si>
  <si>
    <t>Հենակներ</t>
  </si>
  <si>
    <t>Մկրատ վիրաբուժական</t>
  </si>
  <si>
    <t>Բիքս մեծ</t>
  </si>
  <si>
    <t>Ականջակալ միկրոֆոն</t>
  </si>
  <si>
    <t>Վեբ տեսախցիկ</t>
  </si>
  <si>
    <t>Ցանցային սարք TE100-58</t>
  </si>
  <si>
    <t>Համակարգչի ստեղնաշար</t>
  </si>
  <si>
    <t>Համակարգչի մկնիկ</t>
  </si>
  <si>
    <t>Համակարգչի աչք</t>
  </si>
  <si>
    <t>Ականջակալ</t>
  </si>
  <si>
    <t>Դինամիկ</t>
  </si>
  <si>
    <t>Սեղանի գրչաման</t>
  </si>
  <si>
    <t>Ֆրի պատրաստելու սարք</t>
  </si>
  <si>
    <t>Կացին</t>
  </si>
  <si>
    <t>Ցանցային հաբ</t>
  </si>
  <si>
    <t>Էլ. հաշվիչ CASIO</t>
  </si>
  <si>
    <t>Դակիչ</t>
  </si>
  <si>
    <t>Սեղանի փայտե երես</t>
  </si>
  <si>
    <t>Փայտյա տակդիր</t>
  </si>
  <si>
    <t>Երկարացման լար</t>
  </si>
  <si>
    <t>Գրքեր</t>
  </si>
  <si>
    <t>Ալեհավաք</t>
  </si>
  <si>
    <t>Ալեընդունիչ</t>
  </si>
  <si>
    <t>Լուսարձակի լամպ</t>
  </si>
  <si>
    <t>Ծխնի</t>
  </si>
  <si>
    <t>Ջրի խողովակի պլաստմասե ամրակ</t>
  </si>
  <si>
    <t>Նժարավոր կշեռք</t>
  </si>
  <si>
    <t>Մեծ կշեռք</t>
  </si>
  <si>
    <t>Կշռաքարեր</t>
  </si>
  <si>
    <t>Մարկեր</t>
  </si>
  <si>
    <t>Ֆլիպչարտ</t>
  </si>
  <si>
    <t>Հաշմանդամի սայլակ արտ</t>
  </si>
  <si>
    <t>Լվացքի  մեքենա ավտ. General</t>
  </si>
  <si>
    <t>Կարի  մեքենա</t>
  </si>
  <si>
    <t>Սառնարան  TOSHIBA</t>
  </si>
  <si>
    <t>Սառնարանի  խցիկ Guozel</t>
  </si>
  <si>
    <t>Սառնարան HITACHI</t>
  </si>
  <si>
    <t>Գազօջախ BEKO</t>
  </si>
  <si>
    <t xml:space="preserve">Գազօջախ </t>
  </si>
  <si>
    <t>Միկրոալիքային վառարան</t>
  </si>
  <si>
    <t>Մսաղաց AXION</t>
  </si>
  <si>
    <t>Էլ.թեյնիկ</t>
  </si>
  <si>
    <t>Ariston տաքացուցիչ</t>
  </si>
  <si>
    <t>Խոհանոցի կահույք 16դռներով</t>
  </si>
  <si>
    <t>Խոհանոցի անկյունակ սեղանով70*70/120*60</t>
  </si>
  <si>
    <t>Խոհանոցի սեղան72*122</t>
  </si>
  <si>
    <t xml:space="preserve">Խոհանոցի սեղանիկ երկդռնանի </t>
  </si>
  <si>
    <t>Սառանարան LG</t>
  </si>
  <si>
    <t xml:space="preserve">Կշեռք-խոհանոցի </t>
  </si>
  <si>
    <t>Պահեստի շուկայական կշեռք 150կգ-ոց</t>
  </si>
  <si>
    <t>Վարսավիրական տրիմո</t>
  </si>
  <si>
    <t>Կշեռք-բժշկական</t>
  </si>
  <si>
    <t>Պահարան</t>
  </si>
  <si>
    <t>Լազերային տպիչ HP LJ 1160</t>
  </si>
  <si>
    <t>Համակարգիչ Dell OptiPlex320</t>
  </si>
  <si>
    <t>Մոնիթոր Dell</t>
  </si>
  <si>
    <t>ՄոնիթորDell</t>
  </si>
  <si>
    <t>Անխափան սնուցման սարք</t>
  </si>
  <si>
    <t>համակարգիչ</t>
  </si>
  <si>
    <t>Սկաներ (HP SJ 3800)</t>
  </si>
  <si>
    <t>Պատճենահանող սարք Canon</t>
  </si>
  <si>
    <t>Ջրատաքացուցիչ Ariston</t>
  </si>
  <si>
    <t>Հեռուստացույց Ploski</t>
  </si>
  <si>
    <t>Երաժշտական կենտրոն</t>
  </si>
  <si>
    <t>Նկարահանման ապարատ</t>
  </si>
  <si>
    <t>Համակարգչի սեղան (60x78x120)</t>
  </si>
  <si>
    <t>Համակարգչի սեղան լամինատե (55x78x100)</t>
  </si>
  <si>
    <t>Գորգ (200x300)</t>
  </si>
  <si>
    <t>Գորգ (235x340)</t>
  </si>
  <si>
    <t>Գորգ 5x4</t>
  </si>
  <si>
    <t>Գորգ 2x5</t>
  </si>
  <si>
    <t>Գորգ 1,3x6,2</t>
  </si>
  <si>
    <t>Խմելու ջրի բաք պլաստմասայի /400լ-ոց/</t>
  </si>
  <si>
    <t>Խոլ 3կտորից 1 հատ-3տեղանոց 2հատ-1տեղ. 210x55x82-2x90x55x82</t>
  </si>
  <si>
    <t>Խոլ 3կտորից 1 հատ-3տեղանոց 2հատ-1տեղ.215x56x96 - 150x105- 2x76x56 x105</t>
  </si>
  <si>
    <t>Խոլ 4կտոր, 2 հատ 3տեղ. 4 հատ 1 տեղ.,2հատ 2տեղ., 210x60x105-130x56x1-90x60x1</t>
  </si>
  <si>
    <t>Խոլ 4կտոր, 2 հատ 3տեղ. 4 հատ 1 տեղ.,2հատ 2տեղ., 215x56x96-150x50x105-2x76x56x105</t>
  </si>
  <si>
    <t>Խոլ 3կտորից 4հատ-3 տեղանոց, 8հատ-1տեղ. 210x55x82-2x90x55x82</t>
  </si>
  <si>
    <t>Զգեստապահարան 3 փեղկանի 150x1,80x47</t>
  </si>
  <si>
    <t>Զգեստապահարան 4փեղկանի 37x140x150</t>
  </si>
  <si>
    <t>Զգեստապահարան երկդռնանի 2x80x53</t>
  </si>
  <si>
    <t>Զգեստապահարան 3փեղկանի 150x2x43 2 ապակյա</t>
  </si>
  <si>
    <t xml:space="preserve">Զգեստապահարանի հավաքածու հավաքածու 6փեղկանի-2-ական ամբողջ,մեջտեղինը 2-ական կիսափեղկով,վերևի մասը ապակե դռներով 4 հարկանի </t>
  </si>
  <si>
    <t>Զգեստապահարան 150x150</t>
  </si>
  <si>
    <t>Միջանցքի զգեստապահարան հայելիով 184x123x32</t>
  </si>
  <si>
    <t>Գրապահարան 4հարկանի ներքևից երկդռնանի 90x120x25,90x60x43</t>
  </si>
  <si>
    <t>Գրադարանի սեղան 103x180x73</t>
  </si>
  <si>
    <t>Սեղան/խորհրդակցության/1x3x68</t>
  </si>
  <si>
    <t>Սեղան 73x73x73</t>
  </si>
  <si>
    <t>Սեղան բացովի 85x128x78</t>
  </si>
  <si>
    <t>Սեղան 84x170x74</t>
  </si>
  <si>
    <t>Ղեկավարի սեղանի հավ. 2x95x75 իր կցորդով 150x73 կից հ/սեղանով 52x82x75</t>
  </si>
  <si>
    <t>Սեղանի հավաքածու մեծ 70x150</t>
  </si>
  <si>
    <t>Լրագրասեղան օվալաձև 118x55x63</t>
  </si>
  <si>
    <t>Գրասեղան 120x55x80</t>
  </si>
  <si>
    <t>Գրասեղան 100x60x80</t>
  </si>
  <si>
    <t>Գրասեղան 62x120x75</t>
  </si>
  <si>
    <t xml:space="preserve">Գրասեղան </t>
  </si>
  <si>
    <t>Պադոն(բաղնիքի վաննա, 90x90)</t>
  </si>
  <si>
    <t>Տրիմո 73x74x53x91</t>
  </si>
  <si>
    <t>Տրիմո</t>
  </si>
  <si>
    <t>Հեռուստացույցի և երաժշտական կենտրոնի պահպան`եռահարկ, (55x120x130)</t>
  </si>
  <si>
    <t>Ամբիոն` փայտյա</t>
  </si>
  <si>
    <t>Աշակերտական սեղան` նստարանով</t>
  </si>
  <si>
    <t>Հեռուստացույցի տակդիր</t>
  </si>
  <si>
    <t>Դպրոցի ցուցանակ</t>
  </si>
  <si>
    <t>Դաշնամուր «ՍԵՎԱՆ» հին,բարեգործական</t>
  </si>
  <si>
    <t>Գորգ 3x4</t>
  </si>
  <si>
    <t>Գորգ 4x5</t>
  </si>
  <si>
    <t>Զգեստապահարան 4 դռնանի 0,8x1,7</t>
  </si>
  <si>
    <t>Սեղան գրասենյակային</t>
  </si>
  <si>
    <t>Տրիմո-հայելիով</t>
  </si>
  <si>
    <t>Մահճակալ` փայտյա մեկ տեղանոց ( 75 x 200 ) առանց ոտքի</t>
  </si>
  <si>
    <t>Մահճակալ` մատրասով</t>
  </si>
  <si>
    <t>Մետաղյա չհրկիզվող պահարան</t>
  </si>
  <si>
    <t>Աթոռ /կաշվե, պտտվող/</t>
  </si>
  <si>
    <t>Կրակմարիչ On</t>
  </si>
  <si>
    <t>Կրակմարիչ Oy</t>
  </si>
  <si>
    <t>Հրշեջ փողրակ</t>
  </si>
  <si>
    <t>Բոլգարկա</t>
  </si>
  <si>
    <t>Կցակցան /յազվա կլյուչ/</t>
  </si>
  <si>
    <t>Կալորիֆեր</t>
  </si>
  <si>
    <t>Լապտեր</t>
  </si>
  <si>
    <t>Կալորիֆեր փոքր</t>
  </si>
  <si>
    <t>Բահ մեծ</t>
  </si>
  <si>
    <t>Բահ</t>
  </si>
  <si>
    <t>Մկրատ ծառի</t>
  </si>
  <si>
    <t>Դրել</t>
  </si>
  <si>
    <t>Պաշարներ (այդ թվում՝ փոքրարժեք և արագամաշ նյութեր)</t>
  </si>
  <si>
    <t>Հացապատրաստման սարք</t>
  </si>
  <si>
    <t xml:space="preserve">Հեռուստացույց </t>
  </si>
  <si>
    <t xml:space="preserve">Հեռուստացույցի տակդիր </t>
  </si>
  <si>
    <t>Փայտյա դուռ</t>
  </si>
  <si>
    <t>Երկաթյա դուռ</t>
  </si>
  <si>
    <t>Աշակերտական սեղան կապ.</t>
  </si>
  <si>
    <t xml:space="preserve">Գորգ </t>
  </si>
  <si>
    <t xml:space="preserve">Ուղեգորգ </t>
  </si>
  <si>
    <t>Սեղան մեծ</t>
  </si>
  <si>
    <t>Պահարան անկյունային</t>
  </si>
  <si>
    <t>Ուսուցչական երկար սեղան</t>
  </si>
  <si>
    <t xml:space="preserve">Գրապահարան </t>
  </si>
  <si>
    <t xml:space="preserve">Պահարան </t>
  </si>
  <si>
    <t>Պահարան դեղերի</t>
  </si>
  <si>
    <t>Պահարան կապույտ</t>
  </si>
  <si>
    <t>Աթոռ կլոր</t>
  </si>
  <si>
    <t xml:space="preserve">Թիկնաթոռ </t>
  </si>
  <si>
    <t>Աթոռ ճոճվող</t>
  </si>
  <si>
    <t>Աթոռ համակարգչային</t>
  </si>
  <si>
    <t>Սեղան մոխրագույն</t>
  </si>
  <si>
    <t>Ղեկավարի սեղան</t>
  </si>
  <si>
    <t>Նիստերի սեղան</t>
  </si>
  <si>
    <t xml:space="preserve">Խոլ </t>
  </si>
  <si>
    <t xml:space="preserve">Զգեստապահարան </t>
  </si>
  <si>
    <t>Կարի մեքենա ձեռքի</t>
  </si>
  <si>
    <t xml:space="preserve">Փոշեկուլ </t>
  </si>
  <si>
    <t>Հաստոց շաղափոխ</t>
  </si>
  <si>
    <t xml:space="preserve">Սառնարան </t>
  </si>
  <si>
    <t xml:space="preserve">Սառցախցիկ </t>
  </si>
  <si>
    <t>Սառցախցիկ  Zanussi</t>
  </si>
  <si>
    <t xml:space="preserve">Դաշնամուր </t>
  </si>
  <si>
    <t>Փայտամշակման սարք</t>
  </si>
  <si>
    <t xml:space="preserve">Կշեռք </t>
  </si>
  <si>
    <t>Ճաշ. միջ. 4 կտոր</t>
  </si>
  <si>
    <t>Խոհ. կահույք 10 կտոր</t>
  </si>
  <si>
    <t>Տապչան բժշկական</t>
  </si>
  <si>
    <t>Շարժ. Բժշկ. սեղան</t>
  </si>
  <si>
    <t xml:space="preserve">Սեյֆ </t>
  </si>
  <si>
    <t xml:space="preserve">Պրոեկտոր </t>
  </si>
  <si>
    <t>Սառնարան փոքր</t>
  </si>
  <si>
    <t xml:space="preserve">Գրադարակ </t>
  </si>
  <si>
    <t xml:space="preserve">Լվացարան </t>
  </si>
  <si>
    <t xml:space="preserve">Տրիմո </t>
  </si>
  <si>
    <t>Բազմաֆ. Խոհանոցի սալիկ</t>
  </si>
  <si>
    <t>Ֆրեզերային  հաստոց</t>
  </si>
  <si>
    <t>կրակմարիչներ</t>
  </si>
  <si>
    <t>փայտյա գրասեղան</t>
  </si>
  <si>
    <t>փայտյա գրապահարան</t>
  </si>
  <si>
    <t>փայտյա տումբա</t>
  </si>
  <si>
    <t>գրասեղան</t>
  </si>
  <si>
    <t>պահարան փոքր</t>
  </si>
  <si>
    <t>աթոռ</t>
  </si>
  <si>
    <t xml:space="preserve">սառնարան </t>
  </si>
  <si>
    <t>համակարգիչ World Vision</t>
  </si>
  <si>
    <t>մահճակալ փայտից</t>
  </si>
  <si>
    <t>լվացքի մեքենա</t>
  </si>
  <si>
    <t>պահարան դարակներով</t>
  </si>
  <si>
    <t>հեռուստացույց</t>
  </si>
  <si>
    <t>բազկաթոռ</t>
  </si>
  <si>
    <t>սուրճի սեղան</t>
  </si>
  <si>
    <t>բժշկական մեխանիկական կշեռք</t>
  </si>
  <si>
    <t>արդուկ պլատինյում</t>
  </si>
  <si>
    <t>խոհանոցային ֆրիի սարք</t>
  </si>
  <si>
    <t>ալյումինե կաթսա 40լ</t>
  </si>
  <si>
    <t>համակարգիչ Intel Core Duo 4600/LG 1940S LED</t>
  </si>
  <si>
    <t>համակարգչային սեղան ուսումնական</t>
  </si>
  <si>
    <t>Աշխատանքային սեղան մատնահարդարի</t>
  </si>
  <si>
    <t>Ծաղիկի դիզայնի սեղան</t>
  </si>
  <si>
    <t>Բազմոց բազկաթոռի հավաքացու</t>
  </si>
  <si>
    <t>Գրասենյակային փափուկ աթոռ</t>
  </si>
  <si>
    <t>Սեղան խոհանոցի կլոր</t>
  </si>
  <si>
    <t>Հագուստի կախիչ</t>
  </si>
  <si>
    <t>Ֆլիպ չարտ</t>
  </si>
  <si>
    <t>Կարի մեքենա YAMANA FY8700</t>
  </si>
  <si>
    <t>Եզրափակող մեքենաYAMANA 757 A</t>
  </si>
  <si>
    <t>Ձևող սկավառակային դանակներ FY50</t>
  </si>
  <si>
    <t>Կարիչ Կտորի RS-50</t>
  </si>
  <si>
    <t>Կարող, գործող մեքենա JENOM MG1100</t>
  </si>
  <si>
    <t>Տպիչ PANASONIClaser Brother HL 2150NR</t>
  </si>
  <si>
    <t>Սերվեր TRINGN DUAL GORT</t>
  </si>
  <si>
    <t>Մոնիտոր BENQ G700017TFT Monitor</t>
  </si>
  <si>
    <t>Անխափան սնուցման սարք UPS</t>
  </si>
  <si>
    <t>Համակարգիչ Trigon GPU</t>
  </si>
  <si>
    <t>Պահարան երկաթից</t>
  </si>
  <si>
    <t xml:space="preserve">Դազգահ </t>
  </si>
  <si>
    <t xml:space="preserve">Հացաթխման կաղապար </t>
  </si>
  <si>
    <t>Գեղարվեստական գրականություն</t>
  </si>
  <si>
    <t>Մոլբերտ</t>
  </si>
  <si>
    <t>Մոլբերտի աթոռ</t>
  </si>
  <si>
    <t>Կաթսա</t>
  </si>
  <si>
    <t>Կաթսա 50 լ</t>
  </si>
  <si>
    <t>Գազի պլիտա</t>
  </si>
  <si>
    <t>Էլ. պլիտա</t>
  </si>
  <si>
    <t>Մսի մեքենա</t>
  </si>
  <si>
    <t>Կարի մեքենա օվերլոկի</t>
  </si>
  <si>
    <t>Լվացարան</t>
  </si>
  <si>
    <t>Էլեկտր. կշեռք</t>
  </si>
  <si>
    <t>հեռուստացույց  Grundig</t>
  </si>
  <si>
    <t>լոկալ ջեռուցման սարքավորումներ/ալյումինե մարտկոցներ/</t>
  </si>
  <si>
    <t>Կրակմարիչներ 3 կգ</t>
  </si>
  <si>
    <t>կրակմարիչներ  5կգ</t>
  </si>
  <si>
    <t>սնուցման  սարք</t>
  </si>
  <si>
    <t>սեղմակ</t>
  </si>
  <si>
    <t>հակահրդեհային ստենդ</t>
  </si>
  <si>
    <t>կրակմարիչ 3 կգ</t>
  </si>
  <si>
    <t>Էլեկտրական թեյնիկ polaris120.2լ</t>
  </si>
  <si>
    <t>Հայելի սայլակավոր հաշմանդամի համար</t>
  </si>
  <si>
    <t>Թեյնիկի հենարան հենաշարժական ֆունկցիայի խանգարումներ ունեցող անձանց համար</t>
  </si>
  <si>
    <t>Ընդահանուրը</t>
  </si>
  <si>
    <t>1</t>
  </si>
  <si>
    <t xml:space="preserve">մ     </t>
  </si>
  <si>
    <t xml:space="preserve">գծ.մ  </t>
  </si>
  <si>
    <t xml:space="preserve">կգ    </t>
  </si>
  <si>
    <t>վարդակ 2տ</t>
  </si>
  <si>
    <t>ԱՄԲՈՂՋԸ</t>
  </si>
  <si>
    <t xml:space="preserve"> Հայաստանի Հանրապետության աշխատանքի և սոցիալական հարցերի նախարարությանն ամրացված գույքից հետ վերցվող և Երևանի Աջափնյակ վարչական շրջանի երեխաների սոցիալական հոգածության կենտրոն պետական ոչ առևտրային կազմակերպությանը ամրացվող գույքի 
</t>
  </si>
  <si>
    <t>Գործարանային համար</t>
  </si>
  <si>
    <t>Համակարգիչ &lt;&lt;PC1 DELL Optiplex 320&gt;&gt;  (Համակարգիչ Dell optiplex 320)</t>
  </si>
  <si>
    <t>2R2SN2J</t>
  </si>
  <si>
    <t xml:space="preserve">Անխափան սնուցման սարք  UPS PowerCom BNT-800AP </t>
  </si>
  <si>
    <t>Անխափան սնուցման սարքեր APC Back-UPS 650 VA, AVR, 230 V (Անխափան սնուցման սարք APC Back-UPS 650 VA)</t>
  </si>
  <si>
    <t>3B1643X13186
3B1643X39740
3B1643X15011
3B1643X36168
3B1643X15678</t>
  </si>
  <si>
    <t xml:space="preserve"> Հայաստանի Հանրապետության աշխատանքի և սոցիալական հարցերի նախարարությանն ամրացված գույքից հետ վերցվող և Ձորակ» հոգեկան առողջությսն խնդիրներ ունեցող անցան խնամքի կենտրոն պետական ոչ առևտրային կազմակերպությանը ամրացվող գույքի 
</t>
  </si>
  <si>
    <t>1. Համակարգչային և հարակից տեխնիկա</t>
  </si>
  <si>
    <t>2S2SN2J</t>
  </si>
  <si>
    <t>Համակարգիչ Computer 1 Fujitsu ESPRIMO P510 E85+ (Համակարգիչ Fujitsu ESPRIMO P510 E85+)</t>
  </si>
  <si>
    <t>YLKA052467
YLKA052220</t>
  </si>
  <si>
    <t>Մոնիթոր 1E 177Fp (Մոնիթոր Dell 177 Fp)</t>
  </si>
  <si>
    <t>CN-OGU625-72872-69R-1AOC</t>
  </si>
  <si>
    <t>Մոնիթոր Benq GL955A</t>
  </si>
  <si>
    <t>ETWCC02775020
ETWCC02802019</t>
  </si>
  <si>
    <t>40014741303</t>
  </si>
  <si>
    <t>Անխափան սնուցման սարք UPS APC-500 UPS (Անխափան սնուցման սարք APC 500E)</t>
  </si>
  <si>
    <t>QB0648340832                                      QB0647343826</t>
  </si>
  <si>
    <t>3B1644X36008
3B1644X35948
3B1643X16683
3B1643X15088
3B1643X15065
3B1643X16031
3B1643X12535
3B1643X15796
3B1643X16113
3B1643X15677</t>
  </si>
  <si>
    <t>Տպիչ-6 (Work center PE120i)  (Բազմաֆունկցիոնալ սարք Xerox Work Centre Pe 120i)</t>
  </si>
  <si>
    <t>2. Գրասենյակային կահույք</t>
  </si>
  <si>
    <t>Գրասեղան  10032 (Գրասեղան առանց տումբայի)</t>
  </si>
  <si>
    <t>Սեղան 18800 (Գրասեղան առանց տումբայի)</t>
  </si>
  <si>
    <t>Բազմոց փոքր 2 տեղ. (Բազմոց փափուկ, գործվածքապատ)</t>
  </si>
  <si>
    <t>Աթոռ գրասենյակային (Աթոռ` կիսափափուկ)</t>
  </si>
  <si>
    <t>Աթոռ տեսակ 12000 (Աթոռ՝ կիսափափուկ)</t>
  </si>
  <si>
    <t>Գրապահարան (Պահարան` գրապահարանի և զգեստապահարանի համակցությամբ)</t>
  </si>
  <si>
    <t>Գրապահարան (Երկդռնանի պահարան, ապակե դռներով)</t>
  </si>
  <si>
    <t xml:space="preserve">Պահարան (Գրապահարան՝ չորս դռնանի) </t>
  </si>
  <si>
    <t>Գրապահարան  40012 (Գրապահարան՝ հատակի, 3 դռնանի, ապակե դռներով)</t>
  </si>
  <si>
    <t>Ամբողջը</t>
  </si>
  <si>
    <t xml:space="preserve"> Հայաստանի Հանրապետության աշխատանքի և սոցիալական հարցերի նախարարությանն ամրացված գույքից հետ վերցվող և Երևանի Մանկան տուն» պետական ոչ առևտրային կազմակերպությանը ամրացվող գույքի 
</t>
  </si>
  <si>
    <t>3B1643X16172
3B1643X35916
3B1643X12710
3B1643X12461
3B1643X18143</t>
  </si>
  <si>
    <t xml:space="preserve"> Հայաստանի Հանրապետության աշխատանքի և սոցիալական հարցերի նախարարությանն ամրացված գույքից հետ վերցվող և Երեխայի և ընտանիքի աջակցության կենտրոն պետական ոչ առևտրային կազմակերպությանը ամրացվող գույքի 
</t>
  </si>
  <si>
    <t>F03SN2J</t>
  </si>
  <si>
    <t>CN-OGU625-72872-69R-19JS</t>
  </si>
  <si>
    <t>3B1643X12384
3B1643X32180
3B1643X39710
3B1643X15067
3B1643X31984
3B1643X18142</t>
  </si>
  <si>
    <t>Աթոռ տեսակ 12000 (Աթոռ տեսակ 12000/Աթոռ կիսափափուկ)</t>
  </si>
  <si>
    <t>Աթոռ               (Աթոռ՝ կիսափափուկ)</t>
  </si>
  <si>
    <t>Աթոռ                    (Աթոռ՝ գրասենյակային)</t>
  </si>
  <si>
    <t>Աթոռ                                                     (Աթոռ՝ կիսափափուկ)</t>
  </si>
  <si>
    <t xml:space="preserve"> Հայաստանի Հանրապետության աշխատանքի և սոցիալական հարցերի նախարարությանն ամրացված գույքից հետ վերցվող և Գավառի մանկատուն պետական ոչ առևտրային կազմակերպությանը ամրացվող գույքի 
</t>
  </si>
  <si>
    <t>3B1643X12661
3B1644X35907
3B1644X35959</t>
  </si>
  <si>
    <t xml:space="preserve"> Հայաստանի Հանրապետության աշխատանքի և սոցիալական հարցերի նախարարությանն ամրացված գույքից հետ վերցվող և Գյումրու Երեխաների տուն  պետական ոչ առևտրային կազմակերպությանը ամրացվող գույքի 
</t>
  </si>
  <si>
    <t>3B1643X15622
3B1643X13327
3B1643X12493
3B1643X13636
3B1643X13324
3B1643X35924
3B1643X36325
3B1643X12626</t>
  </si>
  <si>
    <t xml:space="preserve"> Հայաստանի Հանրապետության աշխատանքի և սոցիալական հարցերի նախարարությանն ամրացված գույքից հետ վերցվող և Խարբերդի մանկատուն  պետական ոչ առևտրային կազմակերպությանը ամրացվող գույքի 
</t>
  </si>
  <si>
    <t xml:space="preserve">Համակարգիչ 2 "
HP Pro 3500 Microtower PC, CPU Intel Core i5-3470" </t>
  </si>
  <si>
    <t>CZC3084YY2</t>
  </si>
  <si>
    <t>ETWCC02828019</t>
  </si>
  <si>
    <t>QB0648141341</t>
  </si>
  <si>
    <t>3B1643X12809
3B1643X16051
3B1644X32404
3B1644X36100
3B1643X12667
3B1643X12311
3B1643X32353
3B1643X13225</t>
  </si>
  <si>
    <t>Բազմաֆունկցիոնալ սարք Multifunctional Device 3x1 Lexmark X264DN (Բազմաֆունկցիոնալ սարք Lexmark X264Dn 3X1)</t>
  </si>
  <si>
    <t>350HOWZ</t>
  </si>
  <si>
    <t xml:space="preserve">Հայաստանի Հանրապետության աշխատանքի և սոցիալական հարցերի նախարարությանն ամրացված գույքից հետ վերցվող և Մարի Իզմիրլյանի անվան մանկատուն պետական ոչ առևտրային կազմակերպությանը ամրացվող գույքի 
</t>
  </si>
  <si>
    <t>Համակարգիչ Dell OptiPlex 3010</t>
  </si>
  <si>
    <t>11XPH5J</t>
  </si>
  <si>
    <t>ETWCC02766019</t>
  </si>
  <si>
    <t>3B1643X13568
3B1644X16918
3B1643X16944</t>
  </si>
  <si>
    <t xml:space="preserve">Հայաստանի Հանրապետության աշխատանքի և սոցիալական հարցերի նախարարությանն ամրացված գույքից հետ վերցվող և Նորքի տուն-ինտերնատ պետական ոչ առևտրային կազմակերպությանը ամրացվող գույքի 
</t>
  </si>
  <si>
    <t>103SN2J</t>
  </si>
  <si>
    <t>Մոնիթոր ՙLCD 17՚/ Dell 1703    (Մոնիթոր Dell 1703 Fps)</t>
  </si>
  <si>
    <t>GB-042Y273-47604-43B-AVNS</t>
  </si>
  <si>
    <t>ETWCC02835019</t>
  </si>
  <si>
    <t>3B1643X12636
3B1643X12630
3B1643X12310
3B1643X12647
3B1643X16927</t>
  </si>
  <si>
    <t>Անխափան սնուցման սարքեր APC Back-UPS 650 VA, AVR, 230 V                (Անխափան սնուցման սարք APC Back-UPS 650 VA)</t>
  </si>
  <si>
    <t>3B1643X13302
3B1644X32241
3B1644X16141
3B1643X35971
3B1643X14993
3B1643X36089
3B1643X36159
3B1643X14988
3B1643X16908
3B1643X13197
3B1643X16849
3B1643X15661</t>
  </si>
  <si>
    <t>2. Գրասենյակային կահույք և տեխնիկա</t>
  </si>
  <si>
    <t>Աթոռ                (Աթոռ` փայտե, կիսափափուկ)</t>
  </si>
  <si>
    <t>Բազկաթոռ       (Պտտվող բազկաթոռ` գործվածքապատ)</t>
  </si>
  <si>
    <t>Գրապահարա    (Փոքր գրապահարան` պատի)</t>
  </si>
  <si>
    <t xml:space="preserve">Շարժական կողապահարան 2001 </t>
  </si>
  <si>
    <t>Գրապահարան/տումբա</t>
  </si>
  <si>
    <t>Գրապահարան (Գրապահարան՝ երկդռնանի)</t>
  </si>
  <si>
    <t>Զգեստապահարան3002</t>
  </si>
  <si>
    <t>Գրապահարան 40014 (Հատակի դարակաշար` չորս հատվածանի, երեք դարակաշարով/Գրապահարան 40014)</t>
  </si>
  <si>
    <t>Գրապահարան` բաց (Գրապահարան հատակի` բաց, մեկհատվածանի, սև)</t>
  </si>
  <si>
    <t>Մետաղական պահարան</t>
  </si>
  <si>
    <t>Մահճակալի պահարան (Պահարանիկ հատակի)</t>
  </si>
  <si>
    <t>Երկաթյա պահարան (Մետաղական պահարան` երկդռնանի)</t>
  </si>
  <si>
    <t>Տումբա երկար /զատիկ/</t>
  </si>
  <si>
    <t xml:space="preserve">Ղեկավարի սեղան դիմադիրով (Ղեկավարի սեղան` կողադիրով, դիմադիրով) </t>
  </si>
  <si>
    <t>Սեղան երկտումբանի (Գրասեղան երկտումբանի)</t>
  </si>
  <si>
    <t>Երկտումբանի գրասեղան (Սեղան մեկ տուբանի/գրասեղան առանց տումբաների)</t>
  </si>
  <si>
    <t>Կոնդիցիոներ ՙSAMSUNG AQ09W՚</t>
  </si>
  <si>
    <t xml:space="preserve">Օդափոխիչ condit/heat 240m3 SAMSUNG AQ09w8we </t>
  </si>
  <si>
    <t>Օդափոխիչ SAMSUNG AQ09w8we</t>
  </si>
  <si>
    <t>Օդափոխիչ ՙԱրայ՚</t>
  </si>
  <si>
    <t>Օդափոխիչ «Aftron»</t>
  </si>
  <si>
    <t>Օդափոխիչ SAMSUNG AQ 18 FBX</t>
  </si>
  <si>
    <t xml:space="preserve"> Հայաստանի Հանրապետության աշխատանքի և սոցիալական հարցերի նախարարությանն ամրացված գույքից հետ վերցվող և Երևանի թիվ 1 տուն ինտերնատ  պետական ոչ առևտրային կազմակերպությանը ամրացվող գույքի 
</t>
  </si>
  <si>
    <t xml:space="preserve"> Հայաստանի Հանրապետության աշխատանքի և սոցիալական հարցերի նախարարությանն ամրացված գույքից հետ վերցվող և Տնային պայմաններում միայնակ տարեցների և հաշմանդամների սոցիալական սպասարկման կենտրոն պետական ոչ առևտրային կազմակերպությանը ամրացվող գույքի 
</t>
  </si>
  <si>
    <t>1YWPH5J</t>
  </si>
  <si>
    <t>4D5SN2J</t>
  </si>
  <si>
    <t>ETWCC02765019
ETWCC02657019</t>
  </si>
  <si>
    <t>QB0648340861
QB0648141346</t>
  </si>
  <si>
    <t>3B1643X12398
3B1643X12568</t>
  </si>
  <si>
    <t xml:space="preserve"> Հայաստանի Հանրապետության աշխատանքի և սոցիալական հարցերի նախարարությանն ամրացված գույքից հետ վերցվող և Վարդենիսի նյարդահոգեբանական տուն-ինտերնատ պետական ոչ առևտրային կազմակերպությանը ամրացվող գույքի 
</t>
  </si>
  <si>
    <t>Համակարգիչ 2 "
HP Pro 3500 Microtower PC, CPU Intel Core i5-3470"</t>
  </si>
  <si>
    <t>CZC3084YXR
CZC3084YYD</t>
  </si>
  <si>
    <t>ETWCC02755019
ETWCC02789019</t>
  </si>
  <si>
    <t>AB0628120007
QB0647343822</t>
  </si>
  <si>
    <t>400145811303
400148611303</t>
  </si>
  <si>
    <t>3B1644X32136
3B1644X36021
3B1643X12552
3B1643X16512
3B1643X16053
3B1643X15709
3B1643X32162
3B1643X36041
3B1643X35990
3B1643X15079</t>
  </si>
  <si>
    <t xml:space="preserve">Տպիչ HP LJ 2420DN (Տպիչ LaserJet 2420Dn) </t>
  </si>
  <si>
    <t>CNHW5CPGZV</t>
  </si>
  <si>
    <t>Սկաներ Scanner 3220DN A4              (Սկաներ Xerox Work Centre 3220Dn)</t>
  </si>
  <si>
    <t xml:space="preserve">2. Գրասենյակային կահույք </t>
  </si>
  <si>
    <t>Աթոռ փափուկ, մետաղե ոտքերով</t>
  </si>
  <si>
    <t>Բազկաթոռ աթոռ /զատիկ     (Բազկաթոռ՝ կիսափափուկ/Բազկաթոռ աթոռ /զատիկ/)</t>
  </si>
  <si>
    <t>Բազկաթոռ աթոռ /զատիկ                (Բազկաթոռ՝ գործվածքապատ, հին)</t>
  </si>
  <si>
    <t>Բազկաթոռ  աթոռ/զատիկ/</t>
  </si>
  <si>
    <t>Աթոռ փայտե`  կիսափափուկ</t>
  </si>
  <si>
    <t>Գրասենյակային աթոռ (Աթոռ կիսափափուկ)</t>
  </si>
  <si>
    <t>Աթոռ տեսակ 1120 (Աթոռ փափուկ՝ մետաղե ոտքերով)</t>
  </si>
  <si>
    <t>Բազկաթոռ  աթոռ</t>
  </si>
  <si>
    <t>Բազկաթոռ  աթոռ (Բազկաթոռ` կոշտ)</t>
  </si>
  <si>
    <t>Աթոռ-12000 (Աթոռ`  կիսափափուկ)</t>
  </si>
  <si>
    <t>Բազկաթոռ կիսափափուկ (Պտտվող բազկաթոռ` մետաղյա ոտքերով)</t>
  </si>
  <si>
    <t>Բազկաթոռ կիսափափուկ  (Բազկաթոռ գործվածքապատ)</t>
  </si>
  <si>
    <t>Բազկաթոռ կիսափափուկ</t>
  </si>
  <si>
    <t>Աթոռ տեսակ 1080 (Աթոռ՝ փափուկ, մետաղե ոտքերով)</t>
  </si>
  <si>
    <t>Բազկաթոռ փափուկ (Բազկաթոռ փափուկ` գործվածքապատ)</t>
  </si>
  <si>
    <t>Աթոռ կիսափափուկ /Աթոռ կարմիր/ (Աթոռ կիսափափուկ)</t>
  </si>
  <si>
    <t>Աթոռ                (Աթոռ կիսափափուկ)</t>
  </si>
  <si>
    <t>Բազկաթոռ (Պտտվող բազկաթոռ` գործվածքապատ)</t>
  </si>
  <si>
    <t>Բազկաթոռ (Բազկաթոռ պտտվող, զսպանակով)</t>
  </si>
  <si>
    <t>Աթոռ (Փափուկ աթոռ մետաղե ոտքերով)</t>
  </si>
  <si>
    <t>Աթոռ               (Աթոռ` կիսափափուկ,գործվածքապատ)</t>
  </si>
  <si>
    <t>Աթոռ                            (Աթոռ` կիսափափուկ)</t>
  </si>
  <si>
    <t>Աթոռ 3             (Աթոռ փափուկ, մետաղե ոտքերով)</t>
  </si>
  <si>
    <t>Աթոռ կտորե պաստառով, գույնը սև                    (Աթոռ կտորե պաստառով, գույնը սև)</t>
  </si>
  <si>
    <t>Աթոռ գրասենյակային (Աթոռ` փափուկ, մետաղե ոտքերով)</t>
  </si>
  <si>
    <t>Աթոռ գրասենյակային (Աթոռ -14500/Աթոռ կիսափափուկ)</t>
  </si>
  <si>
    <t xml:space="preserve">Աթոռ (Աթոռ/Աթոռ կիսափափուկ) </t>
  </si>
  <si>
    <t xml:space="preserve">Բազկաթոռ պտտվող/զատիկ/            (Բազկաթոռ պտտվող, զսպանակով/զատիկ/)
</t>
  </si>
  <si>
    <t xml:space="preserve">Աթոռ տարբեր      (Աթոռ` կիսափափուկ /Աթոռներ տարբեր/) </t>
  </si>
  <si>
    <t>Աթոռ` կիսափափուկ, գործվածքապատ</t>
  </si>
  <si>
    <t>Աթոռ` կիսափափուկ, գործվածքապատ (Աթոռ՝ կիսափափուկ)</t>
  </si>
  <si>
    <t>Գրասենյակային աթոռ` մետաղական կմախքով</t>
  </si>
  <si>
    <t>Աթոռներ` փափուկ (Աթոռներ` փափուկ/Աթոռ կիսափափուկ)</t>
  </si>
  <si>
    <t>Բազկաթոռ պտտվող (Բազկաթոռ պտտվող` զսպանակով)</t>
  </si>
  <si>
    <t xml:space="preserve">Պտտվող բազկաթոռ` մետաղական ոտքերով, նոր (Պտտվող բազկաթոռ` մետաղական ոտքերով) </t>
  </si>
  <si>
    <t xml:space="preserve">Գրապահարան       (Սև գրապահարան 3 դարակաշարով) </t>
  </si>
  <si>
    <t>Գրապահարան (Գրապահարան փակ` երկդռնանի)</t>
  </si>
  <si>
    <t>Տումբա սև /զատիկ/ (Պահարանիկ՝ սև/Տումբա սև /զատիկ/)</t>
  </si>
  <si>
    <t>Երկաթյա պահարան (Երկդռնանի մետաղական պահարան)</t>
  </si>
  <si>
    <t>Երկաթյա պահարան</t>
  </si>
  <si>
    <t>Գրասեղան (Գրասեղան առանց տումբայի)</t>
  </si>
  <si>
    <t>Սեղան մեկ տուբանի (Երկտումբանի գրասեղան)</t>
  </si>
  <si>
    <t>Գրասեղան 1300x800 (Գրասեղան՝ մեկ տումբանի)</t>
  </si>
  <si>
    <t>Գրասեղան՝ երկտումբանի</t>
  </si>
  <si>
    <t>Սեղան մեկ տուբանի (Գրասեղան առանց տումբայի)</t>
  </si>
  <si>
    <t>Սեղան 1200x800</t>
  </si>
  <si>
    <t>Սեղան երկու տումբանի                        (Սեղան երկու տումբանի/ Գրասեղան` երկտումբանի)</t>
  </si>
  <si>
    <t>Սեղան գործավարի (Գրասեղան՝ անկյունաձև)</t>
  </si>
  <si>
    <t>Գրասեղան` երկտումբանի (Գրասեղան՝ երկտումբանի)</t>
  </si>
  <si>
    <t>Սեղան անկյունավոր/Զատիկ</t>
  </si>
  <si>
    <t>Սեղան (Գրասեղան առանց տումբայի)</t>
  </si>
  <si>
    <t>Դիմադիր սեղան</t>
  </si>
  <si>
    <t>Մոնիթոր "SAMSUNG E 1920N" (Մոնիթոր Samsung E1920 E)</t>
  </si>
  <si>
    <t xml:space="preserve">Անխափան սնուցման սարք BNT 600 (Անխափան սնուցման սարք Power Com 600AP) </t>
  </si>
  <si>
    <t>YL4Q503669
YL4Q503387</t>
  </si>
  <si>
    <t>CL19HVHBC00144B
CL19HVHBC00488Z</t>
  </si>
  <si>
    <t>20021531112
20021541112
20021551112</t>
  </si>
  <si>
    <t>YL4Q503277
YL4Q503498
YL4Q503802</t>
  </si>
  <si>
    <t>CL19HVHBC00042K
CL19HVHBC00142L</t>
  </si>
  <si>
    <t>20021311112
20021681112
20021691112
20022791112</t>
  </si>
  <si>
    <t>YL4Q503651</t>
  </si>
  <si>
    <t>YL4Q503323</t>
  </si>
  <si>
    <t>CL19HVHBC00447G</t>
  </si>
  <si>
    <t>CL19HVHBC00424V</t>
  </si>
  <si>
    <t>YL4Q503313</t>
  </si>
  <si>
    <t>CL19HVHBC00043Z</t>
  </si>
  <si>
    <t>YL4Q503401
YL4Q503764</t>
  </si>
  <si>
    <t>CL19HVHBC00104H</t>
  </si>
  <si>
    <t>20025501112
20021511112
20025511112
20025491112</t>
  </si>
  <si>
    <t>YL4Q503647</t>
  </si>
  <si>
    <t>Մոնիթոր 1E 177Fp (Մոնիթոր Dell 1E 177Fp)</t>
  </si>
  <si>
    <t>OGU625-72872-69R-1P5S               OGU625-72872-69R-1GUS</t>
  </si>
  <si>
    <t>BR4SN2J</t>
  </si>
  <si>
    <t>Անխափան սնուցման սարք Uninterrupted Power Supply (UPS) PowerCom RPT-800AP</t>
  </si>
  <si>
    <t>40104431605    40102561605</t>
  </si>
  <si>
    <t>YL4Q503543</t>
  </si>
  <si>
    <t>CL19HVHBC00398Z</t>
  </si>
  <si>
    <t>YL4Q503494
YL4Q503746</t>
  </si>
  <si>
    <t>CL19HVHBC00483V
CL19HVHBC00330H</t>
  </si>
  <si>
    <t>YL4Q503486</t>
  </si>
  <si>
    <t>CL19HVHBC00067B</t>
  </si>
  <si>
    <t>20022981112
20022991112</t>
  </si>
  <si>
    <t>YL4Q503233
YL4Q503231</t>
  </si>
  <si>
    <t>CL19HVHBC00386Y
CL19HVHBC00143T</t>
  </si>
  <si>
    <t>20021721112
20022921112
20021711112
20022931112
20022911112
20021731112</t>
  </si>
  <si>
    <t>YL4Q503198</t>
  </si>
  <si>
    <t>CL19HVHBC00060H</t>
  </si>
  <si>
    <t>20022561112
20022571112</t>
  </si>
  <si>
    <t>YL4Q503320
YL4Q503234</t>
  </si>
  <si>
    <t>CL19HVHBC00174
CL19HVHBC00370</t>
  </si>
  <si>
    <t>YL4Q503538
YL4Q503542
YL4Q503232</t>
  </si>
  <si>
    <t>CL19HVHBC00116R
CL19HVHBC00118J
CL19HVHBC00127E</t>
  </si>
  <si>
    <t>YL4Q503649</t>
  </si>
  <si>
    <t>CL19HVHBC00082N</t>
  </si>
  <si>
    <t>20022781112
20022721112</t>
  </si>
  <si>
    <r>
      <t xml:space="preserve">20021451112
20021461112
20023001112
20023011112
</t>
    </r>
    <r>
      <rPr>
        <b/>
        <sz val="11"/>
        <color theme="1"/>
        <rFont val="GHEA Grapalat"/>
        <family val="3"/>
      </rPr>
      <t>----</t>
    </r>
  </si>
  <si>
    <t>YL4Q503745
YL4Q503230</t>
  </si>
  <si>
    <t>CL19HVHBO00111D
CL19HVHBO00569D</t>
  </si>
  <si>
    <t>YL4Q503753</t>
  </si>
  <si>
    <t>CL19HVHBC00244V</t>
  </si>
  <si>
    <t>20021661112
20021521112         20021501112</t>
  </si>
  <si>
    <t>YL4Q503484</t>
  </si>
  <si>
    <t>CL19HVHBC00463Y</t>
  </si>
  <si>
    <t>20021131112
20022651112</t>
  </si>
  <si>
    <t>YL4Q503319</t>
  </si>
  <si>
    <t>CL19HVHBC00441X</t>
  </si>
  <si>
    <t>20021231112
20021241112
20022881112
20022891112
20022901112
20022611112
20022621112
20022631112</t>
  </si>
  <si>
    <t>Մոնիթոր 2 E 773 (Մոնիթոր Dell E773c)</t>
  </si>
  <si>
    <t>CN-OTX075-64180-69Q REV AO2</t>
  </si>
  <si>
    <t>YL4Q503681</t>
  </si>
  <si>
    <t>CL19HVHBC00397K</t>
  </si>
  <si>
    <t>YL4Q503389</t>
  </si>
  <si>
    <t>CL19HVHBC00045A</t>
  </si>
  <si>
    <t>YL4Q503697</t>
  </si>
  <si>
    <t>CL19HVHBC00360Y</t>
  </si>
  <si>
    <t>YL4Q503318
YL4Q503767</t>
  </si>
  <si>
    <t>CL19HVHBC00073H
CL19HVHBC00053T</t>
  </si>
  <si>
    <t>20023031112
20026561112
20026551112
20023041112</t>
  </si>
  <si>
    <t>YL4Q503241
YL4Q503496</t>
  </si>
  <si>
    <t>CL19HVHBC00340E</t>
  </si>
  <si>
    <t>YL4Q503199</t>
  </si>
  <si>
    <t>CL19HVHBC00153W</t>
  </si>
  <si>
    <t>20022761112
20022771112
20022551112</t>
  </si>
  <si>
    <t>YL4Q503799</t>
  </si>
  <si>
    <t>CL19HVHBC00091A</t>
  </si>
  <si>
    <t>YL4Q503502</t>
  </si>
  <si>
    <t>1L3SN2J</t>
  </si>
  <si>
    <t>YL4Q503813</t>
  </si>
  <si>
    <t>Մոնիթոր "SAMSUNG E 1920N"      (Մոնիթոր Samsung E1920 E)</t>
  </si>
  <si>
    <t>CL19HVHBC00435M</t>
  </si>
  <si>
    <r>
      <t xml:space="preserve">CN-OW9598-64180-691-00SQ
</t>
    </r>
    <r>
      <rPr>
        <b/>
        <sz val="11"/>
        <color theme="1"/>
        <rFont val="GHEA Grapalat"/>
        <family val="3"/>
      </rPr>
      <t>---</t>
    </r>
  </si>
  <si>
    <t>YL4Q503392</t>
  </si>
  <si>
    <t>CL19HVHBC00376D</t>
  </si>
  <si>
    <t>YL4Q503288</t>
  </si>
  <si>
    <t>CL19HVHBC00092P</t>
  </si>
  <si>
    <t>YL4Q503544</t>
  </si>
  <si>
    <t>YL4Q503615</t>
  </si>
  <si>
    <t>YL4Q503274</t>
  </si>
  <si>
    <t>CL19HVHBC00434G</t>
  </si>
  <si>
    <t>YL4Q503394</t>
  </si>
  <si>
    <t>1․Սոցիալական ապահովության ծառայություն</t>
  </si>
  <si>
    <t xml:space="preserve">CL19HVHBC00378N CL19HVHBC00344J CL19HVHBC00171X CL19HVHBC00047D CL19HVHBC00122A CL19HVHBC00110P CL19HVHBC00048X CL19HVHBC00175R CL19HVHBC00062M CL19HVHBC00385Z CL19HVHBC00388P CL19HVHBC00377X CL19HVHBC00396P    </t>
  </si>
  <si>
    <t>2․ Սոցիալական ապահովության ծառայության Չարենցավանի տարածքային բաժնին</t>
  </si>
  <si>
    <t>20023071112, 
20023081112, 
20023061112, 
20022521112,
 20022531112, 
20022541112
20021291112</t>
  </si>
  <si>
    <t>3․ Սոցիալական ապահովության ծառայության Մասիսի տարածքային բաժնին</t>
  </si>
  <si>
    <t>20021601112 20021071112 20021201112
20021211112 20021221112 20027411112
20027421112 20027431112</t>
  </si>
  <si>
    <t>4․ Սոցիալական ապահովության ծառայության Վեդու տարածքային բաժնին</t>
  </si>
  <si>
    <t>CL19HVHBC00299 CL19HVHBC00096 CL19HVHBC00070 CL19HVHBC00400 CL19HVHBC00064 CL19HVHBC00057 
CL19HVHBC00204</t>
  </si>
  <si>
    <t>20021701112 20026771112 20027481112 20023151112 20021591112 20023141112
20022811112</t>
  </si>
  <si>
    <r>
      <t xml:space="preserve"> </t>
    </r>
    <r>
      <rPr>
        <b/>
        <sz val="12"/>
        <rFont val="GHEA Grapalat"/>
        <family val="3"/>
      </rPr>
      <t xml:space="preserve">Հայաստանի Հանրապետության աշխատանքի և սոցիալական հարցերի նախարարությանն ամրացված գույքից հետ վերցվող և անհատույց օգտագործման իրավունքով ««Նորք» սոցիալական ծառայությունների տեխնոլոգիական և իրազեկման կենտրոն» հիմնադրամին ամրացվող գույքի 
</t>
    </r>
  </si>
  <si>
    <t>Տպիչ սարք Canon  I-SENSYS LBP 6300dn (Տպիչ Canon 1-SENSYS LBR 6300dn)</t>
  </si>
  <si>
    <t xml:space="preserve">MFSA024984   MFSA025146   MFSA025147   MFSA025502   MFSA025155   MFSA024914   MFSA024978   MFSA024908   MFSA024912   MFSA025149   MFSA024986   MFSA025504 </t>
  </si>
  <si>
    <t>Համակարգիչ HP Pro 3300M (Համակարգիչ-Computer HP Pro 3300 Microtower PC (XT307EA))</t>
  </si>
  <si>
    <t xml:space="preserve">CZC1319FFN    CZC1319FFG     CZC1319FG6    CZC1319FFJ     CZC1319FFL     CZC1319FF7    CZC1319FFY   CZC1319FF8   CZC1319FG3    CZC1319FG4     </t>
  </si>
  <si>
    <t xml:space="preserve">Բազմաֆունկցիոնալ սարք Canon I-Sensys MF-4410 </t>
  </si>
  <si>
    <t>KWJ83461</t>
  </si>
  <si>
    <t>Կոնֆերանս համակարգ  (Կոնֆերանս համակարգ Beyerdinamic MSC20, Beyerdinamic MCS223, Beyerdinamic MCS221, Bosch)</t>
  </si>
  <si>
    <t xml:space="preserve">Սեղանի պահարան </t>
  </si>
  <si>
    <t xml:space="preserve">Գրասենյակային աթոռ                           (Աթոռ գրասենյակային) </t>
  </si>
  <si>
    <t>Կոնֆերանսների սեղան</t>
  </si>
  <si>
    <t xml:space="preserve">Համակարգչային սեղան </t>
  </si>
  <si>
    <t>Պրոյեկտորի էկրան,  280սմx280սմ, matte white    (Պրոյեկտորի էկրան)</t>
  </si>
  <si>
    <t>YL4Q503470</t>
  </si>
  <si>
    <t>20023131112
20025321112
20022191112
20022581112
20022691112
20022681112
20022671112
20022591112
20022601112
20021181112
20021611112</t>
  </si>
  <si>
    <t>YL4Q503276
YL4Q503631
YL4Q503459
YL4Q503278</t>
  </si>
  <si>
    <t>CL19HVHBC00426T
CL19HVHBC00347V
CL19HVHBC00348L
CL19HVHBC00444F</t>
  </si>
  <si>
    <t>YL4Q503744
YL4Q503762
YL4Q503765
YL4Q503740</t>
  </si>
  <si>
    <t>CL19HVHBC00423W
CL19HVHBO00065L
CL19HVHBO00093D
CL19HVHBO00052L</t>
  </si>
  <si>
    <t>20022511112
20022951112
20022491112
20022961112
20022941112
20022501112</t>
  </si>
  <si>
    <t>YL4Q503761
YL4Q503741
YL4Q503539
YL4Q503565</t>
  </si>
  <si>
    <t>CL19HVHBC00 41B
CL19HVHBO00577K
CL19HVHBO00425L CL19HVHBO00494M</t>
  </si>
  <si>
    <t>20022481112
20022831112
20022821112
20022471112
20022461112
20022131112
20022841112</t>
  </si>
  <si>
    <t>YL4Q503391</t>
  </si>
  <si>
    <t>YL4Q503670</t>
  </si>
  <si>
    <t>CL19HVHBC00487K</t>
  </si>
  <si>
    <t>7F5SN2J
8Z2SN2J
HL4SN2J
CC2SN2J
GX2SN2J
5P6SN2J
123SN2J</t>
  </si>
  <si>
    <t>CN-OW9598-64180-691-01PD
CN-OW9598-64180-691-01P8
CN-OW9598-64180-691-02UG
CN-OW9598-64180-691-Q1XX
CN-OW9598-64180-691-01PQ
CN-OW9598-64180-691-02US</t>
  </si>
  <si>
    <t>YL4Q503766</t>
  </si>
  <si>
    <t>CL19HVHBC00138X</t>
  </si>
  <si>
    <t>YL4Q503630</t>
  </si>
  <si>
    <t>CL19HVHBC00482W</t>
  </si>
  <si>
    <t>YL4Q503650</t>
  </si>
  <si>
    <t>CL19HVHBC00077V</t>
  </si>
  <si>
    <t>20021571112
20021561112</t>
  </si>
  <si>
    <t>20026611112
20026751112
20026761112
20025611112
20025621112
20025631112</t>
  </si>
  <si>
    <t>YL4Q503193</t>
  </si>
  <si>
    <t>CL19HVHBO00379E</t>
  </si>
  <si>
    <t>20021021112
20021031112
20021041112</t>
  </si>
  <si>
    <t>20022851112
20021651112
20021141112
20021151112
20021161112</t>
  </si>
  <si>
    <t xml:space="preserve">Հայաստանի Հանրապետության աշխատանքի և սոցիալական հարցերի նախարարությանն ամրացված գույքից հետ վերցվող և Հայաստանի Հանրապետության օրենսդրությամբ սահմանված կարգով Արցախի Հանրապետության պաշտպանության բանակին նվիրաբերվող գույքի 
</t>
  </si>
  <si>
    <t>YLQ503685</t>
  </si>
  <si>
    <t>Մոնիթոր 2 HP EliteDisplay E222 21.5 IPS w/LED      (Մոնիթոր 2 Hp EliteDisplay E222 21.5"(54,6 cm))</t>
  </si>
  <si>
    <t>6CM6111ZYF</t>
  </si>
  <si>
    <t>Բազմաֆունկցիոնալ տպիչ Multifunctional Printer Canon i-SENSYS MF6140dn (Բազմաֆունկցիոնալ սարք Multifunctional printer Canon i-Sensys  MF6140)</t>
  </si>
  <si>
    <t>QPW64917</t>
  </si>
  <si>
    <t>YL4Q503243</t>
  </si>
  <si>
    <t xml:space="preserve">
20026601112
</t>
  </si>
  <si>
    <t>YL4Q503654</t>
  </si>
  <si>
    <t>CL19HVHBO00443E</t>
  </si>
  <si>
    <t xml:space="preserve">Աշակերտական սեղան/աթոռ դեղին </t>
  </si>
  <si>
    <t>Կրակմարիչ</t>
  </si>
  <si>
    <t>Պահարան դարակներով</t>
  </si>
  <si>
    <t>Հարդուկի սեղան շարժական</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</si>
  <si>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Աիդա և Գևորգ Մկրտչյաններին տրամադրվող գույքի 
</t>
  </si>
  <si>
    <t>Հավելված N 46</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</si>
  <si>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 Ալեն Մաթևոսյանին տրամադրվող գույքի 
</t>
  </si>
  <si>
    <t>Հավելված N 47</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</si>
  <si>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Ամալյա և Իզաբելլա Մանուկյաններին տրամադրվող գույքի 
</t>
  </si>
  <si>
    <t>Հավելված N 48</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</si>
  <si>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Անդրանիկ և Արամ Զաքարյաններին տրամադրվող գույքի 
</t>
  </si>
  <si>
    <t>Երկհարկանի մահճակալ</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</si>
  <si>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Անժելա և Լիաննա Քուպալյաններին տրամադրվող գույքի 
</t>
  </si>
  <si>
    <t>Հավելված N 49</t>
  </si>
  <si>
    <t>Հավելված N 50</t>
  </si>
  <si>
    <t>Մահճակալ՝ ներքնակով</t>
  </si>
  <si>
    <t>Հավելված N 51</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</si>
  <si>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Արամ և Տաթև Հովհաննիսյաններին տրամադրվող գույքի 
</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</si>
  <si>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Արա և Սյուզի Մխիթարյաններին տրամադրվող գույքի 
</t>
  </si>
  <si>
    <t>Հավելված N 52</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</si>
  <si>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Արման և Արշակունի Մադոյաններին տրամադրվող գույքի 
</t>
  </si>
  <si>
    <t>Մահճակալ՝ երկհարկանի</t>
  </si>
  <si>
    <t>Հավելված N 53</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</si>
  <si>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Արթուր և Շողիկ Մուրադյաններին տրամադրվող գույքի 
</t>
  </si>
  <si>
    <t>Էլեկտրական ջրատաքացուցիչ</t>
  </si>
  <si>
    <t>Հավելված N 54</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</si>
  <si>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Արտյոմ և Անդրանիկ Քթրյաններին տրամադրվող գույքի 
</t>
  </si>
  <si>
    <t>Հավելված N 55</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</si>
  <si>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 Դավիթ Հակոբյանին տրամադրվող գույքի 
</t>
  </si>
  <si>
    <t>Հավելված N 56</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</si>
  <si>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Դավիթ և Արթուր Լոռյաններին տրամադրվող գույքի 
</t>
  </si>
  <si>
    <t>Հավելված N 57</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</si>
  <si>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 Էրիկ Սահակյանին տրամադրվող գույքի 
</t>
  </si>
  <si>
    <t>Հավելված N 58</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</si>
  <si>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Ֆահրատ և Վահան Հաջյաններին տրամադրվող գույքի 
</t>
  </si>
  <si>
    <t>Հավելված N 59</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</si>
  <si>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 Կարեն Բաբայանին տրամադրվող գույքի 
</t>
  </si>
  <si>
    <t>Լվացքի մեքենա National</t>
  </si>
  <si>
    <t>Հավելված N 60</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</si>
  <si>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Քրիստինե և Ռիմա Պետրոսյաններին տրամադրվող գույքի 
</t>
  </si>
  <si>
    <t>Հավելված N 61</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</si>
  <si>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սաներ Մարիամ և Միլենա Մաթոսյաններին տրամադրվող գույքի 
</t>
  </si>
  <si>
    <t>Հավելված N 62</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</si>
  <si>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 Ռոմիկ Սարգսյանին տրամադրվող գույքի 
</t>
  </si>
  <si>
    <t>Հավելված N 63</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</si>
  <si>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 Սուրեն Խաչատրյանին տրամադրվող գույքի 
</t>
  </si>
  <si>
    <t>Հավելված N 64</t>
  </si>
  <si>
    <t xml:space="preserve">Հայաստանի Հանրապետության կառավարության 2018 թվականի հուլիսի 4-ի N 762-Ն որոշման 8-րդ կետի համաձայն՝ Հայաստանի Հանրապետության աշխատանքի և սոցիալական հարցերի նախարարությանը ամրացված գույքից («Վանաձորի երեխաների խնամքի և պաշտպանության N 1 գիշերօթիկ հաստատություն» պետական ոչ առևտրային կազմակերպության վերանվանման արդյունքում) հետ վերցվող և որպես բնաիրային օգնություն Հայաստանի Հանրապետության կառավարության 2019 թվականի հոկտեմբերի 31-ի N 1507-Ն որոշման համաձայն՝ «Գյումրու երեխաների խնամքի և պաշտպանության N 1 գիշերօթիկ հաստատություն» պետական ոչ առևտրային կազմակերպության լուծարման արդյունքում կենսաբանական ընտանիք տեղափոխված նախկին սան Վեներա Ուրուսյանին տրամադրվող գույքի 
</t>
  </si>
  <si>
    <t>աթոռ  2010թ</t>
  </si>
  <si>
    <t xml:space="preserve">աթոռ </t>
  </si>
  <si>
    <t>աթոռ  021211</t>
  </si>
  <si>
    <t>աթոռ  050613</t>
  </si>
  <si>
    <t>աթոռ 361/1</t>
  </si>
  <si>
    <t>աթոռ աշակերտական</t>
  </si>
  <si>
    <t>աթոռ գրադարանի</t>
  </si>
  <si>
    <t>աթոռ գք</t>
  </si>
  <si>
    <t xml:space="preserve">աթոռ երկաթյա </t>
  </si>
  <si>
    <t>աթոռ կիսափափուկ</t>
  </si>
  <si>
    <t>աթոռ համակարգչային</t>
  </si>
  <si>
    <t>աթոռ փափուկ</t>
  </si>
  <si>
    <t>աթոռ փափուկ/մինասյաններ/</t>
  </si>
  <si>
    <t>ալյումինե աստիճան</t>
  </si>
  <si>
    <t>արդուկ</t>
  </si>
  <si>
    <t xml:space="preserve">արդուկ </t>
  </si>
  <si>
    <t>արդուկ bosh 3630</t>
  </si>
  <si>
    <t>բազկաթոռ 360/1</t>
  </si>
  <si>
    <t>բազմոց /4 տեղանոց/ 010313</t>
  </si>
  <si>
    <t>բազմոց անկյունային 010313</t>
  </si>
  <si>
    <t>բարձրախոս /2դինամիկ, 2միկրոֆոնով/</t>
  </si>
  <si>
    <t>գազի հաշվիչ 1</t>
  </si>
  <si>
    <t>գազի հաշվիչ 2</t>
  </si>
  <si>
    <t>գազի ճնշման ռեգուլյատոր</t>
  </si>
  <si>
    <t>գազի ջրատաքացուցիչ</t>
  </si>
  <si>
    <t>գազօջախ</t>
  </si>
  <si>
    <t>գրադարանի կահույք 189</t>
  </si>
  <si>
    <t>գրապահարան 2011թ</t>
  </si>
  <si>
    <t>գրապահարան 299/1</t>
  </si>
  <si>
    <t>գրապահարան 357/1</t>
  </si>
  <si>
    <t>գրասեղան  011117</t>
  </si>
  <si>
    <t>գրասեղան 1 տումբով 157/1</t>
  </si>
  <si>
    <t>գրասեղան 210</t>
  </si>
  <si>
    <t>գրասեղան 258/1 021211</t>
  </si>
  <si>
    <t>գրասեղան 314</t>
  </si>
  <si>
    <t>գրասեղանի հավաքածու 121</t>
  </si>
  <si>
    <t>գրասենյակային սեղան 511/1 050613</t>
  </si>
  <si>
    <t>դաշնամուր պետրով</t>
  </si>
  <si>
    <t>դարակ</t>
  </si>
  <si>
    <t>զգեստապահարան 021211</t>
  </si>
  <si>
    <t>էլ.բազմասակագնային հաշվիչ</t>
  </si>
  <si>
    <t>էլ.տաքացուցիչ յուղով</t>
  </si>
  <si>
    <t>էլեկտրական մսաղաց</t>
  </si>
  <si>
    <t>էլեկտրական ջեռակ յուղով 542/1</t>
  </si>
  <si>
    <t>թենիսի սեղան</t>
  </si>
  <si>
    <t>թենիսի սեղան 426</t>
  </si>
  <si>
    <t>թենիսի սեղան 476</t>
  </si>
  <si>
    <t>ինֆորմացիոն վահանակ</t>
  </si>
  <si>
    <t>լվացարան 2տեղ.1200x600x850մմ</t>
  </si>
  <si>
    <t>լվացք չորացնող մեքենա  ՛՛նազարյան՛՛</t>
  </si>
  <si>
    <t>լվացք չորացնող մեքենա  ariston</t>
  </si>
  <si>
    <t>լվացք չորացնող մեքենա  gorenje d71312</t>
  </si>
  <si>
    <t>լվացքի մեքենա gibrau-617-lce</t>
  </si>
  <si>
    <t>լվացքի մեքենա indezit</t>
  </si>
  <si>
    <t>լվացքի մեքենա lgf 1441</t>
  </si>
  <si>
    <t>խոհանոցի անկյուն 212</t>
  </si>
  <si>
    <t>կաթսա 50լ-ոց</t>
  </si>
  <si>
    <t>կախիչ 287</t>
  </si>
  <si>
    <t>կախիչ 448</t>
  </si>
  <si>
    <t>կախիչ 448/1</t>
  </si>
  <si>
    <t>կարաոկե 531</t>
  </si>
  <si>
    <t>կողասեղան 010417</t>
  </si>
  <si>
    <t>կոմբայն elsa</t>
  </si>
  <si>
    <t>համակարգիչ  lg 131015</t>
  </si>
  <si>
    <t>համակարգիչ 494/1</t>
  </si>
  <si>
    <t>համակարգիչ intel philips</t>
  </si>
  <si>
    <t>համակարգիչ1 p4 011216</t>
  </si>
  <si>
    <t>համակարգչային կոմպլ.486/1</t>
  </si>
  <si>
    <t>համակարգչային սեղան 446/1 2011թ</t>
  </si>
  <si>
    <t>հայելի վարսավիրի</t>
  </si>
  <si>
    <t>հեռաալեհավաք դրսի</t>
  </si>
  <si>
    <t>հեռուստացույց ՛՛եվրոմաքս՛՛ 535</t>
  </si>
  <si>
    <t>հեռուստացույց berg.1</t>
  </si>
  <si>
    <t>հեռուստացույց lg 456</t>
  </si>
  <si>
    <t>հեռուստացույց lg 508</t>
  </si>
  <si>
    <t>հեռուստացույց lg 529</t>
  </si>
  <si>
    <t>հեռուստացույց samsung 538</t>
  </si>
  <si>
    <t>հեռուստացույց toshiba 509</t>
  </si>
  <si>
    <t>հեռուստացույց vestel 444</t>
  </si>
  <si>
    <t>հեռուստացույցի տակդիր</t>
  </si>
  <si>
    <t>ճաշասեղան 150*90*85</t>
  </si>
  <si>
    <t>ճաշասեղան 170*90*85 2010թ</t>
  </si>
  <si>
    <t>մահճակալ 1 հարկով</t>
  </si>
  <si>
    <t xml:space="preserve">մահճակալ 1 հարկով </t>
  </si>
  <si>
    <t>մահճակալ 1 հարկով 165/1</t>
  </si>
  <si>
    <t>մահճակալ 2 հարկով 154/1</t>
  </si>
  <si>
    <t>մահճակալ 2 հարկով 266/1</t>
  </si>
  <si>
    <t>մահճակալ 2 հարկով 281</t>
  </si>
  <si>
    <t>մահճակալ մանկական /ծալովի/</t>
  </si>
  <si>
    <t>մահճակալ մանկական 2009թ</t>
  </si>
  <si>
    <t>մահճակալ նորածնի 2008թ</t>
  </si>
  <si>
    <t>մահճակալի կողքի տումբոչկա 010313</t>
  </si>
  <si>
    <t>մանղալ</t>
  </si>
  <si>
    <t>մատ 2011թ</t>
  </si>
  <si>
    <t>մատ մարմնամարզական 2011</t>
  </si>
  <si>
    <t>մատ սպորտային 2009</t>
  </si>
  <si>
    <t>մատուցարան սեղան 011117</t>
  </si>
  <si>
    <t>մատրաս</t>
  </si>
  <si>
    <t>մարմնամարզական հեծանիվ</t>
  </si>
  <si>
    <t>մարմնամարզական մատ 565/1</t>
  </si>
  <si>
    <t>միքսեր</t>
  </si>
  <si>
    <t>նստարան բակի 455/1</t>
  </si>
  <si>
    <t>պահարան</t>
  </si>
  <si>
    <t>պահարան  /soar/ 011216</t>
  </si>
  <si>
    <t>պահարան /ստենկա/  010417</t>
  </si>
  <si>
    <t>պահարան /ստենկա/ 2008թ</t>
  </si>
  <si>
    <t>պահարան /ստենկա/ հավաքովի քառ.մ</t>
  </si>
  <si>
    <t>պահարան /փոքր/ 010417</t>
  </si>
  <si>
    <t>պահարան 307/1</t>
  </si>
  <si>
    <t>պահարան ապակե դռներով  011117</t>
  </si>
  <si>
    <t>պահարան բաց 011117</t>
  </si>
  <si>
    <t>պահարան լամինատե 290/1</t>
  </si>
  <si>
    <t>պահարան խոհանոցի 011117</t>
  </si>
  <si>
    <t>պահարան հագուստի</t>
  </si>
  <si>
    <t>պահարան չհրկիզվող 141</t>
  </si>
  <si>
    <t>պահարան չհրկիզվող 73</t>
  </si>
  <si>
    <t>պահարան չհրկիզվող 74</t>
  </si>
  <si>
    <t>պատի նկարներ /շրջանակով/</t>
  </si>
  <si>
    <t xml:space="preserve">պատշգաբի հովանոց /նավես/ </t>
  </si>
  <si>
    <t>պրոյեկտոր epson h436b 010915</t>
  </si>
  <si>
    <t>ջահ /տօրենի սենյակում/ 011017</t>
  </si>
  <si>
    <t>ջրաչափ203</t>
  </si>
  <si>
    <t>սառնարան lg gr191 tvk</t>
  </si>
  <si>
    <t>սառցախցիկ nash ncf-600ab</t>
  </si>
  <si>
    <t xml:space="preserve">սառցարան </t>
  </si>
  <si>
    <t>սառցարան ուղղահայաց indezit sfr167</t>
  </si>
  <si>
    <t>սեղան 010417</t>
  </si>
  <si>
    <t>սեղան 318/1</t>
  </si>
  <si>
    <t>սեղան 358/1</t>
  </si>
  <si>
    <t>սեղան 537/1 131015</t>
  </si>
  <si>
    <t>սեղան ալյումինե 1.1500x600x850 առ. բորտով</t>
  </si>
  <si>
    <t>սեղան ալյումինե 1.600ղ600ղ850 բորտով</t>
  </si>
  <si>
    <t>սեղան ալյումինի2.1500x600x800 առ. բորտով</t>
  </si>
  <si>
    <t>սեղան աշակերտական</t>
  </si>
  <si>
    <t>սեղան աշխատանքային</t>
  </si>
  <si>
    <t>սեղան ապակյա 4 աթոռով</t>
  </si>
  <si>
    <t>սեղան ապակյա ծածկով</t>
  </si>
  <si>
    <t>սեղան ապակյա ծածկով կլոր</t>
  </si>
  <si>
    <t>սեղան արդուկի 2010թ</t>
  </si>
  <si>
    <t>սեղան կլոր 65/1</t>
  </si>
  <si>
    <t>սեղան կլոր r-43</t>
  </si>
  <si>
    <t>սեղան կոնֆերանսի 253</t>
  </si>
  <si>
    <t>սեղան համակարգչային</t>
  </si>
  <si>
    <t>սեղան մեծ 010417</t>
  </si>
  <si>
    <t>սեղան փոքր /журнальный/</t>
  </si>
  <si>
    <t>սեղան.1 2000x600x800 բորտով</t>
  </si>
  <si>
    <t>սինթեզատոր</t>
  </si>
  <si>
    <t>ստելյաժ մետաղյա</t>
  </si>
  <si>
    <t>վազքուղի</t>
  </si>
  <si>
    <t>վրան տեքստիլ նյութից 515/1</t>
  </si>
  <si>
    <t>տումբոչկա</t>
  </si>
  <si>
    <t xml:space="preserve">տպող սարք </t>
  </si>
  <si>
    <t xml:space="preserve">տպող սարք /բազմաֆունկցիոնալ/ canon </t>
  </si>
  <si>
    <t>տպող սարք /բազմաֆունկցիոնալ/ canon i-sensys mf211</t>
  </si>
  <si>
    <t>տպող սարք 488/1</t>
  </si>
  <si>
    <t>տպող սարք canon me4010</t>
  </si>
  <si>
    <t>տպող սարք samsung</t>
  </si>
  <si>
    <t>ցուցանակ բարեգործական</t>
  </si>
  <si>
    <t xml:space="preserve">փափուկ կահույք /խոլլ/ </t>
  </si>
  <si>
    <t>փափուկ կահույք /խոլլ/ 101013</t>
  </si>
  <si>
    <t xml:space="preserve">փոշեկուլ </t>
  </si>
  <si>
    <t>փոշեկուլ zelmer 425s</t>
  </si>
  <si>
    <t>քայլասայլակ մանկական 507/1</t>
  </si>
  <si>
    <t>ֆոտոապարատ թվային olimpus</t>
  </si>
  <si>
    <t>Aարդուկ Philips</t>
  </si>
  <si>
    <t xml:space="preserve">Էլ. ջեռակ յուղով </t>
  </si>
  <si>
    <t>շլանգ դրսի 050518</t>
  </si>
  <si>
    <t>միկրոֆոն 010618</t>
  </si>
  <si>
    <t>դինամիկ 010618</t>
  </si>
  <si>
    <t>պատի նկարներ 309 2007</t>
  </si>
  <si>
    <t>շերտավարագույր 167 2004</t>
  </si>
  <si>
    <t>լուսատու հախճապակյա 9 ջահով</t>
  </si>
  <si>
    <t>լուսատու հաղճ. 6 ջահով 109 2003</t>
  </si>
  <si>
    <t>ցուցանակ բարեգործական 175 2004</t>
  </si>
  <si>
    <t>ցուցանակ մանկատուն 174 2004</t>
  </si>
  <si>
    <t>ցուցանակ մանկատուն 173 2004</t>
  </si>
  <si>
    <t>վարսահարդարիչ bopai bp-8895</t>
  </si>
  <si>
    <t xml:space="preserve">ջահ </t>
  </si>
  <si>
    <t>ստելաժ մետաղյա</t>
  </si>
  <si>
    <t>հագուստի ձողեր</t>
  </si>
  <si>
    <t>հեռախոս</t>
  </si>
  <si>
    <t>տոնածառ հավաքովի</t>
  </si>
  <si>
    <t>նոր տարվա խաղալիքներ</t>
  </si>
  <si>
    <t>հայելի 359</t>
  </si>
  <si>
    <t>կշեռք</t>
  </si>
  <si>
    <t>կացին</t>
  </si>
  <si>
    <t>շնչադիմակ</t>
  </si>
  <si>
    <t>լապտերիկ</t>
  </si>
  <si>
    <t>ունելի 2014թ</t>
  </si>
  <si>
    <t>մազ կտրելու մեքենա 2014թ.</t>
  </si>
  <si>
    <t>գոգնոց վարսավիրական</t>
  </si>
  <si>
    <t>մկրատ վարսավիրական</t>
  </si>
  <si>
    <t>սանր վարսավիրական 2014թ</t>
  </si>
  <si>
    <t>փլեյեր</t>
  </si>
  <si>
    <t>մոնիտոր</t>
  </si>
  <si>
    <t>վարագույրի քիվ</t>
  </si>
  <si>
    <t>քիվ</t>
  </si>
  <si>
    <t>փոցխ</t>
  </si>
  <si>
    <t>մոլբերտ</t>
  </si>
  <si>
    <t>փոշեկուլ 526 290114</t>
  </si>
  <si>
    <t>վարագույր 050417</t>
  </si>
  <si>
    <t>վարագույր 240517</t>
  </si>
  <si>
    <t>կտոր 010717</t>
  </si>
  <si>
    <t>ջահ մեծ</t>
  </si>
  <si>
    <t>ջահ փոքր</t>
  </si>
  <si>
    <t>էմուլսիա</t>
  </si>
  <si>
    <t>վարդակ</t>
  </si>
  <si>
    <t>անջատիչ 19</t>
  </si>
  <si>
    <t>մետաղական արկղ</t>
  </si>
  <si>
    <t>Համակարգչային բլոկ</t>
  </si>
  <si>
    <t xml:space="preserve">Հայաստանի Հանրապետության կառավարության 2019 թվականի հոկտեմբերի 31-ի N 1507-Ն որոշման 3-րդ կետի համաձայն՝ «Դիլիջանի երեխաների խնամքի և պաշտպանության գիշերօթիկ հաստատություն»  պետական ոչ առևտրային կազմակերպության լուծարման արդյունքում Հայաստանի Հանրապետության աշխատանքի և սոցիալական հարցերի նախարարությանը ամրացված և հետ վերցվող և Հայաստանի Հանրապետության տարածքային կառավարման և ենթակառուցվածքների նախարարության պետական գույքի կառավարման կոմիտեին ամրացվող անշարժ գույքի
</t>
  </si>
  <si>
    <t>Գտնվելու վայրը</t>
  </si>
  <si>
    <t>Սեփ. վկայականը</t>
  </si>
  <si>
    <t>Վիճակը</t>
  </si>
  <si>
    <t>Այլ տվյալներ</t>
  </si>
  <si>
    <t>Շենքերի և շինությունների անվանումը</t>
  </si>
  <si>
    <t>Գույքի ձեռքբերման տարեթիվը</t>
  </si>
  <si>
    <t>Մաշվածությունը (հազ.դրամ)</t>
  </si>
  <si>
    <t xml:space="preserve">Հաշվեկշռային արժեքը (հազ.դրամ) </t>
  </si>
  <si>
    <t>Վերագնահատումից հետո նոր հաշվեկշռային արժեքը (հազ.դրամ)</t>
  </si>
  <si>
    <t>NN ը/կ</t>
  </si>
  <si>
    <t>Հողամասը (հա)</t>
  </si>
  <si>
    <t>Շահագործման տարեթիվը</t>
  </si>
  <si>
    <t>Դրսի կոյուղի</t>
  </si>
  <si>
    <t>Դրսի լուսավորություն</t>
  </si>
  <si>
    <t>Դրսի ջրմուղ</t>
  </si>
  <si>
    <t>Ցանկապատ երկաթյա</t>
  </si>
  <si>
    <t>Բազմամյա տնկարկներ</t>
  </si>
  <si>
    <t>Ջեռուցման համակարգ</t>
  </si>
  <si>
    <t>Հայաստանի Հանրապետության կառավարության 2006 թվականի հունվարի 26-ի N 346-Ն որոշման համաձայն՝ նախկինում Հայաստանի Հանրապետության տարածքային կառավարման և ենթակառուցվածքների նախարարության պետական գույքի կառավարման կոմիտեին ամրացված՝ «Դիլիջանի երեխաների խնամքի և պաշտպանության գիշերօթիկ հաստատություն» պետական ոչ առևտրային կազմակերպության մասնաշենքերում մոնտաժված, սակայն համապատասխան հաշվապահական ձևակերպում չստացած և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և հետ վերցվող և Հայաստանի Հանրապետության տարածքային կառավարման և ենթակառուցվածքների նախարարության պետական գույքի կառավարման կոմիտեին ամրացվող գույքի</t>
  </si>
  <si>
    <t>Էլեկտրական ջահ</t>
  </si>
  <si>
    <t>Լուսարձակ</t>
  </si>
  <si>
    <t>Ցայտաղբյուր</t>
  </si>
  <si>
    <t>Սկզբնական արժեքը (հազ.դրամ)</t>
  </si>
  <si>
    <t xml:space="preserve">Հայաստանի Հանրապետության կառավարության 2019 թվականի հոկտեմբերի 31-ի N 1507-Ն որոշման 3-րդ կետի համաձայն՝ «Բյուրեղավանի երեխաների խնամքի և պաշտպանության գիշերօթիկ հաստատություն»  պետական ոչ առևտրային կազմակերպության լուծարման արդյունքում Հայաստանի Հանրապետության աշխատանքի և սոցիալական հարցերի նախարարությանը ամրացված և հետ վերցվող և Հայաստանի Հանրապետության տարածքային կառավարման և ենթակառուցվածքների նախարարության պետական գույքի կառավարման կոմիտեին ամրացվող անշարժ գույքի
</t>
  </si>
  <si>
    <t>Երկաթյա ցանկապատ</t>
  </si>
  <si>
    <t>Ծաղկավազան</t>
  </si>
  <si>
    <t>Արտաքին ջրմուղ կոյուղի</t>
  </si>
  <si>
    <t>Արտաքին ջերմային ցանց</t>
  </si>
  <si>
    <t>Գազատար  խողովակաշար</t>
  </si>
  <si>
    <t>Ոռոգման  խողովակաշար</t>
  </si>
  <si>
    <t>Զրուցարան (տաղավար) 2 հատ</t>
  </si>
  <si>
    <t>Հայաստանի Հանրապետության կառավարության 2006 թվականի հունվարի 26-ի N 346-Ն որոշման համաձայն՝ նախկինում Հայաստանի Հանրապետության տարածքային կառավարման և ենթակառուցվածքների նախարարության պետական գույքի կառավարման կոմիտեին ամրացված՝ «Բյուրեղավանի երեխաների խնամքի և պաշտպանության գիշերօթիկ հաստատություն» պետական ոչ առևտրային կազմակերպության մասնաշենքերում մոնտաժված, սակայն համապատասխան հաշվապահական ձևակերպում չստացած և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և հետ վերցվող և Հայաստանի Հանրապետության տարածքային կառավարման և ենթակառուցվածքների նախարարության պետական գույքի կառավարման կոմիտեին ամրացվող գույքի</t>
  </si>
  <si>
    <t xml:space="preserve">Օդամաքրիչ խողովակ ճաշարանի </t>
  </si>
  <si>
    <t xml:space="preserve">Հայաստանի Հանրապետության կառավարության 2019 թվականի հոկտեմբերի 31-ի N 1507-Ն որոշման 3-րդ կետի համաձայն՝ «Վանաձորի մանկատուն» պետական ոչ առևտրային կազմակերպության լուծարման արդյունքում Հայաստանի Հանրապետության աշխատանքի և սոցիալական հարցերի նախարարությանը ամրացված և հետ վերցվող և Հայաստանի Հանրապետության օրենսդրությամբ սահմանված կարգով  Հայաստանի Հանրապետության Լոռու մարզի Վանաձոր համայնքին նվիրաբերվող անշարժ գույքի
</t>
  </si>
  <si>
    <t>Անցակետ</t>
  </si>
  <si>
    <t>Ավտոտնակ</t>
  </si>
  <si>
    <t>Երկաթբետոնե պարիսպ</t>
  </si>
  <si>
    <t>Լվացքատուն</t>
  </si>
  <si>
    <t>Կաթսայատուն</t>
  </si>
  <si>
    <t>Կարի արհեստանոց</t>
  </si>
  <si>
    <t>Հանդիպումների սենյակ</t>
  </si>
  <si>
    <t xml:space="preserve">Ծառեր և տնկիներ </t>
  </si>
  <si>
    <t xml:space="preserve">Հայաստանի Հանրապետության կառավարության 2019 թվականի հոկտեմբերի 31-ի N 1507-Ն որոշման 3-րդ կետի համաձայն՝ «Վանաձորի մանկատուն» պետական ոչ առևտրային կազմակերպության լուծարման արդյունքում Հայաստանի Հանրապետության աշխատանքի և սոցիալական հարցերի նախարարությանը ամրացված և հետ վերցվող և Հայաստանի Հանրապետության օրենսդրությամբ սահմանված կարգով Հայաստանի Հանրապետության Լոռու մարզի Վանաձոր համայնքին նվիրաբերվող գույքի (նախկինում համայնքային սեփականություն հանդիսացող շենքում մոնտաժված, սակայն համապատասխան հաշվապահական ձևակերպում չստացած) 
</t>
  </si>
  <si>
    <t>Կամեռա</t>
  </si>
  <si>
    <t>կրակմարիչ</t>
  </si>
  <si>
    <t>07092017-11-0037</t>
  </si>
  <si>
    <t>07092017-11-0038</t>
  </si>
  <si>
    <t>07092017-11-0039</t>
  </si>
  <si>
    <t>07092017-11-0040</t>
  </si>
  <si>
    <t>07092017-11-0041</t>
  </si>
  <si>
    <t>07092017-11-0042</t>
  </si>
  <si>
    <t>3.2ք.մ</t>
  </si>
  <si>
    <t>չունի</t>
  </si>
  <si>
    <t>շահագործվող</t>
  </si>
  <si>
    <t>125.44 ք.մ</t>
  </si>
  <si>
    <t>23.92 ք.մ</t>
  </si>
  <si>
    <t>101 ք.մ</t>
  </si>
  <si>
    <t>10 ք.մ</t>
  </si>
  <si>
    <t>35.59 ք.մ</t>
  </si>
  <si>
    <t>19.8 ք.մ</t>
  </si>
  <si>
    <t>չի շահագործվում</t>
  </si>
  <si>
    <t>59.15 ք.մ</t>
  </si>
  <si>
    <t>6.5 ք.մ</t>
  </si>
  <si>
    <t>158 հատ</t>
  </si>
  <si>
    <t xml:space="preserve">ՀՀ Լոռու մարզի Վանաձոր  քաղաքի Տարոն 2 թաղամաս, ՔՇՀ 4 </t>
  </si>
  <si>
    <t>ՀՀ Տավուշի մարզի Դիլիջան քաղաքի Կամո փողոց, 137 շենք</t>
  </si>
  <si>
    <t xml:space="preserve">ՀՀ Կոտայքի մարզի Բյուրեղավան քաղաքի Ս. Վարդանյան, 44/57 </t>
  </si>
  <si>
    <t>անշարժ գույքի ընդհանուր վկայականի շրջանակներում</t>
  </si>
  <si>
    <t xml:space="preserve">Պրոյեկտորի տակդիր </t>
  </si>
  <si>
    <r>
      <rPr>
        <sz val="11"/>
        <rFont val="GHEA Grapalat"/>
        <family val="3"/>
      </rPr>
      <t>YL4Q503500   YL4Q503568   YL4Q503490   YL4Q503194   YL4Q503540  YL4Q503487    YL4Q503403  YL4Q503464
YL4Q503292  YL4Q</t>
    </r>
    <r>
      <rPr>
        <sz val="11"/>
        <color theme="1"/>
        <rFont val="GHEA Grapalat"/>
        <family val="3"/>
      </rPr>
      <t xml:space="preserve">503608  YL4Q503518   YL4Q503472   YL4Q503519   YL4Q503695  YL4Q503460  YL4Q503505   YL4Q503521   YL4Q503386  YL4Q503492  YL4Q503632  </t>
    </r>
    <r>
      <rPr>
        <sz val="11"/>
        <color theme="9" tint="-0.249977111117893"/>
        <rFont val="GHEA Grapalat"/>
        <family val="3"/>
      </rPr>
      <t xml:space="preserve"> </t>
    </r>
    <r>
      <rPr>
        <sz val="11"/>
        <color theme="1"/>
        <rFont val="GHEA Grapalat"/>
        <family val="3"/>
      </rPr>
      <t>YL4Q503645   YL4Q503317   YL4Q503816   YL4Q503541    YL4Q503814   YL4Q503763  YL4Q503803</t>
    </r>
  </si>
  <si>
    <t>CL19HVHBC00403 CL19HVHBC00418 CL19HVHBC00075 CL19HVHBC00126 CL19HVHBC00185 CL19HVHBC00107 CL19HVHBC00059 CL19HVHBC00399 CL19HVHBC00146 CL19HVHBC00245 CL19HVHBC00083 CL19HVHBC00427 CL19HVHBC00154 CL19HVHBC00222 CL19HVHBC00339 CL19HVHBC00346 CL19HVHBC00436 CL19HVHBC00484 CL19HVHBC00474 CL19HVHBC00495 CL19HVHBC00473 CL19HVHBC00099 CL19HVHBC00419 CL19HVHBC00451 CL19HVHBC00172 CL19HVHBC00098 CL19HVHBC00380 CL19HVHBC00327  CL19HVHBC00453 CL19HVHBC00421 CL19HVHBC00119 CL19HVHBC00120 CL19HVHBC00326 CL19HVHBC00125 CL19HVHBC00491 CL19HVHBC00097 CL19HVHBC00063 CL19HVHBC00415 CL19HVHBC00420 CL19HVHBC00369 CL19HVHBC00486             
CL19HVHBC00472
CL19HVHBC00112</t>
  </si>
  <si>
    <t>Մոնիտոր LG E2040T 20 LED</t>
  </si>
  <si>
    <t xml:space="preserve">102UXMT1D739
102UXVW1E367
102UXQA1D732   </t>
  </si>
  <si>
    <t xml:space="preserve">YL4Q503804 YL4Q503510 YL4Q503286 YL4Q503633 YL4Q503815 YL4Q503652 YL4Q503524 YL4Q503656 YL4Q503648 
YL4Q503398 
YL4Q503304
YL4Q503614 YL4Q503611 YL4Q503610 YL4Q503685    </t>
  </si>
  <si>
    <t xml:space="preserve">Ընդհանուր քանակը  </t>
  </si>
  <si>
    <t>1 համակարգ</t>
  </si>
  <si>
    <t>3 հատ</t>
  </si>
  <si>
    <t>90 հատ</t>
  </si>
  <si>
    <t>1 հատ</t>
  </si>
  <si>
    <t xml:space="preserve">Ընդհանուր քանակը </t>
  </si>
  <si>
    <t>8  հատ</t>
  </si>
  <si>
    <t xml:space="preserve">1 համակարգ       </t>
  </si>
  <si>
    <t>30 քմ</t>
  </si>
  <si>
    <t>109 քմ</t>
  </si>
  <si>
    <t>Ընդհանուր  քանակը</t>
  </si>
  <si>
    <t xml:space="preserve">Հաշվեկշռային արժեքը (հազ. դրամ) </t>
  </si>
  <si>
    <t>Բազմաֆունկցիոնալ սարք Canon i- Sensys MF-4570 DN</t>
  </si>
  <si>
    <t>Չորանոց</t>
  </si>
  <si>
    <t>Հեռուստացույց</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</si>
  <si>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գույքից հետ վերցվող և «Գյումրու «Երեխաների տուն»» պետական ոչ առևտրային կազմակերպությանը ամրացվող գույքի</t>
  </si>
  <si>
    <t>Աթոռ պլաստմասե</t>
  </si>
  <si>
    <t>Արդուկ պլատինյում</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</si>
  <si>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«Մարի Իզմիրլյանի անվան մանկատուն» պետական ոչ առևտրային կազմակերպությանը ամրացվող գույքի</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</si>
  <si>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«Շիրակի մարզի երեխայի և ընտանիքի աջակցության կենտրոն» պետական ոչ առևտրային կազմակերպությանը ամրացվող գույքի</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</si>
  <si>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«Նորքի տուն-ինտերնատ» պետական ոչ առևտրային կազմակերպությանը ամրացվող գույքի</t>
  </si>
  <si>
    <t>«Դիլիջանի երեխաների խնամքի և պաշտպանության գիշերօթիկ հաստատություն» պետական ոչ առևտրային կազմակերպության լուծարման արդյունքում նախարարությանը ամրացված գույք</t>
  </si>
  <si>
    <t>բազմոց կաշվե 259</t>
  </si>
  <si>
    <t>ուիղեգորգ</t>
  </si>
  <si>
    <t>ուիղեգորգ 100սմ լայն.</t>
  </si>
  <si>
    <t>«Վանաձորի մանկատուն» պետական ոչ առևտրային կազմակերպության լուծարման արդյունքում նախարարությանը ամրացված գույք</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</si>
  <si>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««Ձորակ» հոգեկան առողջության խնդիրներ ունեցող անձանց խնամքի կենտրոն» պետական ոչ առևտրային կազմակերպությանը ամրացվող գույքի</t>
  </si>
  <si>
    <t>«Գյումրու երեխաների խնամքի և պաշտպանության N 1 գիշերօթիկ հաստատություն» պետական ոչ առևտրային կազմակերպության լուծարման արդյունքում նախարարությանը ամրացված գույք</t>
  </si>
  <si>
    <t>Մանկական  աթոռ</t>
  </si>
  <si>
    <t>Միավորի գինը</t>
  </si>
  <si>
    <t>Գյումրու մանկատուն</t>
  </si>
  <si>
    <t>Նորքի տուն ինտերնատ</t>
  </si>
  <si>
    <t>Վարդենիսի տուն-ինտերնատ</t>
  </si>
  <si>
    <t>Ձորակ կենտրոն</t>
  </si>
  <si>
    <t>Մարի Իզմիրլյանի անվան մանկատուն</t>
  </si>
  <si>
    <t>Շիրակի մարզի երեխայի և ընտանիքի աջակցության կենտրոն</t>
  </si>
  <si>
    <t>Աջափնյակի ցերեկային կենտրոն</t>
  </si>
  <si>
    <t>Նուբարաշենի երեխայի աջ.կենտրոն</t>
  </si>
  <si>
    <t>քանակ</t>
  </si>
  <si>
    <t>գումարը</t>
  </si>
  <si>
    <t xml:space="preserve"> «Բյուրեղավանի երեխաների խնամքի և պաշտպանության գիշերօթիկ հաստատություն» պետական ոչ առևտրային կազմակերպության լուծարման արդյունքում նախարարությանը ամրացված գույք</t>
  </si>
  <si>
    <t xml:space="preserve"> «Գյումրու երեխաների խնամքի և պաշտպանության N 1 գիշերօթիկ հաստատություն» պետական ոչ առևտրային կազմակերպության լուծարման արդյունքում նախարարությանը ամրացված գույք</t>
  </si>
  <si>
    <t xml:space="preserve"> «Դիլիջանի երեխաների խնամքի և պաշտպանության գիշերօթիկ հաստատություն» պետական ոչ առևտրային կազմակերպության լուծարման արդյունքում նախարարությանը ամրացված գույք</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</si>
  <si>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«Վարդենիսի նյարդահոգեբանական տուն-ինտերնատ» պետական ոչ առևտրային կազմակերպությանը ամրացվող  գույքի</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</si>
  <si>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«Երևանի Աջափնյակ վարչական շրջանի երեխաների սոցիալական հոգածության կենտրոն» պետական ոչ առևտրային կազմակերպությանը ամրացվող գույքի</t>
  </si>
  <si>
    <t>Զգեստապահարան /մանկական/</t>
  </si>
  <si>
    <t>Աթոռ մանկական</t>
  </si>
  <si>
    <t>Պահարան՝ պատ /մանկական/ 131015</t>
  </si>
  <si>
    <t>Մեղվափեթակ իր վերնահարկով</t>
  </si>
  <si>
    <t>Մեղվափեթակ</t>
  </si>
  <si>
    <t>Մեղրաքամ</t>
  </si>
  <si>
    <t>Մահճակալ մետաղյա</t>
  </si>
  <si>
    <t>Աշակերտական սեղան-աթոռ</t>
  </si>
  <si>
    <t xml:space="preserve"> «Վանաձորի մանկատուն» պետական ոչ առևտրային կազմակերպության լուծարման արդյունքում նախարարությանը ամրացված գույք</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</si>
  <si>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որպես բնաիրային օգնություն՝ Հայաստանի Հանրապետության աշխատանքի և սոցիալական հարցերի նախարարության ենթակայության բնակչության սոցիալական պաշտպանության հաստատություն (երեխաների խնամքի և պաշտպանության գիշերօթիկ հաստատություն և մանկատուն) հանդիսացող պետական ոչ առևտրային կազմակերպությունների վերանվանման կամ վերակազմակերպման արդյունքում ընտանիք տեղափոխված երեխաների և սոցիալապես անապահով ընտանիքներին տրամադրվող գույքի</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</si>
  <si>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«Երեխայի և ընտանիքի աջակցության կենտրոն» պետական ոչ առևտրային կազմակերպությանը ամրացվող գույքի</t>
  </si>
  <si>
    <t xml:space="preserve"> Հայաստանի Հանրապետության աշխատանքի և սոցիալական հարցերի նախարարությանն ամրացված գույքից հետ վերցվող և Հայաստանի Հանրապետության աշխատանքի և սոցիալական հարցերի նախարարության միասնական սոցիալական ծառայությանը ամրացվող գույքի 
</t>
  </si>
  <si>
    <t>Հավելված N 19</t>
  </si>
  <si>
    <t xml:space="preserve"> Հայաստանի Հանրապետության աշխատանքի և սոցիալական հարցերի նախարարությանն ամրացված գույքից հետ վերցվող և Հայաստանի Հանրապետության աշխատանքի և սոցիալական հարցերի նախարարության միասնական սոցիալական ծառայությանը ամրացվող գույքի (մարզպետարանների նախկին սոցիալական աջակցության տարածքային գործակալություններին նախարարության կողմից օգտագործման իրավունքով տրամադրված գույք) 
</t>
  </si>
  <si>
    <t>Հայաստանի Հանրապետության Արագածոտնի մարզպետարան</t>
  </si>
  <si>
    <t>1. Մարզպետարանի աշխատակազմի նախկին Աշտարակի սոցիալական աջակցության տարածքային գործակալությանը նախարարության կողմից տրամադրված գույք</t>
  </si>
  <si>
    <t>2. Մարզպետարանի աշխատակազմի նախկին Թալինի սոցիալական աջակցության տարածքային գործակալությանը նախարարության կողմից տրամադրված գույք</t>
  </si>
  <si>
    <t>Հայաստանի Հանրապետության Արարատի մարզպետարան</t>
  </si>
  <si>
    <t>1. Մարզպետարանի աշխատակազմի նախկին Արտաշատի սոցիալական աջակցության տարածքային գործակալությանը նախարարության կողմից տրամադրված գույք</t>
  </si>
  <si>
    <t>2. Մարզպետարանի աշխատակազմի նախկին Վեդու սոցիալական աջակցության տարածքային գործակալությանը նախարարության կողմից տրամադրված գույք</t>
  </si>
  <si>
    <t>3. Մարզպետարանի աշխատակազմի նախկին Մասիսի սոցիալական աջակցության տարածքային գործակալությանը նախարարության կողմից տրամադրված գույք</t>
  </si>
  <si>
    <t>Հայաստանի Հանրապետության Արմավիրի մարզպետարան</t>
  </si>
  <si>
    <t>1. Մարզպետարանի աշխատակազմի նախկին Վաղարշապատի սոցիալական աջակցության տարածքային գործակալությանը նախարարության կողմից տրամադրված գույք</t>
  </si>
  <si>
    <t>2. Մարզպետարանի աշխատակազմի նախկին Բաղրամյանի սոցիալական աջակցության տարածքային գործակալությանը նախարարության կողմից տրամադրված գույք</t>
  </si>
  <si>
    <t>3. Մարզպետարանի աշխատակազմի նախկին Արմավիրի սոցիալական աջակցության տարածքային գործակալությանը նախարարության կողմից տրամադրված գույք</t>
  </si>
  <si>
    <t>Հայաստանի Հանրապետության Գեղարքունիքի մարզպետարան</t>
  </si>
  <si>
    <t>1. Մարզպետարանի աշխատակազմի նախկին Գավառի սոցիալական աջակցության տարածքային գործակալությանը նախարարության կողմից տրամադրված գույք</t>
  </si>
  <si>
    <t>2. Մարզպետարանի աշխատակազմի նախկին Սևանի սոցիալական աջակցության տարածքային գործակալությանը նախարարության կողմից տրամադրված գույք</t>
  </si>
  <si>
    <t>3. Մարզպետարանի աշխատակազմի նախկին Ճամբարակի սոցիալական աջակցության տարածքային գործակալությանը նախարարության կողմից տրամադրված գույք</t>
  </si>
  <si>
    <t>4. Մարզպետարանի աշխատակազմի նախկին Մարտունու սոցիալական աջակցության տարածքային գործակալությանը նախարարության կողմից տրամադրված գույք</t>
  </si>
  <si>
    <t>5. Մարզպետարանի աշխատակազմի նախկին Վարդենիսի սոցիալական աջակցության տարածքային գործակալությանը նախարարության կողմից տրամադրված գույք</t>
  </si>
  <si>
    <t>Հայաստանի Հանրապետության Լոռու մարզպետարան</t>
  </si>
  <si>
    <t>1. Մարզպետարանի աշխատակազմի նախկին Թումանյանի սոցիալական աջակցության տարածքային գործակալությանը նախարարության կողմից տրամադրված գույք</t>
  </si>
  <si>
    <t>2. Մարզպետարանի աշխատակազմի նախկին Սպիտակի սոցիալական աջակցության տարածքային գործակալությանը նախարարության կողմից տրամադրված գույք</t>
  </si>
  <si>
    <t>3. Մարզպետարանի աշխատակազմի նախկին Ստեփանավանի սոցիալական աջակցության տարածքային գործակալությանը նախարարության կողմից տրամադրված գույք</t>
  </si>
  <si>
    <t>4. Մարզպետարանի աշխատակազմի նախկին Տաշիրի սոցիալական աջակցության տարածքային գործակալությանը նախարարության կողմից տրամադրված գույք</t>
  </si>
  <si>
    <t>Հայաստանի Հանրապետության Կոտայքի մարզպետարան</t>
  </si>
  <si>
    <t>1. Մարզպետարանի աշխատակազմի նախկին Աբովյանի սոցիալական աջակցության տարածքային գործակալությանը նախարարության կողմից տրամադրված գույք</t>
  </si>
  <si>
    <t>2. Մարզպետարանի աշխատակազմի նախկին Հրազդանի սոցիալական աջակցության տարածքային գործակալությանը նախարարության կողմից տրամադրված գույք</t>
  </si>
  <si>
    <t>3. Մարզպետարանի աշխատակազմի նախկին Չարենցավանի սոցիալական աջակցության տարածքային գործակալությանը նախարարության կողմից տրամադրված գույք</t>
  </si>
  <si>
    <t>4. Մարզպետարանի աշխատակազմի նախկին Եղվարդի սոցիալական աջակցության տարածքային գործակալությանը նախարարության կողմից տրամադրված գույք</t>
  </si>
  <si>
    <t>Հայաստանի Հանրապետության Շիրակի մարզպետարան</t>
  </si>
  <si>
    <t>1. Մարզպետարանի աշխատակազմի նախկին Ախուրյանի սոցիալական աջակցության տարածքային գործակալությանը նախարարության կողմից տրամադրված գույք</t>
  </si>
  <si>
    <t>2. Մարզպետարանի աշխատակազմի նախկին Աշոցքի սոցիալական աջակցության տարածքային գործակալությանը նախարարության կողմից տրամադրված գույք</t>
  </si>
  <si>
    <t>3. Մարզպետարանի աշխատակազմի նախկին Ամասիայի սոցիալական աջակցության տարածքային գործակալությանը նախարարության կողմից տրամադրված գույք</t>
  </si>
  <si>
    <t>4. Մարզպետարանի աշխատակազմի նախկին Արթիկի սոցիալական աջակցության տարածքային գործակալությանը նախարարության կողմից տրամադրված գույք</t>
  </si>
  <si>
    <t>5. Մարզպետարանի աշխատակազմի նախկին Մարալիկի սոցիալական աջակցության տարածքային գործակալությանը նախարարության կողմից տրամադրված գույք</t>
  </si>
  <si>
    <t>Հայաստանի Հանրապետության Սյունիքի մարզպետարան</t>
  </si>
  <si>
    <t>1. Մարզպետարանի աշխատակազմի նախկին Գորիսի սոցիալական աջակցության տարածքային գործակալությանը նախարարության կողմից տրամադրված գույք</t>
  </si>
  <si>
    <t>2. Մարզպետարանի աշխատակազմի նախկին Կապանի սոցիալական աջակցության տարածքային գործակալությանը նախարարության կողմից տրամադրված գույք</t>
  </si>
  <si>
    <t>3. Մարզպետարանի աշխատակազմի նախկին Մեղրու սոցիալական աջակցության տարածքային գործակալությանը նախարարության կողմից տրամադրված գույք</t>
  </si>
  <si>
    <t>4. Մարզպետարանի աշխատակազմի նախկին Սիսիանի սոցիալական աջակցության տարածքային գործակալությանը նախարարության կողմից տրամադրված գույք</t>
  </si>
  <si>
    <t>Հայաստանի Հանրապետության Վայոց ձորի մարզպետարան</t>
  </si>
  <si>
    <t>1. Մարզպետարանի աշխատակազմի նախկին Եղեգնաձորի սոցիալական աջակցության տարածքային գործակալությանը նախարարության կողմից տրամադրված գույք</t>
  </si>
  <si>
    <t>2. Մարզպետարանի աշխատակազմի նախկին Վայքի սոցիալական աջակցության տարածքային գործակալությանը նախարարության կողմից տրամադրված գույք</t>
  </si>
  <si>
    <t>Հայաստանի Հանրապետության Տավուշի մարզպետարան</t>
  </si>
  <si>
    <t>1. Մարզպետարանի աշխատակազմի նախկին Դիլիջանի սոցիալական աջակցության տարածքային գործակալությանը նախարարության կողմից տրամադրված գույք</t>
  </si>
  <si>
    <t>2. Մարզպետարանի աշխատակազմի նախկին Իջևանի սոցիալական աջակցության տարածքային գործակալությանը նախարարության կողմից տրամադրված գույք</t>
  </si>
  <si>
    <t>3. Մարզպետարանի աշխատակազմի նախկին Նոյեմբերյանի սոցիալական աջակցության տարածքային գործակալությանը նախարարության կողմից տրամադրված գույք</t>
  </si>
  <si>
    <t>4. Մարզպետարանի աշխատակազմի նախկին Բերդի սոցիալական աջակցության տարածքային գործակալությանը նախարարության կողմից տրամադրված գույք</t>
  </si>
  <si>
    <t xml:space="preserve"> Հայաստանի Հանրապետության աշխատանքի և սոցիալական հարցերի նախարարությանն ամրացված գույքից հետ վերցվող և Հայաստանի Հանրապետության աշխատանքի և սոցիալական հարցերի նախարարության միասնական սոցիալական ծառայությանը ամրացվող գույքի (Երևան, Գյումրի, Վանաձոր, Արարատ և Ջերմուկ համայնքների նախկին սոցիալական աջակցության տարածքային բաժիններին նախարարության կողմից օգտագործման իրավունքով տրամադրված գույք) 
</t>
  </si>
  <si>
    <t>Երևան համայնք</t>
  </si>
  <si>
    <t xml:space="preserve"> 7. Համայնքապետարանի աշխատակազմի Նուբարաշեն վարչական շրջանի նախկին սոցիալական աջակցության  տարածքային բաժնին նախարարության կողմից տրամադրված գույք</t>
  </si>
  <si>
    <t xml:space="preserve"> 9. Համայնքապետարանի աշխատակազմի Ավան վարչական շրջանի նախկին սոցիալական աջակցության  տարածքային բաժնին նախարարության կողմից տրամադրված գույք</t>
  </si>
  <si>
    <t>Ընհանուրը</t>
  </si>
  <si>
    <t xml:space="preserve"> 5. Համայնքապետարանի աշխատակազմի Քանաքեռ-Զեյթուն վարչական շրջանի նախկին սոցիալական աջակցության տարածքային բաժնին նախարարության կողմից տրամադրված գույք</t>
  </si>
  <si>
    <t>Գյումրի համայնք</t>
  </si>
  <si>
    <t xml:space="preserve"> 1. Համայնքապետարանի աշխատակազմի Կենտրոն վարչական շրջանի նախկին սոցիալական աջակցության տարածքային բաժնին նախարարության կողմից օգտագործման իրավունքով տրամադրված գույք</t>
  </si>
  <si>
    <t xml:space="preserve"> 2. Համայնքապետարանի աշխատակազմի Աջափնյակ վարչական շրջանի նախկին սոցիալական աջակցության տարածքային բաժնին նախարարության կողմից օգտագործման իրավունքով տրամադրված գույք</t>
  </si>
  <si>
    <t xml:space="preserve"> 3. Համայնքապետարանի աշխատակազմի նախկին սոցիալական աջակցության Արաբկիր վարչական շրջանի տարածքային բաժնին նախարարության կողմից օգտագործման իրավունքով տրամադրված գույք</t>
  </si>
  <si>
    <t xml:space="preserve"> 4. Համայնքապետարանի աշխատակազմի Նոր-Նորք վարչական շրջանինախկին սոցիալական աջակցության  տարածքային բաժնին նախարարության կողմից օգտագործման իրավունքով տրամադրված գույք</t>
  </si>
  <si>
    <t xml:space="preserve"> 6. Համայնքապետարանի աշխատակազմի Նորք-Մարաշ վարչական շրջանի նախկին սոցիալական աջակցության տարածքային բաժնին նախարարության կողմից օգտագործման իրավունքով տրամադրված գույք</t>
  </si>
  <si>
    <t xml:space="preserve"> 8. Համայնքապետարանի աշխատակազմի Էրեբունի վարչական շրջանի նախկին սոցիալական աջակցության  տարածքային բաժնին նախարարության կողմից օգտագործման իրավունքով տրամադրված գույք</t>
  </si>
  <si>
    <t>10. Համայնքապետարանի աշխատակազմի Շենգավիթ վարչական շրջանի նախկին սոցիալական աջակցության  տարածքային բաժնին նախարարության կողմից օգտագործման իրավունքով տրամադրված գույք</t>
  </si>
  <si>
    <t>1. Համայնքապետարանի նախկին սոցիալական աջակցության տարածքային N 1 բաժնին նախարարության կողմից օգտագործման իրավունքով տրամադրված գույք</t>
  </si>
  <si>
    <t>2. Համայնքապետարանի նախկին սոցիալական աջակցության տարածքային N 2 բաժնին նախարարության կողմից օգտագործման իրավունքով տրամադրված գույք</t>
  </si>
  <si>
    <t>Վանաձոր համայնք</t>
  </si>
  <si>
    <t>1. Համայնքապետարանի նախկին սոցիալական աջակցության տարածքային բաժնին նախարարության կողմից օգտագործման իրավունքով տրամադրված գույք</t>
  </si>
  <si>
    <t>Արարատ համայնք</t>
  </si>
  <si>
    <t>Ջերմուկ համայնք</t>
  </si>
  <si>
    <t>համակարգ</t>
  </si>
  <si>
    <t>Մոնիթոր LG Flatron</t>
  </si>
  <si>
    <t>9071NYD90674</t>
  </si>
  <si>
    <t>Մոնիթոր Monitor "DELL E2211H"</t>
  </si>
  <si>
    <t>CN-ONJ91T-74261-21R-2L1L</t>
  </si>
  <si>
    <t>ETWCC02776019
ETWCC02778019</t>
  </si>
  <si>
    <t>Համակարգիչ ProDesk 490 G3 Microtower lntel Core i5-6500</t>
  </si>
  <si>
    <t>CZC616B3F9
CZC616B3DF</t>
  </si>
  <si>
    <t>Համակարգիչ Dell Optiplex 3010</t>
  </si>
  <si>
    <t>7YWPH5J
D2XPH5J</t>
  </si>
  <si>
    <t xml:space="preserve">Անխափան սնուցման սարք (UPS) PowerCom RPT-800AP </t>
  </si>
  <si>
    <t>40101991605
40102601605
40104511605
40104531605</t>
  </si>
  <si>
    <t>Բազմաֆունկցիոնալ սարք Xerox Work Centre Pe 120i/3</t>
  </si>
  <si>
    <t>Բազմաֆունկցիոնալ սարք Multifunctional Device 3x1 lexmark X363dn/</t>
  </si>
  <si>
    <t>S350GCRP</t>
  </si>
  <si>
    <t>Համակարգիչ Computer 1 Fujitsu ESPRIMO P510 E85+/</t>
  </si>
  <si>
    <t>YLKA052282
YLKA052276</t>
  </si>
  <si>
    <t>Համակարգիչ "FUJITSU ESPRIMO P2560"</t>
  </si>
  <si>
    <t>YL4Q503512</t>
  </si>
  <si>
    <t>40104351605
40104331605</t>
  </si>
  <si>
    <t xml:space="preserve">Անխափան սնուցման սարք Uninterrupted Power Supply (UPS) PowerCom RPT-800AP </t>
  </si>
  <si>
    <t>ETWCC02825019
ETWCC02791019
ETWCC02814019</t>
  </si>
  <si>
    <t>Բազմաֆունկցիոնալ սարք Multifunctional Device 3x1 lexmark X363dn</t>
  </si>
  <si>
    <t>S350GCWB
S350DD97
S350GCW5</t>
  </si>
  <si>
    <t>YL4Q503471
YL4Q503812</t>
  </si>
  <si>
    <t>ETWCC02787019
ETWCC02844019</t>
  </si>
  <si>
    <t>40106581605
40104051605</t>
  </si>
  <si>
    <t>Բազմաֆունկցիոնալ սարք Multifunctional Device 3x1 Lexmark X363dn/</t>
  </si>
  <si>
    <t>S350GCP4</t>
  </si>
  <si>
    <t>Տպիչ "Printer Canon i-SENSYS LB6670dn with cable USB 1.8m"</t>
  </si>
  <si>
    <t>MKRA717070
MKRA716306</t>
  </si>
  <si>
    <t>Համակարգիչ Computer 1 Fujitsu ESPRIMO P510 E85+</t>
  </si>
  <si>
    <t>YLKA052280</t>
  </si>
  <si>
    <t xml:space="preserve">Համակարգիչ Dell OptiPlex 3010
</t>
  </si>
  <si>
    <t>B3XPH5J
F0XPH5J
10XPH5J
G1XPH5J
9ZWPH5J
22XPH5J</t>
  </si>
  <si>
    <t>Համակարգիչ LG/CIT X16-93648</t>
  </si>
  <si>
    <t>H7CIT592 /973M9</t>
  </si>
  <si>
    <t xml:space="preserve">Համակարգիչ LG/ CIT -150E7500  </t>
  </si>
  <si>
    <t>H7CIT593</t>
  </si>
  <si>
    <t>Մոնիթոր Dell-177</t>
  </si>
  <si>
    <t>CN-OGU625-728-72-69R-28TS</t>
  </si>
  <si>
    <t>Մոնիթոր Monitor Fujitsu L22T-4/</t>
  </si>
  <si>
    <t>Մոնիթոր SAMSUNG E 1920N</t>
  </si>
  <si>
    <t>CL19HVHBC00497L
CL19HVHBC00496V
CL19HVHBC00325K
CL19HVHBC00129R</t>
  </si>
  <si>
    <t xml:space="preserve">Անխափան սնուցման սարք UPS PowerCom RPT-800AP </t>
  </si>
  <si>
    <t>40102101605
40103021605
40102091605
40014161603
40102621605
40102411605</t>
  </si>
  <si>
    <t xml:space="preserve">Անխափան սնուցման սարք UPS PowerCom BNT-800AP </t>
  </si>
  <si>
    <t>40014251303
40014241303
40015901303
40014531303
40014591303
40022211103
40212821103</t>
  </si>
  <si>
    <t>MKRA716714</t>
  </si>
  <si>
    <t>Բազմաֆունկցիոնալ տպիչ Multifunctional Printer Canon i-SENSYS MF6140dn</t>
  </si>
  <si>
    <t>QPW64962</t>
  </si>
  <si>
    <t>YL4Q503801
YL4Q503321
YL4Q503312
YL4Q503315</t>
  </si>
  <si>
    <t>ETWCC02774019
ETWCC02784019
ETWCC02810019
ETWCC02822019
ETWCC02817019</t>
  </si>
  <si>
    <t>YV6M109429
YV6M100076
YV6M105771</t>
  </si>
  <si>
    <t>BYWPH5J
90XPH5J</t>
  </si>
  <si>
    <t>Համակարգիչ HP ProDesk 490 G3 Microtower: lntel Core i5-6500</t>
  </si>
  <si>
    <t>ETWCC02824019
ETWCC02697019
ETWCC02687019</t>
  </si>
  <si>
    <t xml:space="preserve">Անխափան սնուցման սարք APC UPS RS-650 </t>
  </si>
  <si>
    <t>S3B1040X40850</t>
  </si>
  <si>
    <t xml:space="preserve">Անխափան սնուցման սարք PowerCom 600VA </t>
  </si>
  <si>
    <t xml:space="preserve">Անխափան սնուցման սարք PowerCom RPT-800AP </t>
  </si>
  <si>
    <t xml:space="preserve">Անխափան սնուցման սարք Uninterrupted Power Supply PowerCom RPT-800AP </t>
  </si>
  <si>
    <t>Անխափան սնուցման սարք UPS BNT 600</t>
  </si>
  <si>
    <t>Մոնիթոր 2 HP EliteDisplay E222 21.5 IPS w/LED</t>
  </si>
  <si>
    <t>Մոնիթոր 3 HP EliteDisplay E202 20</t>
  </si>
  <si>
    <t>6CM6051CNC</t>
  </si>
  <si>
    <t>CZC616B3DV
CZC616B3DK
CZC616B3DZ
CZC616B38J</t>
  </si>
  <si>
    <t>6CM61110D8
6CM6111ZYY</t>
  </si>
  <si>
    <t>53XPH5J
C3XPH5J
23XPH5J</t>
  </si>
  <si>
    <t>CZC30847XN</t>
  </si>
  <si>
    <t>ETWCC02785019
ETWCC02763019
ETWCC02845019</t>
  </si>
  <si>
    <t>Մոնիթոր   DELL E-221 IHB</t>
  </si>
  <si>
    <t>CN-ONJ91T-74261-21R-14UB</t>
  </si>
  <si>
    <t xml:space="preserve"> Հայաստանի Հանրապետության կառավարության 2019 թվականի հոկտեմբերի 31-ի N 1507-Ն որոշման 3-րդ կետի համաձայն՝ Հայաստանի Հանրապետության աշխատանքի և սոցիալական հարցերի նախարարությանը ամրացված գույքից («Դիլիջանի երեխաների խնամքի և պաշտպանության գիշերօթիկ հաստատություն», «Բյուրեղավանի երեխաների խնամքի և պաշտպանության գիշերօթիկ հաստատություն», «Գյումրու երեխաների խնամքի և պաշտպանության N 1 գիշերօթիկ հաստատություն» և «Վանաձորի մանկատուն» պետական ոչ առևտրային կազմակերպությունների լուծարման արդյունքում) հետ վերցվող և Հայաստանի Հանրապետության Շիրակի մարզպետարանի «Գյումրու թիվ 41 հիմնական դպրոց» պետական ոչ առևտրային կազմակերպությանը ամրացվող գույքի</t>
  </si>
  <si>
    <t>Հավելված N 65</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</si>
</sst>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3" formatCode="_(* #,##0.00_);_(* \(#,##0.00\);_(* &quot;-&quot;??_);_(@_)"/>
    <numFmt numFmtId="164" formatCode="#,##0.00;[Red]#,##0.00"/>
    <numFmt numFmtId="165" formatCode="_-* #,##0\ _₽_-;\-* #,##0\ _₽_-;_-* &quot;-&quot;\ _₽_-;_-@_-"/>
    <numFmt numFmtId="166" formatCode="_-* #,##0.00\ _₽_-;\-* #,##0.00\ _₽_-;_-* &quot;-&quot;\ _₽_-;_-@_-"/>
    <numFmt numFmtId="167" formatCode="#,###,###,###,##0.00"/>
    <numFmt numFmtId="168" formatCode="###,###,##0"/>
    <numFmt numFmtId="169" formatCode="#,##0.0"/>
    <numFmt numFmtId="170" formatCode="#,##0.0;[Red]#,##0.0"/>
    <numFmt numFmtId="171" formatCode="#,##0;[Red]#,##0"/>
    <numFmt numFmtId="172" formatCode="0_ ;\-0\ "/>
    <numFmt numFmtId="173" formatCode="0.0"/>
    <numFmt numFmtId="174" formatCode="###,###,###,##0"/>
    <numFmt numFmtId="175" formatCode="#,##0.000000000;[Red]#,##0.000000000"/>
    <numFmt numFmtId="176" formatCode="###,###,##0.00"/>
    <numFmt numFmtId="177" formatCode="#,##0.00000;[Red]#,##0.00000"/>
    <numFmt numFmtId="178" formatCode="_-* #,##0.00_р_._-;\-* #,##0.00_р_._-;_-* &quot;-&quot;_р_._-;_-@_-"/>
    <numFmt numFmtId="179" formatCode="0.00;[Red]0.00"/>
  </numFmts>
  <fonts count="30" x14ac:knownFonts="1">
    <font>
      <sz val="11"/>
      <color theme="1"/>
      <name val="Calibri"/>
      <family val="2"/>
      <scheme val="minor"/>
    </font>
    <font>
      <sz val="12"/>
      <color theme="1"/>
      <name val="GHEA Grapalat"/>
      <family val="3"/>
    </font>
    <font>
      <sz val="10"/>
      <color theme="1"/>
      <name val="GHEA Grapalat"/>
      <family val="3"/>
    </font>
    <font>
      <b/>
      <sz val="12"/>
      <color theme="1"/>
      <name val="GHEA Grapalat"/>
      <family val="3"/>
    </font>
    <font>
      <sz val="10"/>
      <name val="Arial"/>
      <family val="2"/>
    </font>
    <font>
      <sz val="11"/>
      <name val="GHEA Grapalat"/>
      <family val="3"/>
    </font>
    <font>
      <sz val="11"/>
      <color theme="1"/>
      <name val="GHEA Grapalat"/>
      <family val="3"/>
    </font>
    <font>
      <sz val="12"/>
      <name val="GHEA Grapalat"/>
      <family val="3"/>
    </font>
    <font>
      <b/>
      <sz val="12"/>
      <name val="GHEA Grapalat"/>
      <family val="3"/>
    </font>
    <font>
      <sz val="11"/>
      <color rgb="FF000000"/>
      <name val="GHEA Grapalat"/>
      <family val="3"/>
    </font>
    <font>
      <sz val="11"/>
      <color indexed="8"/>
      <name val="Calibri"/>
      <family val="2"/>
    </font>
    <font>
      <b/>
      <sz val="11"/>
      <name val="GHEA Grapalat"/>
      <family val="3"/>
    </font>
    <font>
      <b/>
      <sz val="11"/>
      <color theme="1"/>
      <name val="GHEA Grapalat"/>
      <family val="3"/>
    </font>
    <font>
      <sz val="11"/>
      <color rgb="FF000000"/>
      <name val="Tahoma"/>
      <family val="2"/>
    </font>
    <font>
      <sz val="11"/>
      <color indexed="8"/>
      <name val="GHEA Grapalat"/>
      <family val="3"/>
    </font>
    <font>
      <sz val="11"/>
      <color theme="1"/>
      <name val="Calibri"/>
      <family val="2"/>
      <scheme val="minor"/>
    </font>
    <font>
      <sz val="11"/>
      <color rgb="FFFF0000"/>
      <name val="GHEA Grapalat"/>
      <family val="3"/>
    </font>
    <font>
      <sz val="12"/>
      <color rgb="FFFF0000"/>
      <name val="GHEA Grapalat"/>
      <family val="3"/>
    </font>
    <font>
      <sz val="11"/>
      <color indexed="72"/>
      <name val="GHEA Grapalat"/>
      <family val="3"/>
    </font>
    <font>
      <b/>
      <sz val="13"/>
      <name val="GHEA Grapalat"/>
      <family val="3"/>
    </font>
    <font>
      <sz val="13"/>
      <color theme="1"/>
      <name val="GHEA Grapalat"/>
      <family val="3"/>
    </font>
    <font>
      <b/>
      <sz val="13"/>
      <color theme="1"/>
      <name val="GHEA Grapalat"/>
      <family val="3"/>
    </font>
    <font>
      <b/>
      <sz val="10"/>
      <color theme="1"/>
      <name val="GHEA Grapalat"/>
      <family val="3"/>
    </font>
    <font>
      <b/>
      <sz val="12"/>
      <color rgb="FFFF0000"/>
      <name val="GHEA Grapalat"/>
      <family val="3"/>
    </font>
    <font>
      <b/>
      <sz val="9"/>
      <color indexed="81"/>
      <name val="Tahoma"/>
      <family val="2"/>
    </font>
    <font>
      <sz val="9"/>
      <color indexed="81"/>
      <name val="Tahoma"/>
      <family val="2"/>
    </font>
    <font>
      <sz val="11"/>
      <color rgb="FF000000"/>
      <name val="Tahoma"/>
      <family val="2"/>
      <charset val="204"/>
    </font>
    <font>
      <b/>
      <sz val="11"/>
      <color theme="1"/>
      <name val="Calibri"/>
      <family val="2"/>
      <scheme val="minor"/>
    </font>
    <font>
      <b/>
      <sz val="11"/>
      <color rgb="FF000000"/>
      <name val="GHEA Grapalat"/>
      <family val="3"/>
    </font>
    <font>
      <sz val="11"/>
      <color theme="9" tint="-0.249977111117893"/>
      <name val="GHEA Grapalat"/>
      <family val="3"/>
    </font>
  </fonts>
  <fills count="4">
    <fill>
      <patternFill patternType="none"/>
    </fill>
    <fill>
      <patternFill patternType="gray125"/>
    </fill>
    <fill>
      <patternFill patternType="solid">
        <fgColor theme="0"/>
        <bgColor indexed="64"/>
      </patternFill>
    </fill>
    <fill>
      <patternFill patternType="solid">
        <fgColor rgb="FFFFFFFF"/>
        <bgColor indexed="64"/>
      </patternFill>
    </fill>
  </fills>
  <borders count="2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diagonal/>
    </border>
    <border>
      <left/>
      <right/>
      <top style="thin">
        <color rgb="FF000000"/>
      </top>
      <bottom/>
      <diagonal/>
    </border>
    <border>
      <left style="thin">
        <color rgb="FF000000"/>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rgb="FFB0C4DE"/>
      </right>
      <top style="thin">
        <color rgb="FFB0C4DE"/>
      </top>
      <bottom style="thin">
        <color rgb="FFB0C4DE"/>
      </bottom>
      <diagonal/>
    </border>
    <border>
      <left style="thin">
        <color rgb="FF000000"/>
      </left>
      <right style="thin">
        <color rgb="FF000000"/>
      </right>
      <top/>
      <bottom style="thin">
        <color indexed="64"/>
      </bottom>
      <diagonal/>
    </border>
    <border>
      <left style="thin">
        <color rgb="FF00000A"/>
      </left>
      <right style="thin">
        <color rgb="FF00000A"/>
      </right>
      <top style="thin">
        <color rgb="FF00000A"/>
      </top>
      <bottom style="thin">
        <color rgb="FF00000A"/>
      </bottom>
      <diagonal/>
    </border>
    <border>
      <left style="thin">
        <color rgb="FF00000A"/>
      </left>
      <right style="thin">
        <color rgb="FF00000A"/>
      </right>
      <top style="thin">
        <color rgb="FF00000A"/>
      </top>
      <bottom/>
      <diagonal/>
    </border>
    <border>
      <left/>
      <right/>
      <top style="medium">
        <color rgb="FF000000"/>
      </top>
      <bottom style="thin">
        <color rgb="FF000000"/>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rgb="FF000000"/>
      </left>
      <right/>
      <top/>
      <bottom style="thin">
        <color indexed="64"/>
      </bottom>
      <diagonal/>
    </border>
    <border>
      <left/>
      <right style="double">
        <color auto="1"/>
      </right>
      <top style="double">
        <color auto="1"/>
      </top>
      <bottom style="double">
        <color auto="1"/>
      </bottom>
      <diagonal/>
    </border>
  </borders>
  <cellStyleXfs count="4">
    <xf numFmtId="0" fontId="0" fillId="0" borderId="0"/>
    <xf numFmtId="0" fontId="4" fillId="0" borderId="0"/>
    <xf numFmtId="0" fontId="10" fillId="0" borderId="0"/>
    <xf numFmtId="43" fontId="15" fillId="0" borderId="0" applyFont="0" applyFill="0" applyBorder="0" applyAlignment="0" applyProtection="0"/>
  </cellStyleXfs>
  <cellXfs count="571">
    <xf numFmtId="0" fontId="0" fillId="0" borderId="0" xfId="0"/>
    <xf numFmtId="0" fontId="1" fillId="0" borderId="0" xfId="0" applyFont="1"/>
    <xf numFmtId="0" fontId="2" fillId="0" borderId="0" xfId="0" applyFont="1" applyAlignment="1">
      <alignment horizontal="right" vertical="center"/>
    </xf>
    <xf numFmtId="0" fontId="2" fillId="0" borderId="0" xfId="0" applyFont="1"/>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1" fillId="0" borderId="9" xfId="0" applyFont="1" applyBorder="1" applyAlignment="1">
      <alignment horizontal="center" vertical="center" wrapText="1"/>
    </xf>
    <xf numFmtId="0" fontId="5" fillId="0" borderId="10" xfId="1" applyFont="1" applyBorder="1" applyAlignment="1">
      <alignment horizontal="left" vertical="center" wrapText="1"/>
    </xf>
    <xf numFmtId="0" fontId="1" fillId="0" borderId="7" xfId="0" applyFont="1" applyBorder="1" applyAlignment="1">
      <alignment horizontal="center" vertical="center" wrapText="1"/>
    </xf>
    <xf numFmtId="0" fontId="5" fillId="0" borderId="3" xfId="1" applyFont="1" applyBorder="1" applyAlignment="1">
      <alignment horizontal="center" vertical="center"/>
    </xf>
    <xf numFmtId="164" fontId="6" fillId="0" borderId="3" xfId="0" applyNumberFormat="1" applyFont="1" applyBorder="1" applyAlignment="1">
      <alignment horizontal="center" vertical="center" wrapText="1"/>
    </xf>
    <xf numFmtId="164" fontId="6" fillId="0" borderId="3" xfId="0" applyNumberFormat="1" applyFont="1" applyBorder="1" applyAlignment="1">
      <alignment horizontal="center" vertical="center"/>
    </xf>
    <xf numFmtId="0" fontId="5" fillId="0" borderId="3" xfId="1" applyFont="1" applyBorder="1" applyAlignment="1">
      <alignment horizontal="left" vertical="center" wrapText="1"/>
    </xf>
    <xf numFmtId="164" fontId="6" fillId="0" borderId="0" xfId="0" applyNumberFormat="1" applyFont="1" applyBorder="1" applyAlignment="1">
      <alignment horizontal="center" vertical="center" wrapText="1"/>
    </xf>
    <xf numFmtId="164" fontId="6" fillId="0" borderId="11" xfId="0" applyNumberFormat="1" applyFont="1" applyBorder="1" applyAlignment="1">
      <alignment horizontal="center" vertical="center" wrapText="1"/>
    </xf>
    <xf numFmtId="0" fontId="5" fillId="0" borderId="3" xfId="1" applyFont="1" applyFill="1" applyBorder="1" applyAlignment="1">
      <alignment horizontal="left" vertical="center" wrapText="1"/>
    </xf>
    <xf numFmtId="0" fontId="5" fillId="0" borderId="12" xfId="1" applyFont="1" applyBorder="1" applyAlignment="1">
      <alignment horizontal="left" vertical="center" wrapText="1"/>
    </xf>
    <xf numFmtId="0" fontId="1" fillId="0" borderId="2" xfId="0" applyFont="1" applyBorder="1" applyAlignment="1">
      <alignment horizontal="center" vertical="center" wrapText="1"/>
    </xf>
    <xf numFmtId="0" fontId="5" fillId="0" borderId="12" xfId="1" applyFont="1" applyBorder="1" applyAlignment="1">
      <alignment horizontal="center" vertical="center"/>
    </xf>
    <xf numFmtId="164" fontId="6" fillId="0" borderId="13" xfId="0" applyNumberFormat="1" applyFont="1" applyBorder="1" applyAlignment="1">
      <alignment horizontal="center" vertical="center" wrapText="1"/>
    </xf>
    <xf numFmtId="0" fontId="3" fillId="0" borderId="3" xfId="0" applyFont="1" applyBorder="1"/>
    <xf numFmtId="0" fontId="3" fillId="0" borderId="3" xfId="0" applyFont="1" applyBorder="1" applyAlignment="1">
      <alignment horizontal="right" vertical="center"/>
    </xf>
    <xf numFmtId="0" fontId="3" fillId="0" borderId="3" xfId="0" applyFont="1" applyBorder="1" applyAlignment="1">
      <alignment horizontal="center" vertical="center"/>
    </xf>
    <xf numFmtId="4" fontId="3" fillId="0" borderId="3" xfId="0" applyNumberFormat="1" applyFont="1" applyBorder="1" applyAlignment="1">
      <alignment horizontal="center" vertical="center" wrapText="1"/>
    </xf>
    <xf numFmtId="0" fontId="3" fillId="0" borderId="0" xfId="0" applyFont="1"/>
    <xf numFmtId="0" fontId="3" fillId="0" borderId="5" xfId="0" applyFont="1" applyBorder="1" applyAlignment="1">
      <alignment horizontal="center" vertical="center" wrapText="1"/>
    </xf>
    <xf numFmtId="0" fontId="3" fillId="0" borderId="12" xfId="0" applyFont="1" applyBorder="1" applyAlignment="1">
      <alignment horizontal="center" vertical="center" wrapText="1"/>
    </xf>
    <xf numFmtId="0" fontId="1" fillId="0" borderId="3" xfId="0" applyFont="1" applyBorder="1" applyAlignment="1">
      <alignment horizontal="center" vertical="center" wrapText="1"/>
    </xf>
    <xf numFmtId="0" fontId="5" fillId="0" borderId="3" xfId="1" applyFont="1" applyFill="1" applyBorder="1" applyAlignment="1">
      <alignment vertical="center" wrapText="1"/>
    </xf>
    <xf numFmtId="164" fontId="1" fillId="0" borderId="3" xfId="0" applyNumberFormat="1" applyFont="1" applyBorder="1" applyAlignment="1">
      <alignment horizontal="center" vertical="center" wrapText="1"/>
    </xf>
    <xf numFmtId="164" fontId="1" fillId="0" borderId="3" xfId="0" applyNumberFormat="1" applyFont="1" applyBorder="1" applyAlignment="1">
      <alignment horizontal="center" vertical="center"/>
    </xf>
    <xf numFmtId="0" fontId="3" fillId="0" borderId="3" xfId="0" applyFont="1" applyBorder="1" applyAlignment="1">
      <alignment vertical="center" wrapText="1"/>
    </xf>
    <xf numFmtId="0" fontId="3" fillId="0" borderId="3" xfId="0" applyFont="1" applyBorder="1" applyAlignment="1">
      <alignment horizontal="right" vertical="center" wrapText="1"/>
    </xf>
    <xf numFmtId="164" fontId="3" fillId="0" borderId="3" xfId="0" applyNumberFormat="1" applyFont="1" applyBorder="1" applyAlignment="1">
      <alignment horizontal="center" vertical="center"/>
    </xf>
    <xf numFmtId="0" fontId="1" fillId="0" borderId="0" xfId="0" applyFont="1" applyAlignment="1">
      <alignment horizontal="right" vertical="center"/>
    </xf>
    <xf numFmtId="0" fontId="5" fillId="0" borderId="3" xfId="1" applyFont="1" applyFill="1" applyBorder="1" applyAlignment="1">
      <alignment horizontal="center" vertical="center"/>
    </xf>
    <xf numFmtId="4" fontId="1" fillId="0" borderId="3"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5" fillId="0" borderId="3" xfId="1" applyFont="1" applyBorder="1" applyAlignment="1">
      <alignment horizontal="center" vertical="center" wrapText="1"/>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2" fillId="0" borderId="0" xfId="0" applyFont="1" applyAlignment="1">
      <alignment horizontal="right" vertical="center"/>
    </xf>
    <xf numFmtId="0" fontId="7" fillId="0" borderId="3" xfId="0" applyFont="1" applyBorder="1" applyAlignment="1">
      <alignment horizontal="justify" vertical="center" wrapText="1"/>
    </xf>
    <xf numFmtId="165" fontId="7" fillId="0" borderId="3" xfId="0" applyNumberFormat="1" applyFont="1" applyBorder="1" applyAlignment="1">
      <alignment horizontal="justify" vertical="center"/>
    </xf>
    <xf numFmtId="0" fontId="7" fillId="0" borderId="3" xfId="0" applyFont="1" applyBorder="1" applyAlignment="1">
      <alignment horizontal="center" vertical="center" wrapText="1"/>
    </xf>
    <xf numFmtId="0" fontId="8" fillId="0" borderId="3" xfId="0" applyFont="1" applyBorder="1" applyAlignment="1">
      <alignment horizontal="justify" vertical="center" wrapText="1"/>
    </xf>
    <xf numFmtId="0" fontId="8" fillId="0" borderId="3" xfId="0" applyFont="1" applyBorder="1" applyAlignment="1">
      <alignment horizontal="center" vertical="center" wrapText="1"/>
    </xf>
    <xf numFmtId="0" fontId="7" fillId="0" borderId="3" xfId="0" applyNumberFormat="1" applyFont="1" applyFill="1" applyBorder="1" applyAlignment="1">
      <alignment horizontal="center" vertical="center"/>
    </xf>
    <xf numFmtId="0" fontId="7" fillId="0" borderId="3" xfId="0" applyNumberFormat="1" applyFont="1" applyBorder="1" applyAlignment="1">
      <alignment horizontal="center" vertical="center"/>
    </xf>
    <xf numFmtId="164" fontId="7" fillId="0" borderId="3" xfId="0" applyNumberFormat="1" applyFont="1" applyBorder="1" applyAlignment="1">
      <alignment horizontal="center" vertical="center" wrapText="1"/>
    </xf>
    <xf numFmtId="0" fontId="8" fillId="0" borderId="3" xfId="0" applyFont="1" applyBorder="1" applyAlignment="1">
      <alignment horizontal="center" vertical="top" wrapText="1"/>
    </xf>
    <xf numFmtId="165" fontId="8" fillId="0" borderId="3" xfId="0" applyNumberFormat="1" applyFont="1" applyBorder="1" applyAlignment="1">
      <alignment horizontal="center" vertical="top" wrapText="1"/>
    </xf>
    <xf numFmtId="164" fontId="8" fillId="0" borderId="3" xfId="0" applyNumberFormat="1" applyFont="1" applyBorder="1" applyAlignment="1">
      <alignment horizontal="center" vertical="center" wrapText="1"/>
    </xf>
    <xf numFmtId="0" fontId="8" fillId="0" borderId="3" xfId="0" applyFont="1" applyBorder="1" applyAlignment="1">
      <alignment horizontal="right" vertical="center" wrapText="1"/>
    </xf>
    <xf numFmtId="0" fontId="7" fillId="0" borderId="3" xfId="0" applyFont="1" applyBorder="1" applyAlignment="1">
      <alignment horizontal="center" vertical="center"/>
    </xf>
    <xf numFmtId="165" fontId="8" fillId="0" borderId="3" xfId="0" applyNumberFormat="1" applyFont="1" applyBorder="1" applyAlignment="1">
      <alignment horizontal="center" vertical="center" wrapText="1"/>
    </xf>
    <xf numFmtId="166" fontId="8" fillId="0" borderId="3" xfId="0" applyNumberFormat="1" applyFont="1" applyBorder="1" applyAlignment="1">
      <alignment horizontal="center" vertical="center" wrapText="1"/>
    </xf>
    <xf numFmtId="0" fontId="1" fillId="0" borderId="3" xfId="0" applyFont="1" applyBorder="1"/>
    <xf numFmtId="164" fontId="3" fillId="0" borderId="3" xfId="0" applyNumberFormat="1" applyFont="1" applyBorder="1"/>
    <xf numFmtId="164" fontId="3" fillId="0" borderId="3" xfId="0" applyNumberFormat="1" applyFont="1" applyBorder="1" applyAlignment="1">
      <alignment vertical="center"/>
    </xf>
    <xf numFmtId="43" fontId="3" fillId="0" borderId="3" xfId="0" applyNumberFormat="1" applyFont="1" applyBorder="1" applyAlignment="1">
      <alignment horizontal="center" vertical="center"/>
    </xf>
    <xf numFmtId="164" fontId="7" fillId="0" borderId="3" xfId="0" applyNumberFormat="1" applyFont="1" applyBorder="1" applyAlignment="1">
      <alignment horizontal="center" vertical="center"/>
    </xf>
    <xf numFmtId="165" fontId="7" fillId="0" borderId="3" xfId="0" applyNumberFormat="1" applyFont="1" applyFill="1" applyBorder="1" applyAlignment="1">
      <alignment horizontal="center" vertical="center" wrapText="1"/>
    </xf>
    <xf numFmtId="0" fontId="3" fillId="0" borderId="3" xfId="0" applyFont="1" applyBorder="1" applyAlignment="1">
      <alignment vertical="center"/>
    </xf>
    <xf numFmtId="0" fontId="3" fillId="0" borderId="0" xfId="0" applyFont="1" applyAlignment="1">
      <alignment vertical="center"/>
    </xf>
    <xf numFmtId="164" fontId="1" fillId="0" borderId="3" xfId="0" applyNumberFormat="1" applyFont="1" applyBorder="1"/>
    <xf numFmtId="165" fontId="3" fillId="0" borderId="3" xfId="0" applyNumberFormat="1" applyFont="1" applyBorder="1" applyAlignment="1">
      <alignment horizontal="center" vertical="center" wrapText="1"/>
    </xf>
    <xf numFmtId="0" fontId="1" fillId="0" borderId="3" xfId="0" applyFont="1" applyBorder="1" applyAlignment="1">
      <alignment horizontal="center" vertical="center"/>
    </xf>
    <xf numFmtId="164" fontId="3" fillId="0" borderId="3" xfId="0" applyNumberFormat="1" applyFont="1" applyBorder="1" applyAlignment="1">
      <alignment horizontal="center" vertical="center" wrapText="1"/>
    </xf>
    <xf numFmtId="0" fontId="1" fillId="0" borderId="0" xfId="0" applyFont="1" applyAlignment="1">
      <alignment horizontal="center" vertical="center"/>
    </xf>
    <xf numFmtId="0" fontId="3" fillId="0" borderId="0" xfId="0" applyFont="1" applyAlignment="1">
      <alignment horizontal="center" vertical="center"/>
    </xf>
    <xf numFmtId="164" fontId="5" fillId="0" borderId="3" xfId="1" applyNumberFormat="1" applyFont="1" applyBorder="1" applyAlignment="1">
      <alignment horizontal="center" vertical="center" wrapText="1"/>
    </xf>
    <xf numFmtId="0" fontId="11" fillId="0" borderId="3" xfId="1" applyFont="1" applyBorder="1" applyAlignment="1">
      <alignment horizontal="left" vertical="center" wrapText="1"/>
    </xf>
    <xf numFmtId="0" fontId="11" fillId="0" borderId="3" xfId="1" applyFont="1" applyBorder="1" applyAlignment="1">
      <alignment horizontal="center" vertical="center" wrapText="1"/>
    </xf>
    <xf numFmtId="0" fontId="11" fillId="0" borderId="3" xfId="1" applyFont="1" applyBorder="1" applyAlignment="1">
      <alignment horizontal="right"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2" xfId="0" applyFont="1" applyBorder="1" applyAlignment="1">
      <alignment horizontal="center" vertical="center" wrapText="1"/>
    </xf>
    <xf numFmtId="0" fontId="6" fillId="0" borderId="3" xfId="0" applyFont="1" applyBorder="1" applyAlignment="1">
      <alignment horizontal="center" vertical="center" wrapText="1"/>
    </xf>
    <xf numFmtId="4" fontId="12" fillId="0" borderId="3" xfId="0" applyNumberFormat="1" applyFont="1" applyBorder="1" applyAlignment="1">
      <alignment horizontal="center" vertical="center" wrapText="1"/>
    </xf>
    <xf numFmtId="164" fontId="11" fillId="0" borderId="3" xfId="1" applyNumberFormat="1" applyFont="1" applyBorder="1" applyAlignment="1">
      <alignment horizontal="center" vertical="center" wrapText="1"/>
    </xf>
    <xf numFmtId="49" fontId="13" fillId="0" borderId="3" xfId="0" applyNumberFormat="1" applyFont="1" applyBorder="1" applyAlignment="1" applyProtection="1">
      <alignment horizontal="left" vertical="center" wrapText="1"/>
    </xf>
    <xf numFmtId="49" fontId="9" fillId="0" borderId="3" xfId="0" applyNumberFormat="1" applyFont="1" applyBorder="1" applyAlignment="1" applyProtection="1">
      <alignment horizontal="left" vertical="top" wrapText="1" shrinkToFit="1" readingOrder="1"/>
    </xf>
    <xf numFmtId="0" fontId="6" fillId="0" borderId="3" xfId="0" applyFont="1" applyBorder="1" applyAlignment="1">
      <alignment horizontal="center" vertical="center"/>
    </xf>
    <xf numFmtId="4" fontId="6" fillId="0" borderId="3" xfId="0" applyNumberFormat="1" applyFont="1" applyBorder="1" applyAlignment="1">
      <alignment horizontal="center" vertical="center" wrapText="1"/>
    </xf>
    <xf numFmtId="0" fontId="12" fillId="0" borderId="3" xfId="0" applyFont="1" applyBorder="1" applyAlignment="1">
      <alignment horizontal="center" vertical="center"/>
    </xf>
    <xf numFmtId="0" fontId="12" fillId="0" borderId="3" xfId="0" applyFont="1" applyBorder="1" applyAlignment="1">
      <alignment vertical="center" wrapText="1"/>
    </xf>
    <xf numFmtId="0" fontId="12" fillId="0" borderId="3" xfId="0" applyFont="1" applyBorder="1" applyAlignment="1">
      <alignment horizontal="right" vertical="center" wrapText="1"/>
    </xf>
    <xf numFmtId="164" fontId="12" fillId="0" borderId="3" xfId="0" applyNumberFormat="1" applyFont="1" applyBorder="1" applyAlignment="1">
      <alignment horizontal="center" vertical="center"/>
    </xf>
    <xf numFmtId="167" fontId="9" fillId="0" borderId="3" xfId="0" applyNumberFormat="1" applyFont="1" applyBorder="1" applyAlignment="1" applyProtection="1">
      <alignment horizontal="center" vertical="center" wrapText="1"/>
    </xf>
    <xf numFmtId="164" fontId="2" fillId="0" borderId="0" xfId="0" applyNumberFormat="1" applyFont="1" applyAlignment="1">
      <alignment horizontal="center" vertical="center"/>
    </xf>
    <xf numFmtId="164" fontId="3" fillId="0" borderId="2" xfId="0" applyNumberFormat="1" applyFont="1" applyBorder="1" applyAlignment="1">
      <alignment horizontal="center" vertical="center" wrapText="1"/>
    </xf>
    <xf numFmtId="164" fontId="3" fillId="0" borderId="12" xfId="0" applyNumberFormat="1" applyFont="1" applyBorder="1" applyAlignment="1">
      <alignment horizontal="center" vertical="center" wrapText="1"/>
    </xf>
    <xf numFmtId="164" fontId="12" fillId="0" borderId="3" xfId="0" applyNumberFormat="1" applyFont="1" applyBorder="1" applyAlignment="1">
      <alignment horizontal="center" vertical="center" wrapText="1"/>
    </xf>
    <xf numFmtId="164" fontId="1" fillId="0" borderId="0" xfId="0" applyNumberFormat="1" applyFont="1" applyAlignment="1">
      <alignment horizontal="center"/>
    </xf>
    <xf numFmtId="0" fontId="9" fillId="0" borderId="21" xfId="0" applyFont="1" applyBorder="1" applyAlignment="1">
      <alignment vertical="center" wrapText="1"/>
    </xf>
    <xf numFmtId="0" fontId="9" fillId="0" borderId="22" xfId="0" applyFont="1" applyBorder="1" applyAlignment="1">
      <alignment vertical="center" wrapText="1"/>
    </xf>
    <xf numFmtId="0" fontId="6" fillId="2" borderId="3" xfId="0" applyNumberFormat="1" applyFont="1" applyFill="1" applyBorder="1" applyAlignment="1">
      <alignment horizontal="center" vertical="center"/>
    </xf>
    <xf numFmtId="0" fontId="6" fillId="2" borderId="12" xfId="0" applyNumberFormat="1" applyFont="1" applyFill="1" applyBorder="1" applyAlignment="1">
      <alignment horizontal="center" vertical="center"/>
    </xf>
    <xf numFmtId="169" fontId="14" fillId="0" borderId="3" xfId="0" applyNumberFormat="1" applyFont="1" applyFill="1" applyBorder="1" applyAlignment="1">
      <alignment horizontal="center" vertical="center"/>
    </xf>
    <xf numFmtId="3" fontId="12" fillId="0" borderId="3" xfId="0" applyNumberFormat="1" applyFont="1" applyBorder="1" applyAlignment="1">
      <alignment horizontal="center" vertical="center" wrapText="1"/>
    </xf>
    <xf numFmtId="171" fontId="3" fillId="0" borderId="12" xfId="0" applyNumberFormat="1" applyFont="1" applyBorder="1" applyAlignment="1">
      <alignment horizontal="center" vertical="center" wrapText="1"/>
    </xf>
    <xf numFmtId="3" fontId="3" fillId="0" borderId="3" xfId="0" applyNumberFormat="1" applyFont="1" applyBorder="1" applyAlignment="1">
      <alignment horizontal="center" vertical="center"/>
    </xf>
    <xf numFmtId="170" fontId="12" fillId="0" borderId="3" xfId="0" applyNumberFormat="1" applyFont="1" applyBorder="1" applyAlignment="1">
      <alignment horizontal="center" vertical="center"/>
    </xf>
    <xf numFmtId="0" fontId="9" fillId="0" borderId="23" xfId="0" applyFont="1" applyBorder="1" applyAlignment="1">
      <alignment horizontal="left" vertical="center" wrapText="1"/>
    </xf>
    <xf numFmtId="0" fontId="9" fillId="0" borderId="11" xfId="0" applyFont="1" applyBorder="1" applyAlignment="1">
      <alignment horizontal="left" vertical="center" wrapText="1"/>
    </xf>
    <xf numFmtId="0" fontId="9" fillId="0" borderId="13" xfId="0" applyFont="1" applyBorder="1" applyAlignment="1">
      <alignment horizontal="left" vertical="center" wrapText="1"/>
    </xf>
    <xf numFmtId="0" fontId="9" fillId="0" borderId="3" xfId="0" applyFont="1" applyBorder="1" applyAlignment="1">
      <alignment horizontal="left" vertical="center" wrapText="1"/>
    </xf>
    <xf numFmtId="0" fontId="9" fillId="2" borderId="3" xfId="0" applyFont="1" applyFill="1" applyBorder="1" applyAlignment="1">
      <alignment horizontal="left" vertical="center" wrapText="1"/>
    </xf>
    <xf numFmtId="0" fontId="6" fillId="2" borderId="3" xfId="0" applyFont="1" applyFill="1" applyBorder="1" applyAlignment="1">
      <alignment horizontal="center" vertical="center" wrapText="1"/>
    </xf>
    <xf numFmtId="164" fontId="6" fillId="2" borderId="3" xfId="0" applyNumberFormat="1" applyFont="1" applyFill="1" applyBorder="1" applyAlignment="1">
      <alignment horizontal="center" vertical="center" wrapText="1"/>
    </xf>
    <xf numFmtId="0" fontId="6" fillId="0" borderId="3" xfId="0" applyFont="1" applyBorder="1" applyAlignment="1">
      <alignment horizontal="left" vertical="center" wrapText="1"/>
    </xf>
    <xf numFmtId="0" fontId="2" fillId="0" borderId="0" xfId="0" applyFont="1" applyAlignment="1">
      <alignment horizontal="right" vertical="center"/>
    </xf>
    <xf numFmtId="0" fontId="3" fillId="0" borderId="3" xfId="0" applyFont="1" applyBorder="1" applyAlignment="1">
      <alignment horizontal="center" vertical="center" wrapText="1"/>
    </xf>
    <xf numFmtId="0" fontId="17" fillId="0" borderId="0" xfId="0" applyFont="1"/>
    <xf numFmtId="0" fontId="1" fillId="0" borderId="0" xfId="0" applyFont="1" applyAlignment="1">
      <alignment vertical="center"/>
    </xf>
    <xf numFmtId="0" fontId="2" fillId="0" borderId="0" xfId="0" applyFont="1" applyAlignment="1">
      <alignment vertical="center"/>
    </xf>
    <xf numFmtId="0" fontId="5" fillId="0" borderId="10" xfId="2" applyFont="1" applyFill="1" applyBorder="1" applyAlignment="1">
      <alignment vertical="center" wrapText="1"/>
    </xf>
    <xf numFmtId="0" fontId="5" fillId="0" borderId="3" xfId="2" applyFont="1" applyFill="1" applyBorder="1" applyAlignment="1">
      <alignment horizontal="center" vertical="center" wrapText="1"/>
    </xf>
    <xf numFmtId="0" fontId="5" fillId="0" borderId="3" xfId="2" applyFont="1" applyFill="1" applyBorder="1" applyAlignment="1">
      <alignment vertical="center" wrapText="1"/>
    </xf>
    <xf numFmtId="0" fontId="5" fillId="0" borderId="3" xfId="0" applyNumberFormat="1" applyFont="1" applyFill="1" applyBorder="1" applyAlignment="1">
      <alignment horizontal="center" vertical="center" wrapText="1"/>
    </xf>
    <xf numFmtId="4" fontId="6" fillId="0" borderId="3" xfId="0" applyNumberFormat="1" applyFont="1" applyFill="1" applyBorder="1" applyAlignment="1">
      <alignment horizontal="center" vertical="center" wrapText="1"/>
    </xf>
    <xf numFmtId="0" fontId="1" fillId="0" borderId="0" xfId="0" applyFont="1" applyAlignment="1">
      <alignment vertical="center" wrapText="1"/>
    </xf>
    <xf numFmtId="0" fontId="1" fillId="0" borderId="3" xfId="0" applyFont="1" applyBorder="1" applyAlignment="1">
      <alignment vertical="center"/>
    </xf>
    <xf numFmtId="4" fontId="1" fillId="0" borderId="0" xfId="0" applyNumberFormat="1" applyFont="1" applyAlignment="1">
      <alignment vertical="center"/>
    </xf>
    <xf numFmtId="0" fontId="5" fillId="0" borderId="3" xfId="0" applyFont="1" applyBorder="1" applyAlignment="1">
      <alignment horizontal="center" vertical="center" wrapText="1"/>
    </xf>
    <xf numFmtId="0" fontId="2" fillId="0" borderId="0" xfId="0" applyFont="1" applyAlignment="1">
      <alignment horizontal="center" vertical="center"/>
    </xf>
    <xf numFmtId="0" fontId="5" fillId="0" borderId="10" xfId="2" applyFont="1" applyFill="1" applyBorder="1" applyAlignment="1">
      <alignment horizontal="left" vertical="center" wrapText="1"/>
    </xf>
    <xf numFmtId="0" fontId="5" fillId="0" borderId="10" xfId="2" applyFont="1" applyFill="1" applyBorder="1" applyAlignment="1">
      <alignment horizontal="center" vertical="center" wrapText="1"/>
    </xf>
    <xf numFmtId="0" fontId="5" fillId="0" borderId="3" xfId="2" applyFont="1" applyFill="1" applyBorder="1" applyAlignment="1">
      <alignment horizontal="left" vertical="center" wrapText="1"/>
    </xf>
    <xf numFmtId="0" fontId="6" fillId="0" borderId="3" xfId="0" applyFont="1" applyFill="1" applyBorder="1" applyAlignment="1">
      <alignment horizontal="left" vertical="center" wrapText="1"/>
    </xf>
    <xf numFmtId="0" fontId="6" fillId="0" borderId="0" xfId="0" applyFont="1" applyAlignment="1">
      <alignment horizontal="center" vertical="center"/>
    </xf>
    <xf numFmtId="0" fontId="18" fillId="0" borderId="10" xfId="0" applyFont="1" applyFill="1" applyBorder="1" applyAlignment="1" applyProtection="1">
      <alignment horizontal="left" vertical="center" wrapText="1"/>
      <protection locked="0"/>
    </xf>
    <xf numFmtId="4" fontId="6" fillId="0" borderId="10" xfId="0" applyNumberFormat="1" applyFont="1" applyBorder="1" applyAlignment="1">
      <alignment horizontal="center" vertical="center" wrapText="1"/>
    </xf>
    <xf numFmtId="0" fontId="6" fillId="0" borderId="3" xfId="0" applyFont="1" applyFill="1" applyBorder="1" applyAlignment="1">
      <alignment horizontal="center" vertical="center" wrapText="1"/>
    </xf>
    <xf numFmtId="0" fontId="6" fillId="0" borderId="3" xfId="0" applyFont="1" applyBorder="1" applyAlignment="1">
      <alignment vertical="center" wrapText="1"/>
    </xf>
    <xf numFmtId="0" fontId="5" fillId="0" borderId="3" xfId="0" applyFont="1" applyBorder="1" applyAlignment="1">
      <alignment horizontal="left" vertical="center" wrapText="1"/>
    </xf>
    <xf numFmtId="0" fontId="20" fillId="0" borderId="3" xfId="0" applyFont="1" applyBorder="1" applyAlignment="1">
      <alignment horizontal="center" vertical="center"/>
    </xf>
    <xf numFmtId="172" fontId="21" fillId="0" borderId="3" xfId="0" applyNumberFormat="1" applyFont="1" applyBorder="1" applyAlignment="1">
      <alignment horizontal="center" vertical="center"/>
    </xf>
    <xf numFmtId="4" fontId="21" fillId="0" borderId="10" xfId="0" applyNumberFormat="1"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Fill="1" applyBorder="1" applyAlignment="1">
      <alignment horizontal="center" vertical="center" wrapText="1"/>
    </xf>
    <xf numFmtId="4" fontId="12" fillId="0" borderId="10" xfId="0" applyNumberFormat="1" applyFont="1" applyBorder="1" applyAlignment="1">
      <alignment horizontal="center" vertical="center" wrapText="1"/>
    </xf>
    <xf numFmtId="0" fontId="7" fillId="0" borderId="3" xfId="1" applyFont="1" applyBorder="1" applyAlignment="1">
      <alignment horizontal="left" vertical="center" wrapText="1"/>
    </xf>
    <xf numFmtId="0" fontId="8" fillId="0" borderId="3" xfId="1" applyFont="1" applyBorder="1" applyAlignment="1">
      <alignment horizontal="center" vertical="center" wrapText="1"/>
    </xf>
    <xf numFmtId="4" fontId="8" fillId="0" borderId="3" xfId="1" applyNumberFormat="1" applyFont="1" applyBorder="1" applyAlignment="1">
      <alignment horizontal="center" vertical="center" wrapText="1"/>
    </xf>
    <xf numFmtId="0" fontId="6" fillId="0" borderId="3" xfId="0" applyFont="1" applyFill="1" applyBorder="1" applyAlignment="1">
      <alignment vertical="center"/>
    </xf>
    <xf numFmtId="43" fontId="6" fillId="0" borderId="3" xfId="0" applyNumberFormat="1" applyFont="1" applyFill="1" applyBorder="1" applyAlignment="1">
      <alignment horizontal="center" vertical="center" wrapText="1"/>
    </xf>
    <xf numFmtId="0" fontId="20" fillId="0" borderId="3" xfId="0" applyFont="1" applyFill="1" applyBorder="1" applyAlignment="1">
      <alignment vertical="center"/>
    </xf>
    <xf numFmtId="0" fontId="21" fillId="0" borderId="3" xfId="0" applyFont="1" applyFill="1" applyBorder="1" applyAlignment="1">
      <alignment horizontal="center" vertical="center"/>
    </xf>
    <xf numFmtId="4" fontId="21" fillId="0" borderId="3" xfId="0" applyNumberFormat="1" applyFont="1" applyBorder="1" applyAlignment="1">
      <alignment horizontal="center" vertical="center" wrapText="1"/>
    </xf>
    <xf numFmtId="0" fontId="6" fillId="0" borderId="3" xfId="0" applyFont="1" applyFill="1" applyBorder="1" applyAlignment="1">
      <alignment horizontal="center" vertical="center"/>
    </xf>
    <xf numFmtId="0" fontId="12" fillId="0" borderId="3" xfId="0" applyFont="1" applyFill="1" applyBorder="1" applyAlignment="1">
      <alignment horizontal="center" vertical="center"/>
    </xf>
    <xf numFmtId="0" fontId="8" fillId="0" borderId="3" xfId="1" applyFont="1" applyBorder="1" applyAlignment="1">
      <alignment horizontal="left" vertical="center" wrapText="1"/>
    </xf>
    <xf numFmtId="0" fontId="18" fillId="0" borderId="3" xfId="0" applyFont="1" applyFill="1" applyBorder="1" applyAlignment="1" applyProtection="1">
      <alignment horizontal="left" vertical="center" wrapText="1"/>
      <protection locked="0"/>
    </xf>
    <xf numFmtId="0" fontId="5" fillId="0" borderId="3" xfId="0" applyFont="1" applyFill="1" applyBorder="1" applyAlignment="1">
      <alignment horizontal="left" vertical="center" wrapText="1"/>
    </xf>
    <xf numFmtId="0" fontId="6" fillId="0" borderId="3" xfId="0" applyFont="1" applyBorder="1" applyAlignment="1">
      <alignment vertical="center"/>
    </xf>
    <xf numFmtId="43" fontId="6" fillId="0" borderId="3" xfId="0" applyNumberFormat="1" applyFont="1" applyFill="1" applyBorder="1" applyAlignment="1">
      <alignment horizontal="center" vertical="center"/>
    </xf>
    <xf numFmtId="0" fontId="21" fillId="0" borderId="3" xfId="0" applyFont="1" applyBorder="1" applyAlignment="1">
      <alignment vertical="center"/>
    </xf>
    <xf numFmtId="0" fontId="21" fillId="0" borderId="3" xfId="0" applyFont="1" applyBorder="1" applyAlignment="1">
      <alignment horizontal="center" vertical="center"/>
    </xf>
    <xf numFmtId="0" fontId="22" fillId="0" borderId="3" xfId="0" applyFont="1" applyBorder="1" applyAlignment="1">
      <alignment vertical="center"/>
    </xf>
    <xf numFmtId="0" fontId="12" fillId="0" borderId="3" xfId="0" applyFont="1" applyBorder="1" applyAlignment="1">
      <alignment vertical="center"/>
    </xf>
    <xf numFmtId="43" fontId="12" fillId="0" borderId="3" xfId="0" applyNumberFormat="1" applyFont="1" applyFill="1" applyBorder="1" applyAlignment="1">
      <alignment horizontal="center" vertical="center"/>
    </xf>
    <xf numFmtId="3" fontId="3" fillId="0" borderId="3" xfId="0" applyNumberFormat="1" applyFont="1" applyBorder="1" applyAlignment="1">
      <alignment horizontal="center" vertical="center" wrapText="1"/>
    </xf>
    <xf numFmtId="3" fontId="21" fillId="0" borderId="3" xfId="0" applyNumberFormat="1" applyFont="1" applyBorder="1" applyAlignment="1">
      <alignment horizontal="center" vertical="center"/>
    </xf>
    <xf numFmtId="4" fontId="21" fillId="0" borderId="3" xfId="0" applyNumberFormat="1" applyFont="1" applyBorder="1" applyAlignment="1">
      <alignment horizontal="center" vertical="center"/>
    </xf>
    <xf numFmtId="0" fontId="12" fillId="0" borderId="0" xfId="0" quotePrefix="1" applyFont="1" applyFill="1" applyAlignment="1">
      <alignment horizontal="center" vertical="center"/>
    </xf>
    <xf numFmtId="4" fontId="5" fillId="0" borderId="3" xfId="3" applyNumberFormat="1" applyFont="1" applyFill="1" applyBorder="1" applyAlignment="1">
      <alignment horizontal="center" vertical="center" wrapText="1"/>
    </xf>
    <xf numFmtId="4" fontId="8" fillId="0" borderId="3" xfId="3" applyNumberFormat="1" applyFont="1" applyFill="1" applyBorder="1" applyAlignment="1">
      <alignment horizontal="center" vertical="center" wrapText="1"/>
    </xf>
    <xf numFmtId="0" fontId="6" fillId="0" borderId="0" xfId="0" applyFont="1" applyAlignment="1">
      <alignment vertical="center"/>
    </xf>
    <xf numFmtId="4" fontId="19" fillId="0" borderId="3" xfId="3" applyNumberFormat="1" applyFont="1" applyFill="1" applyBorder="1" applyAlignment="1">
      <alignment horizontal="center" vertical="center" wrapText="1"/>
    </xf>
    <xf numFmtId="4" fontId="11" fillId="0" borderId="3" xfId="3" applyNumberFormat="1" applyFont="1" applyFill="1" applyBorder="1" applyAlignment="1">
      <alignment horizontal="center" vertical="center" wrapText="1"/>
    </xf>
    <xf numFmtId="0" fontId="6" fillId="0" borderId="0" xfId="0" applyFont="1" applyBorder="1" applyAlignment="1">
      <alignment vertical="center" wrapText="1"/>
    </xf>
    <xf numFmtId="0" fontId="11" fillId="0" borderId="3" xfId="2" applyFont="1" applyFill="1" applyBorder="1" applyAlignment="1">
      <alignment horizontal="center" vertical="center" wrapText="1"/>
    </xf>
    <xf numFmtId="0" fontId="5" fillId="0" borderId="3" xfId="2"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43" fontId="5" fillId="0" borderId="3" xfId="2" applyNumberFormat="1" applyFont="1" applyFill="1" applyBorder="1" applyAlignment="1">
      <alignment horizontal="center" vertical="center" wrapText="1"/>
    </xf>
    <xf numFmtId="0" fontId="20" fillId="0" borderId="3" xfId="0" applyFont="1" applyBorder="1" applyAlignment="1">
      <alignment vertical="center"/>
    </xf>
    <xf numFmtId="3" fontId="19" fillId="0" borderId="3" xfId="3" applyNumberFormat="1" applyFont="1" applyFill="1" applyBorder="1" applyAlignment="1">
      <alignment horizontal="center" vertical="center" wrapText="1"/>
    </xf>
    <xf numFmtId="0" fontId="9" fillId="0" borderId="3" xfId="0" applyFont="1" applyBorder="1" applyAlignment="1">
      <alignment horizontal="center" vertical="center" wrapText="1"/>
    </xf>
    <xf numFmtId="0" fontId="23" fillId="0" borderId="0" xfId="0" applyFont="1" applyAlignment="1">
      <alignment horizontal="center" vertical="center" wrapText="1"/>
    </xf>
    <xf numFmtId="0" fontId="3" fillId="0" borderId="0" xfId="0" applyFont="1" applyBorder="1" applyAlignment="1">
      <alignment horizontal="center" vertical="center" wrapText="1"/>
    </xf>
    <xf numFmtId="4" fontId="6" fillId="0" borderId="0" xfId="0" applyNumberFormat="1" applyFont="1" applyBorder="1" applyAlignment="1">
      <alignment horizontal="center" vertical="center" wrapText="1"/>
    </xf>
    <xf numFmtId="4" fontId="1" fillId="0" borderId="0"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 fontId="17" fillId="0" borderId="0" xfId="0" applyNumberFormat="1" applyFont="1" applyBorder="1" applyAlignment="1">
      <alignment horizontal="center" vertical="center" wrapText="1"/>
    </xf>
    <xf numFmtId="2" fontId="17" fillId="0" borderId="0" xfId="0" applyNumberFormat="1" applyFont="1" applyBorder="1" applyAlignment="1">
      <alignment horizontal="center" vertical="center"/>
    </xf>
    <xf numFmtId="2" fontId="16" fillId="0" borderId="0" xfId="0" applyNumberFormat="1" applyFont="1" applyBorder="1" applyAlignment="1">
      <alignment horizontal="center" vertical="center"/>
    </xf>
    <xf numFmtId="164" fontId="5" fillId="0" borderId="3" xfId="0" applyNumberFormat="1" applyFont="1" applyFill="1" applyBorder="1" applyAlignment="1">
      <alignment horizontal="center" vertical="center" wrapText="1"/>
    </xf>
    <xf numFmtId="0" fontId="5" fillId="0" borderId="3" xfId="0" applyFont="1" applyBorder="1" applyAlignment="1">
      <alignment vertical="center"/>
    </xf>
    <xf numFmtId="0" fontId="5" fillId="0" borderId="3" xfId="0" applyFont="1" applyBorder="1" applyAlignment="1">
      <alignment horizontal="center" vertical="center"/>
    </xf>
    <xf numFmtId="170" fontId="5" fillId="0" borderId="3" xfId="0" applyNumberFormat="1" applyFont="1" applyFill="1" applyBorder="1" applyAlignment="1">
      <alignment horizontal="center" vertical="center" wrapText="1"/>
    </xf>
    <xf numFmtId="0" fontId="1" fillId="0" borderId="0" xfId="0" applyFont="1" applyBorder="1" applyAlignment="1">
      <alignment vertical="center"/>
    </xf>
    <xf numFmtId="170" fontId="5" fillId="0" borderId="12" xfId="0" applyNumberFormat="1" applyFont="1" applyFill="1" applyBorder="1" applyAlignment="1">
      <alignment horizontal="center" vertical="center" wrapText="1"/>
    </xf>
    <xf numFmtId="0" fontId="6" fillId="0" borderId="0" xfId="0" applyFont="1" applyBorder="1" applyAlignment="1">
      <alignment vertical="center"/>
    </xf>
    <xf numFmtId="170" fontId="5" fillId="0" borderId="10" xfId="0" applyNumberFormat="1" applyFont="1" applyFill="1" applyBorder="1" applyAlignment="1">
      <alignment horizontal="center" vertical="center" wrapText="1"/>
    </xf>
    <xf numFmtId="164" fontId="6" fillId="0" borderId="3" xfId="0" applyNumberFormat="1" applyFont="1" applyFill="1" applyBorder="1" applyAlignment="1">
      <alignment horizontal="center" vertical="center" wrapText="1"/>
    </xf>
    <xf numFmtId="164" fontId="6" fillId="0" borderId="3" xfId="0" applyNumberFormat="1" applyFont="1" applyFill="1" applyBorder="1" applyAlignment="1">
      <alignment horizontal="center" vertical="center"/>
    </xf>
    <xf numFmtId="0" fontId="6" fillId="0" borderId="3" xfId="0" applyFont="1" applyBorder="1"/>
    <xf numFmtId="0" fontId="1" fillId="0" borderId="3" xfId="0" applyFont="1" applyFill="1" applyBorder="1"/>
    <xf numFmtId="0" fontId="12" fillId="0" borderId="3" xfId="0" applyFont="1" applyBorder="1" applyAlignment="1">
      <alignment horizontal="right" vertical="center"/>
    </xf>
    <xf numFmtId="0" fontId="12" fillId="0" borderId="3" xfId="0" applyFont="1" applyBorder="1"/>
    <xf numFmtId="3" fontId="12" fillId="0" borderId="3" xfId="0" applyNumberFormat="1" applyFont="1" applyBorder="1" applyAlignment="1">
      <alignment horizontal="center" vertical="center"/>
    </xf>
    <xf numFmtId="4" fontId="12" fillId="0" borderId="3" xfId="0" applyNumberFormat="1" applyFont="1" applyBorder="1" applyAlignment="1">
      <alignment horizontal="center" vertical="center"/>
    </xf>
    <xf numFmtId="0" fontId="2" fillId="0" borderId="3" xfId="0" applyFont="1" applyFill="1" applyBorder="1" applyAlignment="1">
      <alignment horizontal="center" vertical="center" wrapText="1"/>
    </xf>
    <xf numFmtId="0" fontId="3" fillId="0" borderId="3" xfId="0" applyFont="1" applyFill="1" applyBorder="1" applyAlignment="1">
      <alignment vertical="center"/>
    </xf>
    <xf numFmtId="3" fontId="3" fillId="0" borderId="3" xfId="0" applyNumberFormat="1" applyFont="1" applyFill="1" applyBorder="1" applyAlignment="1">
      <alignment horizontal="center" vertical="center" wrapText="1"/>
    </xf>
    <xf numFmtId="0" fontId="12" fillId="0" borderId="3" xfId="0" applyFont="1" applyFill="1" applyBorder="1" applyAlignment="1">
      <alignment vertical="center"/>
    </xf>
    <xf numFmtId="3" fontId="12" fillId="0" borderId="3" xfId="0" applyNumberFormat="1" applyFont="1" applyFill="1" applyBorder="1" applyAlignment="1">
      <alignment horizontal="center" vertical="center" wrapText="1"/>
    </xf>
    <xf numFmtId="0" fontId="6" fillId="2" borderId="3" xfId="0" applyFont="1" applyFill="1" applyBorder="1" applyAlignment="1">
      <alignment vertical="center" wrapText="1"/>
    </xf>
    <xf numFmtId="0" fontId="6" fillId="0" borderId="3" xfId="0" applyFont="1" applyFill="1" applyBorder="1" applyAlignment="1">
      <alignment vertical="center" wrapText="1"/>
    </xf>
    <xf numFmtId="164" fontId="5" fillId="2" borderId="3" xfId="0" applyNumberFormat="1" applyFont="1" applyFill="1" applyBorder="1" applyAlignment="1">
      <alignment horizontal="center" vertical="center" wrapText="1"/>
    </xf>
    <xf numFmtId="2" fontId="1" fillId="0" borderId="0" xfId="0" applyNumberFormat="1" applyFont="1"/>
    <xf numFmtId="0" fontId="2" fillId="0" borderId="0" xfId="0" applyFont="1" applyAlignment="1">
      <alignment horizontal="right"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6" fillId="0" borderId="3" xfId="0" applyFont="1" applyBorder="1" applyAlignment="1">
      <alignment horizontal="center" vertical="center" wrapText="1"/>
    </xf>
    <xf numFmtId="0" fontId="1" fillId="0" borderId="3" xfId="0" applyFont="1" applyBorder="1" applyAlignment="1">
      <alignment vertical="center" wrapText="1"/>
    </xf>
    <xf numFmtId="0" fontId="6" fillId="0" borderId="0" xfId="0" applyFont="1"/>
    <xf numFmtId="0" fontId="12" fillId="0" borderId="0" xfId="0" applyFont="1"/>
    <xf numFmtId="3" fontId="5" fillId="0" borderId="3" xfId="3" applyNumberFormat="1" applyFont="1" applyFill="1" applyBorder="1" applyAlignment="1">
      <alignment horizontal="center" vertical="center" wrapText="1"/>
    </xf>
    <xf numFmtId="3" fontId="11" fillId="0" borderId="3" xfId="3" applyNumberFormat="1" applyFont="1" applyFill="1" applyBorder="1" applyAlignment="1">
      <alignment horizontal="center" vertical="center" wrapText="1"/>
    </xf>
    <xf numFmtId="0" fontId="11" fillId="2" borderId="3" xfId="0" applyFont="1" applyFill="1" applyBorder="1" applyAlignment="1">
      <alignment horizontal="right" vertical="center" wrapText="1"/>
    </xf>
    <xf numFmtId="0" fontId="5" fillId="2" borderId="3" xfId="0" applyFont="1" applyFill="1" applyBorder="1" applyAlignment="1">
      <alignment vertical="center"/>
    </xf>
    <xf numFmtId="0" fontId="3" fillId="0" borderId="3" xfId="0" applyFont="1" applyFill="1" applyBorder="1" applyAlignment="1">
      <alignment horizontal="center" vertical="center" wrapText="1"/>
    </xf>
    <xf numFmtId="0" fontId="6" fillId="0" borderId="16" xfId="0" applyFont="1" applyBorder="1" applyAlignment="1">
      <alignment horizontal="center" vertical="center" wrapText="1"/>
    </xf>
    <xf numFmtId="173" fontId="1" fillId="0" borderId="0" xfId="0" applyNumberFormat="1" applyFont="1"/>
    <xf numFmtId="0" fontId="1" fillId="0" borderId="3" xfId="0" applyFont="1" applyFill="1" applyBorder="1" applyAlignment="1">
      <alignment horizontal="center" vertical="center" wrapText="1"/>
    </xf>
    <xf numFmtId="0" fontId="1" fillId="0" borderId="3" xfId="0" applyFont="1" applyFill="1" applyBorder="1" applyAlignment="1">
      <alignment horizontal="justify" vertical="center" wrapText="1"/>
    </xf>
    <xf numFmtId="165" fontId="7" fillId="0" borderId="3" xfId="0" applyNumberFormat="1" applyFont="1" applyFill="1" applyBorder="1" applyAlignment="1">
      <alignment horizontal="justify" vertical="center"/>
    </xf>
    <xf numFmtId="0" fontId="7" fillId="0" borderId="3" xfId="0" applyNumberFormat="1" applyFont="1" applyFill="1" applyBorder="1" applyAlignment="1">
      <alignment horizontal="center" vertical="center" wrapText="1"/>
    </xf>
    <xf numFmtId="164" fontId="7" fillId="0" borderId="3" xfId="0" applyNumberFormat="1" applyFont="1" applyFill="1" applyBorder="1" applyAlignment="1">
      <alignment horizontal="center" vertical="center"/>
    </xf>
    <xf numFmtId="164" fontId="1" fillId="0" borderId="3" xfId="0" applyNumberFormat="1" applyFont="1" applyFill="1" applyBorder="1" applyAlignment="1">
      <alignment horizontal="center" vertical="center"/>
    </xf>
    <xf numFmtId="164" fontId="7" fillId="0" borderId="3" xfId="0" applyNumberFormat="1" applyFont="1" applyFill="1" applyBorder="1" applyAlignment="1">
      <alignment horizontal="center" vertical="center" wrapText="1"/>
    </xf>
    <xf numFmtId="164" fontId="1" fillId="0" borderId="3" xfId="0" applyNumberFormat="1" applyFont="1" applyFill="1" applyBorder="1" applyAlignment="1">
      <alignment horizontal="center" vertical="center" wrapText="1"/>
    </xf>
    <xf numFmtId="49" fontId="9" fillId="0" borderId="19" xfId="0" applyNumberFormat="1" applyFont="1" applyFill="1" applyBorder="1" applyAlignment="1" applyProtection="1">
      <alignment horizontal="left" vertical="top" wrapText="1" shrinkToFit="1" readingOrder="1"/>
    </xf>
    <xf numFmtId="0" fontId="3" fillId="0" borderId="3" xfId="0" applyFont="1" applyFill="1" applyBorder="1" applyAlignment="1">
      <alignment horizontal="justify" vertical="top" wrapText="1"/>
    </xf>
    <xf numFmtId="0" fontId="3" fillId="0" borderId="3" xfId="0" applyFont="1" applyFill="1" applyBorder="1" applyAlignment="1">
      <alignment horizontal="center" vertical="top" wrapText="1"/>
    </xf>
    <xf numFmtId="165" fontId="3" fillId="0" borderId="3" xfId="0" applyNumberFormat="1" applyFont="1" applyFill="1" applyBorder="1" applyAlignment="1">
      <alignment horizontal="center" vertical="top" wrapText="1"/>
    </xf>
    <xf numFmtId="164" fontId="3" fillId="0" borderId="3" xfId="0" applyNumberFormat="1" applyFont="1" applyFill="1" applyBorder="1" applyAlignment="1">
      <alignment horizontal="center" vertical="top" wrapText="1"/>
    </xf>
    <xf numFmtId="164" fontId="3"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xf>
    <xf numFmtId="164" fontId="1" fillId="0" borderId="3" xfId="0" applyNumberFormat="1" applyFont="1" applyFill="1" applyBorder="1" applyAlignment="1">
      <alignment vertical="center"/>
    </xf>
    <xf numFmtId="0" fontId="7" fillId="0" borderId="3" xfId="0" applyFont="1" applyFill="1" applyBorder="1" applyAlignment="1">
      <alignment horizontal="center" vertical="center" wrapText="1"/>
    </xf>
    <xf numFmtId="0" fontId="7" fillId="0" borderId="3" xfId="0" applyFont="1" applyFill="1" applyBorder="1" applyAlignment="1">
      <alignment horizontal="justify" vertical="center" wrapText="1"/>
    </xf>
    <xf numFmtId="0" fontId="7" fillId="0" borderId="3" xfId="0" applyFont="1" applyFill="1" applyBorder="1" applyAlignment="1">
      <alignment horizontal="center" vertical="center"/>
    </xf>
    <xf numFmtId="0" fontId="8" fillId="0" borderId="3" xfId="0" applyFont="1" applyFill="1" applyBorder="1" applyAlignment="1">
      <alignment horizontal="justify" vertical="center" wrapText="1"/>
    </xf>
    <xf numFmtId="0" fontId="8" fillId="0" borderId="3" xfId="0" applyFont="1" applyFill="1" applyBorder="1" applyAlignment="1">
      <alignment horizontal="right" vertical="center" wrapText="1"/>
    </xf>
    <xf numFmtId="0" fontId="8" fillId="0" borderId="3" xfId="0" applyFont="1" applyFill="1" applyBorder="1" applyAlignment="1">
      <alignment horizontal="center" vertical="top" wrapText="1"/>
    </xf>
    <xf numFmtId="165" fontId="8" fillId="0" borderId="3" xfId="0" applyNumberFormat="1" applyFont="1" applyFill="1" applyBorder="1" applyAlignment="1">
      <alignment horizontal="center" vertical="top" wrapText="1"/>
    </xf>
    <xf numFmtId="164" fontId="8" fillId="0" borderId="3" xfId="0" applyNumberFormat="1" applyFont="1" applyFill="1" applyBorder="1" applyAlignment="1">
      <alignment horizontal="center" vertical="top" wrapText="1"/>
    </xf>
    <xf numFmtId="164" fontId="8" fillId="0" borderId="3" xfId="0" applyNumberFormat="1" applyFont="1" applyFill="1" applyBorder="1" applyAlignment="1">
      <alignment horizontal="center" vertical="center" wrapText="1"/>
    </xf>
    <xf numFmtId="166" fontId="8" fillId="0" borderId="3" xfId="0" applyNumberFormat="1" applyFont="1" applyBorder="1" applyAlignment="1">
      <alignment vertical="center" wrapText="1"/>
    </xf>
    <xf numFmtId="0" fontId="26" fillId="0" borderId="3" xfId="0" applyFont="1" applyBorder="1" applyAlignment="1">
      <alignment vertical="center" wrapText="1"/>
    </xf>
    <xf numFmtId="0" fontId="2" fillId="0" borderId="0" xfId="0" applyFont="1" applyAlignment="1">
      <alignment horizontal="right"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12" fillId="0" borderId="3" xfId="0" applyFont="1" applyBorder="1" applyAlignment="1">
      <alignment horizontal="center" vertical="center" wrapText="1"/>
    </xf>
    <xf numFmtId="0" fontId="6" fillId="0" borderId="3" xfId="0" applyFont="1" applyBorder="1" applyAlignment="1">
      <alignment horizontal="center" vertical="center" wrapText="1"/>
    </xf>
    <xf numFmtId="3" fontId="14" fillId="0" borderId="3" xfId="0" applyNumberFormat="1" applyFont="1" applyFill="1" applyBorder="1" applyAlignment="1">
      <alignment horizontal="center" vertical="center"/>
    </xf>
    <xf numFmtId="0" fontId="6" fillId="0" borderId="0" xfId="0" applyFont="1" applyAlignment="1">
      <alignment horizontal="right" vertical="center"/>
    </xf>
    <xf numFmtId="0" fontId="11" fillId="2" borderId="3" xfId="0" applyFont="1" applyFill="1" applyBorder="1" applyAlignment="1">
      <alignment horizontal="center" vertical="center"/>
    </xf>
    <xf numFmtId="0" fontId="11" fillId="2" borderId="12" xfId="0" applyFont="1" applyFill="1" applyBorder="1" applyAlignment="1">
      <alignment horizontal="center" vertical="center"/>
    </xf>
    <xf numFmtId="0" fontId="27" fillId="0" borderId="3" xfId="0" applyFont="1" applyBorder="1"/>
    <xf numFmtId="0" fontId="27" fillId="0" borderId="0" xfId="0" applyFont="1"/>
    <xf numFmtId="171" fontId="12" fillId="0" borderId="3" xfId="0" applyNumberFormat="1" applyFont="1" applyBorder="1" applyAlignment="1">
      <alignment horizontal="center" vertical="center"/>
    </xf>
    <xf numFmtId="169" fontId="14" fillId="0" borderId="3" xfId="0" applyNumberFormat="1" applyFont="1" applyFill="1" applyBorder="1" applyAlignment="1">
      <alignment wrapText="1"/>
    </xf>
    <xf numFmtId="3" fontId="5" fillId="0" borderId="3" xfId="1" applyNumberFormat="1" applyFont="1" applyFill="1" applyBorder="1" applyAlignment="1">
      <alignment horizontal="center" vertical="center"/>
    </xf>
    <xf numFmtId="4" fontId="14" fillId="0" borderId="3" xfId="0" applyNumberFormat="1" applyFont="1" applyFill="1" applyBorder="1" applyAlignment="1">
      <alignment horizontal="center" vertical="center"/>
    </xf>
    <xf numFmtId="4" fontId="6" fillId="0" borderId="3" xfId="0" applyNumberFormat="1" applyFont="1" applyFill="1" applyBorder="1" applyAlignment="1">
      <alignment horizontal="center" vertical="center"/>
    </xf>
    <xf numFmtId="0" fontId="9" fillId="0" borderId="3" xfId="0" applyFont="1" applyFill="1" applyBorder="1" applyAlignment="1">
      <alignment horizontal="left" vertical="center" wrapText="1"/>
    </xf>
    <xf numFmtId="164" fontId="6" fillId="0" borderId="3" xfId="0" applyNumberFormat="1" applyFont="1" applyBorder="1" applyAlignment="1">
      <alignment horizontal="center" vertical="center" wrapText="1"/>
    </xf>
    <xf numFmtId="164" fontId="6" fillId="0" borderId="3" xfId="0" applyNumberFormat="1" applyFont="1" applyBorder="1" applyAlignment="1">
      <alignment horizontal="center" vertical="center"/>
    </xf>
    <xf numFmtId="0" fontId="3" fillId="0" borderId="3" xfId="0" applyFont="1" applyBorder="1"/>
    <xf numFmtId="164" fontId="1" fillId="0" borderId="3" xfId="0" applyNumberFormat="1" applyFont="1" applyBorder="1" applyAlignment="1">
      <alignment horizontal="center" vertical="center"/>
    </xf>
    <xf numFmtId="0" fontId="6" fillId="0" borderId="3" xfId="0" applyFont="1" applyBorder="1" applyAlignment="1">
      <alignment horizontal="center" vertical="center"/>
    </xf>
    <xf numFmtId="164" fontId="12" fillId="0" borderId="3" xfId="0" applyNumberFormat="1" applyFont="1" applyBorder="1" applyAlignment="1">
      <alignment horizontal="center" vertical="center"/>
    </xf>
    <xf numFmtId="0" fontId="9" fillId="0" borderId="3" xfId="0" applyFont="1" applyBorder="1" applyAlignment="1">
      <alignment vertical="center" wrapText="1"/>
    </xf>
    <xf numFmtId="0" fontId="6" fillId="0" borderId="3" xfId="0" applyFont="1" applyBorder="1" applyAlignment="1">
      <alignment wrapText="1"/>
    </xf>
    <xf numFmtId="49" fontId="9" fillId="0" borderId="3" xfId="0" applyNumberFormat="1" applyFont="1" applyBorder="1" applyAlignment="1" applyProtection="1">
      <alignment horizontal="center" vertical="center" wrapText="1" shrinkToFit="1"/>
    </xf>
    <xf numFmtId="164" fontId="9" fillId="0" borderId="3" xfId="0" applyNumberFormat="1" applyFont="1" applyBorder="1" applyAlignment="1" applyProtection="1">
      <alignment horizontal="center" vertical="center" wrapText="1" shrinkToFit="1"/>
    </xf>
    <xf numFmtId="164" fontId="9" fillId="2" borderId="3" xfId="0" applyNumberFormat="1" applyFont="1" applyFill="1" applyBorder="1" applyAlignment="1" applyProtection="1">
      <alignment horizontal="center" vertical="center" wrapText="1" shrinkToFit="1"/>
    </xf>
    <xf numFmtId="0" fontId="6" fillId="0" borderId="3" xfId="0" applyFont="1" applyFill="1" applyBorder="1" applyAlignment="1">
      <alignment horizontal="center" vertical="center" wrapText="1"/>
    </xf>
    <xf numFmtId="0" fontId="6" fillId="0" borderId="3" xfId="0" applyFont="1" applyFill="1" applyBorder="1" applyAlignment="1">
      <alignment horizontal="center" vertical="center"/>
    </xf>
    <xf numFmtId="0" fontId="5" fillId="2" borderId="3" xfId="0" applyFont="1" applyFill="1" applyBorder="1" applyAlignment="1">
      <alignment vertical="center" wrapText="1"/>
    </xf>
    <xf numFmtId="168" fontId="9" fillId="0" borderId="3" xfId="0" applyNumberFormat="1" applyFont="1" applyBorder="1" applyAlignment="1" applyProtection="1">
      <alignment horizontal="center" vertical="center" wrapText="1" shrinkToFit="1" readingOrder="1"/>
    </xf>
    <xf numFmtId="49" fontId="9" fillId="0" borderId="18" xfId="0" applyNumberFormat="1" applyFont="1" applyBorder="1" applyAlignment="1" applyProtection="1">
      <alignment horizontal="center" vertical="center" wrapText="1" shrinkToFit="1" readingOrder="1"/>
    </xf>
    <xf numFmtId="0" fontId="5" fillId="2" borderId="12" xfId="0" applyFont="1" applyFill="1" applyBorder="1" applyAlignment="1">
      <alignment vertical="center" wrapText="1"/>
    </xf>
    <xf numFmtId="0" fontId="5" fillId="2" borderId="3"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2" xfId="0" applyFont="1" applyFill="1" applyBorder="1" applyAlignment="1">
      <alignment horizontal="left" vertical="center" wrapText="1"/>
    </xf>
    <xf numFmtId="171" fontId="12" fillId="0" borderId="3" xfId="0" applyNumberFormat="1" applyFont="1" applyBorder="1" applyAlignment="1">
      <alignment horizontal="center" vertical="center"/>
    </xf>
    <xf numFmtId="0" fontId="9" fillId="0" borderId="3" xfId="0" applyFont="1" applyFill="1" applyBorder="1" applyAlignment="1">
      <alignment vertical="center" wrapText="1"/>
    </xf>
    <xf numFmtId="49" fontId="9" fillId="0" borderId="3" xfId="0" applyNumberFormat="1" applyFont="1" applyFill="1" applyBorder="1" applyAlignment="1" applyProtection="1">
      <alignment horizontal="center" vertical="center" wrapText="1" shrinkToFit="1"/>
    </xf>
    <xf numFmtId="164" fontId="9" fillId="0" borderId="3" xfId="0" applyNumberFormat="1" applyFont="1" applyFill="1" applyBorder="1" applyAlignment="1" applyProtection="1">
      <alignment horizontal="center" vertical="center" wrapText="1" shrinkToFit="1"/>
    </xf>
    <xf numFmtId="164" fontId="9" fillId="0" borderId="3" xfId="0" applyNumberFormat="1" applyFont="1" applyBorder="1" applyAlignment="1" applyProtection="1">
      <alignment horizontal="center" vertical="center" wrapText="1" shrinkToFit="1" readingOrder="1"/>
    </xf>
    <xf numFmtId="168" fontId="3" fillId="0" borderId="3" xfId="0" applyNumberFormat="1" applyFont="1" applyBorder="1" applyAlignment="1">
      <alignment horizontal="center" vertical="center"/>
    </xf>
    <xf numFmtId="176" fontId="3" fillId="0" borderId="3" xfId="0" applyNumberFormat="1" applyFont="1" applyBorder="1" applyAlignment="1">
      <alignment horizontal="center" vertical="center"/>
    </xf>
    <xf numFmtId="0" fontId="6" fillId="0" borderId="12" xfId="0" applyFont="1" applyBorder="1" applyAlignment="1">
      <alignment horizontal="center" vertical="center"/>
    </xf>
    <xf numFmtId="173" fontId="5" fillId="2" borderId="12" xfId="0" applyNumberFormat="1" applyFont="1" applyFill="1" applyBorder="1" applyAlignment="1">
      <alignment horizontal="center" vertical="center"/>
    </xf>
    <xf numFmtId="173" fontId="6" fillId="0" borderId="3" xfId="0" applyNumberFormat="1" applyFont="1" applyBorder="1" applyAlignment="1">
      <alignment horizontal="center"/>
    </xf>
    <xf numFmtId="0" fontId="6" fillId="0" borderId="3" xfId="0" applyFont="1" applyBorder="1" applyAlignment="1">
      <alignment horizontal="center"/>
    </xf>
    <xf numFmtId="0" fontId="27" fillId="0" borderId="3" xfId="0" applyFont="1" applyBorder="1" applyAlignment="1">
      <alignment horizontal="center"/>
    </xf>
    <xf numFmtId="177" fontId="6" fillId="0" borderId="12" xfId="0" applyNumberFormat="1" applyFont="1" applyBorder="1" applyAlignment="1">
      <alignment horizontal="center" vertical="center" wrapText="1"/>
    </xf>
    <xf numFmtId="177" fontId="6" fillId="0" borderId="3" xfId="0" applyNumberFormat="1" applyFont="1" applyBorder="1" applyAlignment="1">
      <alignment horizontal="center" vertical="center" wrapText="1"/>
    </xf>
    <xf numFmtId="164" fontId="5" fillId="2" borderId="12" xfId="0" applyNumberFormat="1" applyFont="1" applyFill="1" applyBorder="1" applyAlignment="1">
      <alignment horizontal="center" vertical="center"/>
    </xf>
    <xf numFmtId="0" fontId="2" fillId="0" borderId="0" xfId="0" applyFont="1" applyAlignment="1">
      <alignment horizontal="right" vertical="center"/>
    </xf>
    <xf numFmtId="0" fontId="3" fillId="0" borderId="3" xfId="0" applyFont="1" applyBorder="1" applyAlignment="1">
      <alignment horizontal="center" vertical="center" wrapText="1"/>
    </xf>
    <xf numFmtId="0" fontId="3" fillId="0" borderId="0" xfId="0" applyFont="1" applyAlignment="1">
      <alignment horizontal="center" vertical="center"/>
    </xf>
    <xf numFmtId="4" fontId="5" fillId="0" borderId="12" xfId="0" applyNumberFormat="1" applyFont="1" applyBorder="1" applyAlignment="1">
      <alignment horizontal="center" vertical="center" wrapText="1"/>
    </xf>
    <xf numFmtId="2" fontId="5" fillId="0" borderId="12" xfId="0" applyNumberFormat="1" applyFont="1" applyBorder="1" applyAlignment="1">
      <alignment horizontal="center" vertical="center"/>
    </xf>
    <xf numFmtId="0" fontId="6" fillId="0" borderId="12" xfId="0" applyFont="1" applyBorder="1" applyAlignment="1">
      <alignment horizontal="center" vertical="center"/>
    </xf>
    <xf numFmtId="0" fontId="5" fillId="0" borderId="12"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164" fontId="5" fillId="0" borderId="12" xfId="0" applyNumberFormat="1" applyFont="1" applyFill="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vertical="center" wrapText="1"/>
    </xf>
    <xf numFmtId="0" fontId="5" fillId="0" borderId="12" xfId="0" applyFont="1" applyFill="1" applyBorder="1" applyAlignment="1">
      <alignment vertical="center" wrapText="1"/>
    </xf>
    <xf numFmtId="0" fontId="5" fillId="0" borderId="3" xfId="0" applyFont="1" applyFill="1" applyBorder="1" applyAlignment="1">
      <alignment vertical="center" wrapText="1"/>
    </xf>
    <xf numFmtId="0" fontId="6" fillId="0" borderId="12" xfId="0" applyFont="1" applyBorder="1" applyAlignment="1">
      <alignment horizontal="center" vertical="center"/>
    </xf>
    <xf numFmtId="0" fontId="6" fillId="0" borderId="12" xfId="0" applyFont="1" applyBorder="1" applyAlignment="1">
      <alignment horizontal="center" vertical="center"/>
    </xf>
    <xf numFmtId="0" fontId="6" fillId="0" borderId="12" xfId="0" applyFont="1" applyBorder="1" applyAlignment="1">
      <alignment horizontal="center" vertical="center" wrapText="1"/>
    </xf>
    <xf numFmtId="0" fontId="6" fillId="0" borderId="15" xfId="0" applyFont="1" applyFill="1" applyBorder="1" applyAlignment="1">
      <alignment horizontal="center" vertical="center"/>
    </xf>
    <xf numFmtId="0" fontId="27" fillId="0" borderId="3" xfId="0" applyFont="1" applyBorder="1" applyAlignment="1">
      <alignment horizontal="center" vertical="center"/>
    </xf>
    <xf numFmtId="177" fontId="6" fillId="0" borderId="3" xfId="0"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2" fillId="0" borderId="0" xfId="0" applyFont="1" applyAlignment="1">
      <alignment horizontal="right" vertical="center"/>
    </xf>
    <xf numFmtId="0" fontId="3" fillId="0" borderId="3" xfId="0" applyFont="1" applyBorder="1" applyAlignment="1">
      <alignment horizontal="center" vertical="center"/>
    </xf>
    <xf numFmtId="0" fontId="3" fillId="0" borderId="3" xfId="0" applyFont="1" applyBorder="1" applyAlignment="1">
      <alignment horizontal="center" vertical="center" wrapText="1"/>
    </xf>
    <xf numFmtId="0" fontId="6" fillId="0" borderId="3" xfId="0" applyFont="1" applyBorder="1" applyAlignment="1">
      <alignment horizontal="center" vertical="center" wrapText="1"/>
    </xf>
    <xf numFmtId="0" fontId="2" fillId="0" borderId="0" xfId="0" applyFont="1" applyAlignment="1">
      <alignment horizontal="right" vertical="center"/>
    </xf>
    <xf numFmtId="0" fontId="12" fillId="0" borderId="1"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3" xfId="0" applyFont="1" applyBorder="1" applyAlignment="1">
      <alignment horizontal="center" vertical="center" wrapText="1"/>
    </xf>
    <xf numFmtId="0" fontId="6" fillId="0" borderId="3" xfId="0" applyFont="1" applyBorder="1" applyAlignment="1">
      <alignment horizontal="center" vertical="center" wrapText="1"/>
    </xf>
    <xf numFmtId="0" fontId="12" fillId="0" borderId="16" xfId="0" applyFont="1" applyBorder="1" applyAlignment="1">
      <alignment horizontal="center" vertical="center" wrapText="1"/>
    </xf>
    <xf numFmtId="0" fontId="6" fillId="0" borderId="12" xfId="0" applyFont="1" applyBorder="1" applyAlignment="1">
      <alignment horizontal="center" vertical="center" wrapText="1"/>
    </xf>
    <xf numFmtId="170" fontId="12" fillId="0" borderId="3" xfId="0" applyNumberFormat="1" applyFont="1" applyBorder="1" applyAlignment="1">
      <alignment vertical="center"/>
    </xf>
    <xf numFmtId="0" fontId="12" fillId="0" borderId="3" xfId="0" applyFont="1" applyBorder="1" applyAlignment="1">
      <alignment horizontal="center" vertical="center"/>
    </xf>
    <xf numFmtId="49" fontId="9" fillId="0" borderId="3" xfId="0" applyNumberFormat="1" applyFont="1" applyBorder="1" applyAlignment="1" applyProtection="1">
      <alignment horizontal="left" vertical="center" wrapText="1"/>
    </xf>
    <xf numFmtId="49" fontId="9" fillId="0" borderId="3" xfId="0" applyNumberFormat="1" applyFont="1" applyFill="1" applyBorder="1" applyAlignment="1" applyProtection="1">
      <alignment horizontal="left" vertical="center" wrapText="1"/>
    </xf>
    <xf numFmtId="167" fontId="9" fillId="0" borderId="3" xfId="0" applyNumberFormat="1" applyFont="1" applyFill="1" applyBorder="1" applyAlignment="1" applyProtection="1">
      <alignment horizontal="center" vertical="center" wrapText="1"/>
    </xf>
    <xf numFmtId="49" fontId="9" fillId="0" borderId="3" xfId="0" applyNumberFormat="1" applyFont="1" applyBorder="1" applyAlignment="1">
      <alignment horizontal="left" vertical="center" wrapText="1"/>
    </xf>
    <xf numFmtId="49" fontId="9" fillId="0" borderId="3" xfId="0" applyNumberFormat="1" applyFont="1" applyBorder="1" applyAlignment="1">
      <alignment horizontal="center" vertical="center" wrapText="1"/>
    </xf>
    <xf numFmtId="168" fontId="9" fillId="0" borderId="3" xfId="0" applyNumberFormat="1" applyFont="1" applyBorder="1" applyAlignment="1">
      <alignment horizontal="center" vertical="center" wrapText="1"/>
    </xf>
    <xf numFmtId="49" fontId="9" fillId="0" borderId="3" xfId="0" applyNumberFormat="1" applyFont="1" applyFill="1" applyBorder="1" applyAlignment="1" applyProtection="1">
      <alignment horizontal="center" vertical="center" wrapText="1"/>
    </xf>
    <xf numFmtId="168" fontId="9" fillId="0" borderId="3" xfId="0" applyNumberFormat="1" applyFont="1" applyFill="1" applyBorder="1" applyAlignment="1" applyProtection="1">
      <alignment horizontal="center" vertical="center" wrapText="1"/>
    </xf>
    <xf numFmtId="168" fontId="12" fillId="0" borderId="3" xfId="0" applyNumberFormat="1" applyFont="1" applyBorder="1" applyAlignment="1">
      <alignment vertical="center"/>
    </xf>
    <xf numFmtId="164" fontId="12" fillId="0" borderId="3" xfId="0" applyNumberFormat="1" applyFont="1" applyBorder="1" applyAlignment="1">
      <alignment vertical="center"/>
    </xf>
    <xf numFmtId="3" fontId="14" fillId="0" borderId="3" xfId="0" applyNumberFormat="1" applyFont="1" applyBorder="1" applyAlignment="1">
      <alignment horizontal="center" vertical="center"/>
    </xf>
    <xf numFmtId="4" fontId="14" fillId="2" borderId="3" xfId="0" applyNumberFormat="1" applyFont="1" applyFill="1" applyBorder="1" applyAlignment="1">
      <alignment horizontal="center" vertical="center"/>
    </xf>
    <xf numFmtId="168" fontId="9" fillId="0" borderId="3" xfId="0" applyNumberFormat="1" applyFont="1" applyBorder="1" applyAlignment="1" applyProtection="1">
      <alignment horizontal="center" vertical="center" wrapText="1" shrinkToFit="1"/>
    </xf>
    <xf numFmtId="49" fontId="13" fillId="0" borderId="18" xfId="0" applyNumberFormat="1" applyFont="1" applyBorder="1" applyAlignment="1" applyProtection="1">
      <alignment horizontal="center" vertical="center" wrapText="1" shrinkToFit="1"/>
    </xf>
    <xf numFmtId="176" fontId="9" fillId="0" borderId="3" xfId="0" applyNumberFormat="1" applyFont="1" applyBorder="1" applyAlignment="1" applyProtection="1">
      <alignment horizontal="center" vertical="center" wrapText="1" shrinkToFit="1"/>
    </xf>
    <xf numFmtId="49" fontId="9" fillId="0" borderId="18" xfId="0" applyNumberFormat="1" applyFont="1" applyBorder="1" applyAlignment="1" applyProtection="1">
      <alignment horizontal="center" vertical="center" wrapText="1" shrinkToFit="1"/>
    </xf>
    <xf numFmtId="174" fontId="9" fillId="0" borderId="3" xfId="0" applyNumberFormat="1" applyFont="1" applyBorder="1" applyAlignment="1" applyProtection="1">
      <alignment horizontal="center" vertical="center" wrapText="1" shrinkToFit="1"/>
    </xf>
    <xf numFmtId="0" fontId="2" fillId="0" borderId="0" xfId="0" applyFont="1" applyAlignment="1">
      <alignment horizontal="right" vertical="center"/>
    </xf>
    <xf numFmtId="0" fontId="9" fillId="0" borderId="3" xfId="0" applyNumberFormat="1" applyFont="1" applyBorder="1" applyAlignment="1" applyProtection="1">
      <alignment horizontal="center" vertical="center" wrapText="1" shrinkToFit="1"/>
    </xf>
    <xf numFmtId="164" fontId="6" fillId="0" borderId="0" xfId="0" applyNumberFormat="1" applyFont="1" applyAlignment="1">
      <alignment horizontal="center" vertical="center"/>
    </xf>
    <xf numFmtId="164" fontId="12" fillId="0" borderId="3" xfId="0" applyNumberFormat="1" applyFont="1" applyFill="1" applyBorder="1" applyAlignment="1">
      <alignment horizontal="center" vertical="center" wrapText="1"/>
    </xf>
    <xf numFmtId="164" fontId="12" fillId="0" borderId="12" xfId="0" applyNumberFormat="1" applyFont="1" applyBorder="1" applyAlignment="1">
      <alignment horizontal="center" vertical="center" wrapText="1"/>
    </xf>
    <xf numFmtId="171" fontId="12" fillId="0" borderId="12" xfId="0" applyNumberFormat="1" applyFont="1" applyBorder="1" applyAlignment="1">
      <alignment horizontal="center" vertical="center" wrapText="1"/>
    </xf>
    <xf numFmtId="164" fontId="6" fillId="0" borderId="3" xfId="0" applyNumberFormat="1" applyFont="1" applyBorder="1" applyAlignment="1">
      <alignment vertical="center"/>
    </xf>
    <xf numFmtId="0" fontId="12" fillId="0" borderId="0" xfId="0" applyFont="1" applyAlignment="1">
      <alignment vertical="center"/>
    </xf>
    <xf numFmtId="0" fontId="6" fillId="0" borderId="0" xfId="0" applyFont="1" applyFill="1" applyAlignment="1">
      <alignment vertical="center"/>
    </xf>
    <xf numFmtId="2" fontId="6" fillId="0" borderId="3" xfId="0" applyNumberFormat="1" applyFont="1" applyFill="1" applyBorder="1" applyAlignment="1">
      <alignment vertical="center"/>
    </xf>
    <xf numFmtId="164" fontId="6" fillId="0" borderId="3" xfId="0" applyNumberFormat="1" applyFont="1" applyFill="1" applyBorder="1" applyAlignment="1">
      <alignment vertical="center"/>
    </xf>
    <xf numFmtId="2" fontId="12" fillId="0" borderId="3" xfId="0" applyNumberFormat="1" applyFont="1" applyBorder="1" applyAlignment="1">
      <alignment vertical="center"/>
    </xf>
    <xf numFmtId="49" fontId="9" fillId="0" borderId="3" xfId="0" applyNumberFormat="1" applyFont="1" applyFill="1" applyBorder="1" applyAlignment="1">
      <alignment horizontal="left" vertical="center" wrapText="1"/>
    </xf>
    <xf numFmtId="49" fontId="9" fillId="0" borderId="3" xfId="0" applyNumberFormat="1" applyFont="1" applyFill="1" applyBorder="1" applyAlignment="1">
      <alignment horizontal="center" vertical="center" wrapText="1"/>
    </xf>
    <xf numFmtId="168" fontId="9" fillId="0" borderId="3" xfId="0" applyNumberFormat="1" applyFont="1" applyFill="1" applyBorder="1" applyAlignment="1">
      <alignment horizontal="center" vertical="center" wrapText="1"/>
    </xf>
    <xf numFmtId="49" fontId="9" fillId="0" borderId="12" xfId="0" applyNumberFormat="1" applyFont="1" applyFill="1" applyBorder="1" applyAlignment="1">
      <alignment horizontal="left" vertical="center" wrapText="1"/>
    </xf>
    <xf numFmtId="49" fontId="9" fillId="0" borderId="3" xfId="0" applyNumberFormat="1" applyFont="1" applyBorder="1" applyAlignment="1" applyProtection="1">
      <alignment horizontal="center" vertical="center" wrapText="1"/>
    </xf>
    <xf numFmtId="168" fontId="9" fillId="0" borderId="3" xfId="0" applyNumberFormat="1" applyFont="1" applyBorder="1" applyAlignment="1" applyProtection="1">
      <alignment horizontal="center" vertical="center" wrapText="1"/>
    </xf>
    <xf numFmtId="171" fontId="12" fillId="0" borderId="3" xfId="0" applyNumberFormat="1" applyFont="1" applyBorder="1" applyAlignment="1">
      <alignment vertical="center"/>
    </xf>
    <xf numFmtId="178" fontId="14" fillId="0" borderId="3" xfId="0" applyNumberFormat="1" applyFont="1" applyFill="1" applyBorder="1" applyAlignment="1">
      <alignment horizontal="center" vertical="center"/>
    </xf>
    <xf numFmtId="178" fontId="14" fillId="0" borderId="3" xfId="0" applyNumberFormat="1" applyFont="1" applyFill="1" applyBorder="1" applyAlignment="1">
      <alignment vertical="center"/>
    </xf>
    <xf numFmtId="178" fontId="14" fillId="0" borderId="12" xfId="0" applyNumberFormat="1" applyFont="1" applyFill="1" applyBorder="1" applyAlignment="1">
      <alignment horizontal="center" vertical="center"/>
    </xf>
    <xf numFmtId="178" fontId="6" fillId="0" borderId="3" xfId="0" applyNumberFormat="1" applyFont="1" applyBorder="1" applyAlignment="1">
      <alignment horizontal="center" vertical="center" wrapText="1"/>
    </xf>
    <xf numFmtId="1" fontId="12" fillId="0" borderId="3" xfId="0" applyNumberFormat="1" applyFont="1" applyBorder="1" applyAlignment="1">
      <alignment vertical="center"/>
    </xf>
    <xf numFmtId="179" fontId="6" fillId="0" borderId="3" xfId="0" applyNumberFormat="1" applyFont="1" applyBorder="1" applyAlignment="1">
      <alignment horizontal="center" vertical="center"/>
    </xf>
    <xf numFmtId="164" fontId="6" fillId="0" borderId="3" xfId="0" applyNumberFormat="1" applyFont="1" applyBorder="1" applyAlignment="1">
      <alignment horizontal="left" vertical="center" wrapText="1"/>
    </xf>
    <xf numFmtId="0" fontId="6" fillId="2" borderId="3" xfId="0" applyFont="1" applyFill="1" applyBorder="1" applyAlignment="1">
      <alignment horizontal="center" vertical="center"/>
    </xf>
    <xf numFmtId="4" fontId="6" fillId="0" borderId="3" xfId="0" applyNumberFormat="1" applyFont="1" applyBorder="1" applyAlignment="1">
      <alignment horizontal="center" vertical="center"/>
    </xf>
    <xf numFmtId="175" fontId="12" fillId="0" borderId="3" xfId="0" applyNumberFormat="1" applyFont="1" applyBorder="1" applyAlignment="1">
      <alignment horizontal="center" vertical="center"/>
    </xf>
    <xf numFmtId="164" fontId="12" fillId="0" borderId="3" xfId="0" applyNumberFormat="1" applyFont="1" applyFill="1" applyBorder="1" applyAlignment="1">
      <alignment horizontal="center" vertical="center"/>
    </xf>
    <xf numFmtId="171" fontId="12" fillId="0" borderId="3" xfId="0" applyNumberFormat="1" applyFont="1" applyFill="1" applyBorder="1" applyAlignment="1">
      <alignment horizontal="center" vertical="center"/>
    </xf>
    <xf numFmtId="171" fontId="6" fillId="0" borderId="0" xfId="0" applyNumberFormat="1" applyFont="1"/>
    <xf numFmtId="164" fontId="6" fillId="0" borderId="0" xfId="0" applyNumberFormat="1" applyFont="1" applyAlignment="1">
      <alignment horizontal="center"/>
    </xf>
    <xf numFmtId="169" fontId="14" fillId="0" borderId="3" xfId="0" applyNumberFormat="1" applyFont="1" applyFill="1" applyBorder="1" applyAlignment="1">
      <alignment vertical="center" wrapText="1"/>
    </xf>
    <xf numFmtId="169" fontId="14" fillId="0" borderId="10" xfId="0" applyNumberFormat="1" applyFont="1" applyFill="1" applyBorder="1" applyAlignment="1">
      <alignment vertical="center" wrapText="1"/>
    </xf>
    <xf numFmtId="0" fontId="2" fillId="0" borderId="0" xfId="0" applyFont="1" applyAlignment="1">
      <alignment horizontal="right" vertical="center"/>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12" fillId="0"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5" fillId="0" borderId="3" xfId="0" applyFont="1" applyFill="1" applyBorder="1" applyAlignment="1">
      <alignment horizontal="center" vertical="center" wrapText="1"/>
    </xf>
    <xf numFmtId="0" fontId="5" fillId="0" borderId="12" xfId="2" applyFont="1" applyFill="1" applyBorder="1" applyAlignment="1">
      <alignment vertical="center" wrapText="1"/>
    </xf>
    <xf numFmtId="0" fontId="5" fillId="0" borderId="12" xfId="2" applyFont="1" applyFill="1" applyBorder="1" applyAlignment="1">
      <alignment horizontal="center" vertical="center" wrapText="1"/>
    </xf>
    <xf numFmtId="4" fontId="3" fillId="0" borderId="3" xfId="0" applyNumberFormat="1" applyFont="1" applyBorder="1" applyAlignment="1">
      <alignment horizontal="center" vertical="center"/>
    </xf>
    <xf numFmtId="0" fontId="12" fillId="0" borderId="3" xfId="0" applyFont="1" applyBorder="1" applyAlignment="1">
      <alignment horizontal="center" vertical="center" wrapText="1"/>
    </xf>
    <xf numFmtId="0" fontId="3" fillId="0" borderId="0" xfId="0" applyFont="1" applyAlignment="1">
      <alignment horizontal="center" vertical="center"/>
    </xf>
    <xf numFmtId="4" fontId="6" fillId="0" borderId="12" xfId="0" applyNumberFormat="1" applyFont="1" applyBorder="1" applyAlignment="1">
      <alignment horizontal="center" vertical="center" wrapText="1"/>
    </xf>
    <xf numFmtId="4" fontId="6" fillId="0" borderId="10"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12"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2" xfId="2"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2" xfId="0" applyFont="1" applyBorder="1" applyAlignment="1">
      <alignment horizontal="center" vertical="center"/>
    </xf>
    <xf numFmtId="0" fontId="5" fillId="0" borderId="12" xfId="0" applyFont="1" applyBorder="1" applyAlignment="1">
      <alignment horizontal="center" vertical="center" wrapText="1"/>
    </xf>
    <xf numFmtId="0" fontId="2" fillId="0" borderId="0" xfId="0" applyFont="1" applyAlignment="1">
      <alignment horizontal="right" vertical="center"/>
    </xf>
    <xf numFmtId="0" fontId="12" fillId="0" borderId="1"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5" fillId="0" borderId="12" xfId="0" applyFont="1" applyFill="1" applyBorder="1" applyAlignment="1">
      <alignment horizontal="left" vertical="center" wrapText="1"/>
    </xf>
    <xf numFmtId="0" fontId="5" fillId="2" borderId="3" xfId="2" applyFont="1" applyFill="1" applyBorder="1" applyAlignment="1">
      <alignment horizontal="left" vertical="center" wrapText="1"/>
    </xf>
    <xf numFmtId="0" fontId="5" fillId="2" borderId="3" xfId="0" applyFont="1" applyFill="1" applyBorder="1" applyAlignment="1">
      <alignment horizontal="center" vertical="center" wrapText="1"/>
    </xf>
    <xf numFmtId="0" fontId="5" fillId="2" borderId="3" xfId="2" applyFont="1" applyFill="1" applyBorder="1" applyAlignment="1">
      <alignment horizontal="center" vertical="center" wrapText="1"/>
    </xf>
    <xf numFmtId="4" fontId="5" fillId="2" borderId="3" xfId="0" applyNumberFormat="1" applyFont="1" applyFill="1" applyBorder="1" applyAlignment="1">
      <alignment horizontal="center" vertical="center" wrapText="1"/>
    </xf>
    <xf numFmtId="0" fontId="5" fillId="2" borderId="3" xfId="0" applyFont="1" applyFill="1" applyBorder="1" applyAlignment="1" applyProtection="1">
      <alignment horizontal="left" vertical="center" wrapText="1"/>
      <protection locked="0"/>
    </xf>
    <xf numFmtId="0" fontId="5" fillId="2" borderId="3" xfId="2" applyFont="1" applyFill="1" applyBorder="1" applyAlignment="1">
      <alignment vertical="center" wrapText="1"/>
    </xf>
    <xf numFmtId="0" fontId="5" fillId="2" borderId="3" xfId="0" applyFont="1" applyFill="1" applyBorder="1" applyAlignment="1">
      <alignment horizontal="left" vertical="center" wrapText="1"/>
    </xf>
    <xf numFmtId="0" fontId="6" fillId="0" borderId="12" xfId="0" applyFont="1" applyFill="1" applyBorder="1" applyAlignment="1">
      <alignment horizontal="left" vertical="center" wrapText="1"/>
    </xf>
    <xf numFmtId="0" fontId="5" fillId="0" borderId="12" xfId="1" applyFont="1" applyBorder="1" applyAlignment="1">
      <alignment horizontal="center" vertical="center" wrapText="1"/>
    </xf>
    <xf numFmtId="0" fontId="11" fillId="0" borderId="10" xfId="1" applyFont="1" applyBorder="1" applyAlignment="1">
      <alignment horizontal="center" vertical="center" wrapText="1"/>
    </xf>
    <xf numFmtId="0" fontId="5" fillId="2" borderId="3" xfId="1" applyFont="1" applyFill="1" applyBorder="1" applyAlignment="1">
      <alignment horizontal="center" vertical="center" wrapText="1"/>
    </xf>
    <xf numFmtId="164" fontId="11" fillId="0" borderId="10" xfId="1" applyNumberFormat="1" applyFont="1" applyBorder="1" applyAlignment="1">
      <alignment horizontal="center" vertical="center" wrapText="1"/>
    </xf>
    <xf numFmtId="164" fontId="21" fillId="0" borderId="3" xfId="0" applyNumberFormat="1" applyFont="1" applyBorder="1" applyAlignment="1">
      <alignment horizontal="center" vertical="center"/>
    </xf>
    <xf numFmtId="0" fontId="11" fillId="0" borderId="10" xfId="1" applyFont="1" applyBorder="1" applyAlignment="1">
      <alignment horizontal="left" vertical="center" wrapText="1"/>
    </xf>
    <xf numFmtId="0" fontId="12" fillId="0" borderId="10" xfId="0" applyFont="1" applyBorder="1" applyAlignment="1">
      <alignment horizontal="center" vertical="center" wrapText="1"/>
    </xf>
    <xf numFmtId="4" fontId="5" fillId="2" borderId="28" xfId="0" applyNumberFormat="1" applyFont="1" applyFill="1" applyBorder="1" applyAlignment="1">
      <alignment horizontal="center" vertical="center" wrapText="1"/>
    </xf>
    <xf numFmtId="0" fontId="18" fillId="0" borderId="12" xfId="0" applyFont="1" applyFill="1" applyBorder="1" applyAlignment="1" applyProtection="1">
      <alignment horizontal="left" vertical="center" wrapText="1"/>
      <protection locked="0"/>
    </xf>
    <xf numFmtId="4" fontId="1" fillId="0" borderId="0" xfId="0" applyNumberFormat="1" applyFont="1" applyAlignment="1">
      <alignment horizontal="center" vertical="center"/>
    </xf>
    <xf numFmtId="0" fontId="6" fillId="0" borderId="12" xfId="0" applyFont="1" applyBorder="1" applyAlignment="1">
      <alignment horizontal="left" vertical="center" wrapText="1"/>
    </xf>
    <xf numFmtId="4" fontId="6" fillId="0" borderId="12" xfId="0" applyNumberFormat="1" applyFont="1" applyFill="1" applyBorder="1" applyAlignment="1">
      <alignment horizontal="center" vertical="center" wrapText="1"/>
    </xf>
    <xf numFmtId="0" fontId="1" fillId="0" borderId="10" xfId="0" applyFont="1" applyBorder="1" applyAlignment="1">
      <alignment vertical="center"/>
    </xf>
    <xf numFmtId="0" fontId="3" fillId="0" borderId="10" xfId="0" applyFont="1" applyBorder="1" applyAlignment="1">
      <alignment horizontal="center" vertical="center"/>
    </xf>
    <xf numFmtId="4" fontId="3" fillId="0" borderId="10" xfId="0" applyNumberFormat="1" applyFont="1" applyBorder="1" applyAlignment="1">
      <alignment horizontal="center" vertical="center"/>
    </xf>
    <xf numFmtId="0" fontId="5" fillId="0" borderId="15" xfId="0" applyFont="1" applyFill="1" applyBorder="1" applyAlignment="1">
      <alignment horizontal="center" vertical="center" wrapText="1"/>
    </xf>
    <xf numFmtId="4" fontId="6" fillId="0" borderId="12"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5" fillId="0" borderId="3" xfId="1" applyFont="1" applyFill="1" applyBorder="1" applyAlignment="1">
      <alignment horizontal="center" vertical="center" wrapText="1"/>
    </xf>
    <xf numFmtId="0" fontId="18" fillId="0" borderId="15" xfId="0" applyFont="1" applyFill="1" applyBorder="1" applyAlignment="1" applyProtection="1">
      <alignment horizontal="left" vertical="center" wrapText="1"/>
      <protection locked="0"/>
    </xf>
    <xf numFmtId="0" fontId="5" fillId="0" borderId="15" xfId="2" applyFont="1" applyFill="1" applyBorder="1" applyAlignment="1">
      <alignment horizontal="center" vertical="center" wrapText="1"/>
    </xf>
    <xf numFmtId="4" fontId="6" fillId="0" borderId="15" xfId="0" applyNumberFormat="1" applyFont="1" applyBorder="1" applyAlignment="1">
      <alignment horizontal="center" vertical="center" wrapText="1"/>
    </xf>
    <xf numFmtId="0" fontId="12" fillId="0" borderId="10" xfId="0" applyFont="1" applyBorder="1" applyAlignment="1">
      <alignment horizontal="center" vertical="center"/>
    </xf>
    <xf numFmtId="172" fontId="12" fillId="0" borderId="10" xfId="3" applyNumberFormat="1" applyFont="1" applyBorder="1" applyAlignment="1">
      <alignment horizontal="center" vertical="center"/>
    </xf>
    <xf numFmtId="164" fontId="12" fillId="0" borderId="10" xfId="3" applyNumberFormat="1" applyFont="1" applyBorder="1" applyAlignment="1">
      <alignment horizontal="center" vertical="center"/>
    </xf>
    <xf numFmtId="0" fontId="3" fillId="0" borderId="1"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center" vertical="center" wrapText="1"/>
    </xf>
    <xf numFmtId="0" fontId="2" fillId="0" borderId="0" xfId="0" applyFont="1" applyAlignment="1">
      <alignment horizontal="right" vertical="center"/>
    </xf>
    <xf numFmtId="0" fontId="3" fillId="0" borderId="0" xfId="0" applyFont="1" applyAlignment="1">
      <alignment horizontal="center"/>
    </xf>
    <xf numFmtId="0" fontId="3" fillId="0" borderId="0" xfId="0" applyFont="1" applyAlignment="1">
      <alignment horizontal="center" vertical="center" wrapText="1"/>
    </xf>
    <xf numFmtId="0" fontId="3" fillId="0" borderId="14"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6" xfId="0" applyFont="1" applyBorder="1" applyAlignment="1">
      <alignment horizontal="center"/>
    </xf>
    <xf numFmtId="0" fontId="12" fillId="0" borderId="17" xfId="0" applyFont="1" applyBorder="1" applyAlignment="1">
      <alignment horizontal="center"/>
    </xf>
    <xf numFmtId="0" fontId="12" fillId="0" borderId="18" xfId="0" applyFont="1" applyBorder="1" applyAlignment="1">
      <alignment horizont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2" fillId="0" borderId="18" xfId="0" applyFont="1" applyBorder="1" applyAlignment="1">
      <alignment horizontal="center" vertical="center"/>
    </xf>
    <xf numFmtId="0" fontId="12" fillId="0" borderId="26" xfId="0" applyFont="1" applyBorder="1" applyAlignment="1">
      <alignment horizontal="center" vertical="center"/>
    </xf>
    <xf numFmtId="0" fontId="12" fillId="0" borderId="24" xfId="0" applyFont="1" applyBorder="1" applyAlignment="1">
      <alignment horizontal="center" vertical="center"/>
    </xf>
    <xf numFmtId="0" fontId="12" fillId="0" borderId="25" xfId="0" applyFont="1" applyBorder="1" applyAlignment="1">
      <alignment horizontal="center" vertical="center"/>
    </xf>
    <xf numFmtId="0" fontId="12" fillId="0" borderId="1"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27" xfId="0" applyFont="1" applyBorder="1" applyAlignment="1">
      <alignment horizontal="center" vertical="center" wrapText="1"/>
    </xf>
    <xf numFmtId="164" fontId="2" fillId="0" borderId="0" xfId="0" applyNumberFormat="1" applyFont="1" applyAlignment="1">
      <alignment horizontal="right" vertical="center"/>
    </xf>
    <xf numFmtId="0" fontId="3"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12" fillId="0" borderId="0" xfId="0" applyFont="1" applyAlignment="1">
      <alignment horizontal="center"/>
    </xf>
    <xf numFmtId="0" fontId="12" fillId="0" borderId="0" xfId="0" applyFont="1" applyAlignment="1">
      <alignment horizontal="center" vertical="center" wrapText="1"/>
    </xf>
    <xf numFmtId="0" fontId="12" fillId="0" borderId="3"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4"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8" fillId="0" borderId="10" xfId="2" applyFont="1" applyFill="1" applyBorder="1" applyAlignment="1">
      <alignment horizontal="left" vertical="center" wrapText="1"/>
    </xf>
    <xf numFmtId="0" fontId="3" fillId="0" borderId="20" xfId="0" applyFont="1" applyBorder="1" applyAlignment="1">
      <alignment horizontal="center" vertical="center" wrapText="1"/>
    </xf>
    <xf numFmtId="0" fontId="3" fillId="0" borderId="0" xfId="0" applyFont="1" applyAlignment="1">
      <alignment horizontal="center" vertical="center"/>
    </xf>
    <xf numFmtId="0" fontId="8" fillId="2" borderId="0" xfId="0" applyFont="1" applyFill="1" applyAlignment="1">
      <alignment horizontal="center" vertical="center" wrapText="1"/>
    </xf>
    <xf numFmtId="0" fontId="8" fillId="0" borderId="0" xfId="0" applyFont="1" applyAlignment="1">
      <alignment horizontal="center" vertical="center" wrapText="1"/>
    </xf>
    <xf numFmtId="0" fontId="19" fillId="0" borderId="16" xfId="0" applyFont="1" applyFill="1" applyBorder="1" applyAlignment="1">
      <alignment horizontal="left" vertical="center" wrapText="1"/>
    </xf>
    <xf numFmtId="0" fontId="19" fillId="0" borderId="18" xfId="0" applyFont="1" applyFill="1" applyBorder="1" applyAlignment="1">
      <alignment horizontal="left" vertical="center" wrapText="1"/>
    </xf>
    <xf numFmtId="0" fontId="11" fillId="0" borderId="10" xfId="2" applyFont="1" applyFill="1" applyBorder="1" applyAlignment="1">
      <alignment horizontal="left" vertical="center" wrapText="1"/>
    </xf>
    <xf numFmtId="0" fontId="12" fillId="0" borderId="16" xfId="0" applyFont="1" applyFill="1" applyBorder="1" applyAlignment="1">
      <alignment horizontal="center" vertical="center" wrapText="1"/>
    </xf>
    <xf numFmtId="0" fontId="12" fillId="0" borderId="17"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1" fillId="0" borderId="3" xfId="2" applyFont="1" applyFill="1" applyBorder="1" applyAlignment="1">
      <alignment horizontal="left" vertical="center" wrapText="1"/>
    </xf>
    <xf numFmtId="0" fontId="8" fillId="0" borderId="3" xfId="2" applyFont="1" applyFill="1" applyBorder="1" applyAlignment="1">
      <alignment horizontal="left" vertical="center" wrapText="1"/>
    </xf>
    <xf numFmtId="0" fontId="12" fillId="0" borderId="3" xfId="0" applyFont="1" applyFill="1" applyBorder="1" applyAlignment="1">
      <alignment horizontal="center" vertical="center" wrapText="1"/>
    </xf>
    <xf numFmtId="0" fontId="8" fillId="0" borderId="0" xfId="0" applyFont="1" applyFill="1" applyAlignment="1">
      <alignment horizontal="center" vertical="center" wrapText="1"/>
    </xf>
    <xf numFmtId="0" fontId="19" fillId="0" borderId="3" xfId="0" applyFont="1" applyFill="1" applyBorder="1" applyAlignment="1">
      <alignment horizontal="left" vertical="center" wrapText="1"/>
    </xf>
    <xf numFmtId="0" fontId="8" fillId="0" borderId="16" xfId="0" applyFont="1" applyFill="1" applyBorder="1" applyAlignment="1">
      <alignment horizontal="left" vertical="center" wrapText="1"/>
    </xf>
    <xf numFmtId="0" fontId="8" fillId="0" borderId="18" xfId="0" applyFont="1" applyFill="1" applyBorder="1" applyAlignment="1">
      <alignment horizontal="left" vertical="center" wrapText="1"/>
    </xf>
    <xf numFmtId="0" fontId="8" fillId="0" borderId="3" xfId="0" applyFont="1" applyFill="1" applyBorder="1" applyAlignment="1">
      <alignment horizontal="left" vertical="center" wrapText="1"/>
    </xf>
    <xf numFmtId="0" fontId="3" fillId="0" borderId="16" xfId="0" applyFont="1" applyBorder="1" applyAlignment="1">
      <alignment horizontal="left" vertical="center"/>
    </xf>
    <xf numFmtId="0" fontId="3" fillId="0" borderId="18" xfId="0" applyFont="1" applyBorder="1" applyAlignment="1">
      <alignment horizontal="left" vertical="center"/>
    </xf>
    <xf numFmtId="0" fontId="19" fillId="0" borderId="16" xfId="0" applyFont="1" applyFill="1" applyBorder="1" applyAlignment="1">
      <alignment horizontal="right" vertical="center" wrapText="1"/>
    </xf>
    <xf numFmtId="0" fontId="19" fillId="0" borderId="18" xfId="0" applyFont="1" applyFill="1" applyBorder="1" applyAlignment="1">
      <alignment horizontal="right" vertical="center" wrapText="1"/>
    </xf>
    <xf numFmtId="4" fontId="6" fillId="0" borderId="12" xfId="0" applyNumberFormat="1" applyFont="1" applyBorder="1" applyAlignment="1">
      <alignment horizontal="center" vertical="center" wrapText="1"/>
    </xf>
    <xf numFmtId="4" fontId="6" fillId="0" borderId="10" xfId="0" applyNumberFormat="1" applyFont="1" applyBorder="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12" xfId="2" applyFont="1" applyFill="1" applyBorder="1" applyAlignment="1">
      <alignment vertical="center" wrapText="1"/>
    </xf>
    <xf numFmtId="0" fontId="5" fillId="0" borderId="10" xfId="2" applyFont="1" applyFill="1" applyBorder="1" applyAlignment="1">
      <alignment vertical="center" wrapText="1"/>
    </xf>
    <xf numFmtId="0" fontId="5" fillId="0" borderId="12"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2" xfId="2" applyFont="1" applyFill="1" applyBorder="1" applyAlignment="1">
      <alignment horizontal="center" vertical="center" wrapText="1"/>
    </xf>
    <xf numFmtId="0" fontId="5" fillId="0" borderId="10" xfId="2" applyFont="1" applyFill="1" applyBorder="1" applyAlignment="1">
      <alignment horizontal="center" vertical="center" wrapText="1"/>
    </xf>
    <xf numFmtId="4" fontId="5" fillId="0" borderId="12" xfId="3" applyNumberFormat="1" applyFont="1" applyFill="1" applyBorder="1" applyAlignment="1">
      <alignment horizontal="center" vertical="center" wrapText="1"/>
    </xf>
    <xf numFmtId="4" fontId="5" fillId="0" borderId="10" xfId="3" applyNumberFormat="1" applyFont="1" applyFill="1" applyBorder="1" applyAlignment="1">
      <alignment horizontal="center" vertical="center" wrapText="1"/>
    </xf>
    <xf numFmtId="0" fontId="6" fillId="0" borderId="12"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23" fillId="0" borderId="0" xfId="0" applyFont="1" applyFill="1" applyAlignment="1">
      <alignment horizontal="center" vertical="center" wrapText="1"/>
    </xf>
    <xf numFmtId="0" fontId="3" fillId="0" borderId="1" xfId="0" applyFont="1" applyBorder="1" applyAlignment="1">
      <alignment vertical="center" wrapText="1"/>
    </xf>
    <xf numFmtId="0" fontId="3" fillId="0" borderId="5" xfId="0" applyFont="1" applyBorder="1" applyAlignment="1">
      <alignment vertical="center" wrapText="1"/>
    </xf>
    <xf numFmtId="0" fontId="6" fillId="0" borderId="12" xfId="0" applyFont="1" applyBorder="1" applyAlignment="1">
      <alignment horizontal="center" vertical="center"/>
    </xf>
    <xf numFmtId="0" fontId="6" fillId="0" borderId="15" xfId="0" applyFont="1" applyBorder="1" applyAlignment="1">
      <alignment horizontal="center" vertical="center"/>
    </xf>
    <xf numFmtId="0" fontId="6" fillId="0" borderId="10" xfId="0" applyFont="1" applyBorder="1" applyAlignment="1">
      <alignment horizontal="center" vertical="center"/>
    </xf>
    <xf numFmtId="0" fontId="5" fillId="0" borderId="12" xfId="0" applyFont="1" applyFill="1" applyBorder="1" applyAlignment="1">
      <alignment vertical="center" wrapText="1"/>
    </xf>
    <xf numFmtId="0" fontId="5" fillId="0" borderId="15" xfId="0" applyFont="1" applyFill="1" applyBorder="1" applyAlignment="1">
      <alignment vertical="center" wrapText="1"/>
    </xf>
    <xf numFmtId="0" fontId="5" fillId="0" borderId="10" xfId="0" applyFont="1" applyFill="1" applyBorder="1" applyAlignment="1">
      <alignment vertical="center" wrapText="1"/>
    </xf>
    <xf numFmtId="0" fontId="5" fillId="0" borderId="15"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3" xfId="0" applyFont="1" applyFill="1" applyBorder="1" applyAlignment="1">
      <alignment horizontal="center" vertical="center" wrapText="1"/>
    </xf>
    <xf numFmtId="4" fontId="5" fillId="0" borderId="12" xfId="0" applyNumberFormat="1" applyFont="1" applyBorder="1" applyAlignment="1">
      <alignment horizontal="center" vertical="center" wrapText="1"/>
    </xf>
    <xf numFmtId="4" fontId="5" fillId="0" borderId="15" xfId="0" applyNumberFormat="1" applyFont="1" applyBorder="1" applyAlignment="1">
      <alignment horizontal="center" vertical="center" wrapText="1"/>
    </xf>
    <xf numFmtId="4" fontId="5" fillId="0" borderId="10" xfId="0" applyNumberFormat="1" applyFont="1" applyBorder="1" applyAlignment="1">
      <alignment horizontal="center" vertical="center" wrapText="1"/>
    </xf>
    <xf numFmtId="2" fontId="5" fillId="0" borderId="12" xfId="0" applyNumberFormat="1" applyFont="1" applyBorder="1" applyAlignment="1">
      <alignment horizontal="center" vertical="center"/>
    </xf>
    <xf numFmtId="2" fontId="5" fillId="0" borderId="15" xfId="0" applyNumberFormat="1" applyFont="1" applyBorder="1" applyAlignment="1">
      <alignment horizontal="center" vertical="center"/>
    </xf>
    <xf numFmtId="2" fontId="5" fillId="0" borderId="10" xfId="0" applyNumberFormat="1" applyFont="1" applyBorder="1" applyAlignment="1">
      <alignment horizontal="center" vertical="center"/>
    </xf>
    <xf numFmtId="0" fontId="28" fillId="3" borderId="3" xfId="0" applyFont="1" applyFill="1" applyBorder="1" applyAlignment="1">
      <alignment horizontal="center" vertical="center" wrapText="1"/>
    </xf>
    <xf numFmtId="0" fontId="28" fillId="3" borderId="1" xfId="0" applyFont="1" applyFill="1" applyBorder="1" applyAlignment="1">
      <alignment horizontal="center" vertical="center" wrapText="1"/>
    </xf>
    <xf numFmtId="0" fontId="28" fillId="3" borderId="5" xfId="0" applyFont="1" applyFill="1" applyBorder="1" applyAlignment="1">
      <alignment horizontal="center" vertical="center" wrapText="1"/>
    </xf>
    <xf numFmtId="0" fontId="28" fillId="3" borderId="20" xfId="0" applyFont="1" applyFill="1" applyBorder="1" applyAlignment="1">
      <alignment horizontal="center" vertical="center" wrapText="1"/>
    </xf>
    <xf numFmtId="0" fontId="11" fillId="0" borderId="0" xfId="0" applyFont="1" applyFill="1" applyAlignment="1">
      <alignment horizontal="center" vertical="center" wrapText="1"/>
    </xf>
    <xf numFmtId="173" fontId="5" fillId="2" borderId="15" xfId="0" applyNumberFormat="1" applyFont="1" applyFill="1" applyBorder="1" applyAlignment="1">
      <alignment horizontal="center" vertical="center" wrapText="1"/>
    </xf>
    <xf numFmtId="173" fontId="5" fillId="2" borderId="10" xfId="0" applyNumberFormat="1" applyFont="1" applyFill="1" applyBorder="1" applyAlignment="1">
      <alignment horizontal="center" vertical="center" wrapText="1"/>
    </xf>
    <xf numFmtId="0" fontId="6" fillId="0" borderId="15" xfId="0" applyFont="1" applyBorder="1" applyAlignment="1">
      <alignment horizontal="center" vertical="center" wrapText="1"/>
    </xf>
    <xf numFmtId="0" fontId="5" fillId="2" borderId="12"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0" xfId="0" applyFont="1" applyFill="1" applyBorder="1" applyAlignment="1">
      <alignment horizontal="center" vertical="center" wrapText="1"/>
    </xf>
    <xf numFmtId="0" fontId="1" fillId="0" borderId="0" xfId="0" applyFont="1" applyFill="1" applyAlignment="1">
      <alignment vertical="center"/>
    </xf>
  </cellXfs>
  <cellStyles count="4">
    <cellStyle name="Comma" xfId="3" builtinId="3"/>
    <cellStyle name="Normal" xfId="0" builtinId="0"/>
    <cellStyle name="Normal 2" xfId="1"/>
    <cellStyle name="Normal_Sheet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calcChain" Target="calcChain.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9.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6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8"/>
  <sheetViews>
    <sheetView topLeftCell="A28" workbookViewId="0">
      <selection activeCell="Q36" sqref="Q36"/>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4.42578125" style="1" customWidth="1"/>
    <col min="7" max="7" width="18.28515625" style="1" customWidth="1"/>
    <col min="8" max="8" width="17.5703125" style="1" customWidth="1"/>
    <col min="9" max="16384" width="9.140625" style="1"/>
  </cols>
  <sheetData>
    <row r="1" spans="2:8" x14ac:dyDescent="0.3">
      <c r="E1" s="2"/>
      <c r="F1" s="2"/>
      <c r="G1" s="465" t="s">
        <v>0</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43.25" customHeight="1" x14ac:dyDescent="0.3">
      <c r="B6" s="467" t="s">
        <v>60</v>
      </c>
      <c r="C6" s="467"/>
      <c r="D6" s="467"/>
      <c r="E6" s="467"/>
      <c r="F6" s="467"/>
      <c r="G6" s="467"/>
      <c r="H6" s="467"/>
    </row>
    <row r="7" spans="2:8" x14ac:dyDescent="0.3">
      <c r="D7" s="3"/>
      <c r="E7" s="2"/>
      <c r="F7" s="2"/>
      <c r="G7" s="2"/>
    </row>
    <row r="8" spans="2:8" ht="51.75" x14ac:dyDescent="0.3">
      <c r="B8" s="4" t="s">
        <v>4</v>
      </c>
      <c r="C8" s="461" t="s">
        <v>5</v>
      </c>
      <c r="D8" s="461" t="s">
        <v>6</v>
      </c>
      <c r="E8" s="461" t="s">
        <v>7</v>
      </c>
      <c r="F8" s="5" t="s">
        <v>8</v>
      </c>
      <c r="G8" s="6" t="s">
        <v>9</v>
      </c>
      <c r="H8" s="6" t="s">
        <v>10</v>
      </c>
    </row>
    <row r="9" spans="2:8" x14ac:dyDescent="0.3">
      <c r="B9" s="7" t="s">
        <v>11</v>
      </c>
      <c r="C9" s="462"/>
      <c r="D9" s="463"/>
      <c r="E9" s="464"/>
      <c r="F9" s="6" t="s">
        <v>12</v>
      </c>
      <c r="G9" s="6" t="s">
        <v>12</v>
      </c>
      <c r="H9" s="6" t="s">
        <v>12</v>
      </c>
    </row>
    <row r="10" spans="2:8" x14ac:dyDescent="0.3">
      <c r="B10" s="8">
        <v>1</v>
      </c>
      <c r="C10" s="6">
        <v>2</v>
      </c>
      <c r="D10" s="9">
        <v>3</v>
      </c>
      <c r="E10" s="4">
        <v>4</v>
      </c>
      <c r="F10" s="7">
        <v>5</v>
      </c>
      <c r="G10" s="10">
        <v>6</v>
      </c>
      <c r="H10" s="10">
        <v>7</v>
      </c>
    </row>
    <row r="11" spans="2:8" ht="28.5" customHeight="1" x14ac:dyDescent="0.3">
      <c r="B11" s="11">
        <v>1</v>
      </c>
      <c r="C11" s="12" t="s">
        <v>13</v>
      </c>
      <c r="D11" s="13" t="s">
        <v>14</v>
      </c>
      <c r="E11" s="14">
        <v>6</v>
      </c>
      <c r="F11" s="15">
        <v>481590</v>
      </c>
      <c r="G11" s="15">
        <f>E11*F11</f>
        <v>2889540</v>
      </c>
      <c r="H11" s="16">
        <v>0</v>
      </c>
    </row>
    <row r="12" spans="2:8" ht="28.5" customHeight="1" x14ac:dyDescent="0.3">
      <c r="B12" s="11">
        <v>2</v>
      </c>
      <c r="C12" s="17" t="s">
        <v>15</v>
      </c>
      <c r="D12" s="13" t="s">
        <v>14</v>
      </c>
      <c r="E12" s="14">
        <v>9</v>
      </c>
      <c r="F12" s="15">
        <v>481590</v>
      </c>
      <c r="G12" s="15">
        <f t="shared" ref="G12:G37" si="0">E12*F12</f>
        <v>4334310</v>
      </c>
      <c r="H12" s="16">
        <v>0</v>
      </c>
    </row>
    <row r="13" spans="2:8" ht="27.75" customHeight="1" x14ac:dyDescent="0.3">
      <c r="B13" s="11">
        <v>3</v>
      </c>
      <c r="C13" s="17" t="s">
        <v>15</v>
      </c>
      <c r="D13" s="13" t="s">
        <v>14</v>
      </c>
      <c r="E13" s="14">
        <v>6</v>
      </c>
      <c r="F13" s="15">
        <v>160472</v>
      </c>
      <c r="G13" s="15">
        <f t="shared" si="0"/>
        <v>962832</v>
      </c>
      <c r="H13" s="16">
        <v>0</v>
      </c>
    </row>
    <row r="14" spans="2:8" ht="27" customHeight="1" x14ac:dyDescent="0.3">
      <c r="B14" s="11">
        <v>4</v>
      </c>
      <c r="C14" s="17" t="s">
        <v>16</v>
      </c>
      <c r="D14" s="13" t="s">
        <v>14</v>
      </c>
      <c r="E14" s="14">
        <v>5</v>
      </c>
      <c r="F14" s="15">
        <v>206611</v>
      </c>
      <c r="G14" s="15">
        <f t="shared" si="0"/>
        <v>1033055</v>
      </c>
      <c r="H14" s="16">
        <v>0</v>
      </c>
    </row>
    <row r="15" spans="2:8" ht="33" x14ac:dyDescent="0.3">
      <c r="B15" s="11">
        <v>5</v>
      </c>
      <c r="C15" s="17" t="s">
        <v>17</v>
      </c>
      <c r="D15" s="13" t="s">
        <v>14</v>
      </c>
      <c r="E15" s="14">
        <v>3</v>
      </c>
      <c r="F15" s="15">
        <v>300860</v>
      </c>
      <c r="G15" s="15">
        <f t="shared" si="0"/>
        <v>902580</v>
      </c>
      <c r="H15" s="16">
        <v>0</v>
      </c>
    </row>
    <row r="16" spans="2:8" ht="27" customHeight="1" x14ac:dyDescent="0.3">
      <c r="B16" s="11">
        <v>6</v>
      </c>
      <c r="C16" s="17" t="s">
        <v>18</v>
      </c>
      <c r="D16" s="13" t="s">
        <v>14</v>
      </c>
      <c r="E16" s="14">
        <v>2</v>
      </c>
      <c r="F16" s="15">
        <v>100</v>
      </c>
      <c r="G16" s="15">
        <f t="shared" si="0"/>
        <v>200</v>
      </c>
      <c r="H16" s="16">
        <v>0</v>
      </c>
    </row>
    <row r="17" spans="2:8" ht="27" customHeight="1" x14ac:dyDescent="0.3">
      <c r="B17" s="11">
        <v>7</v>
      </c>
      <c r="C17" s="17" t="s">
        <v>19</v>
      </c>
      <c r="D17" s="13" t="s">
        <v>14</v>
      </c>
      <c r="E17" s="14">
        <v>1</v>
      </c>
      <c r="F17" s="15">
        <v>129700</v>
      </c>
      <c r="G17" s="15">
        <f t="shared" si="0"/>
        <v>129700</v>
      </c>
      <c r="H17" s="16">
        <v>0</v>
      </c>
    </row>
    <row r="18" spans="2:8" ht="39" customHeight="1" x14ac:dyDescent="0.3">
      <c r="B18" s="11">
        <v>8</v>
      </c>
      <c r="C18" s="17" t="s">
        <v>20</v>
      </c>
      <c r="D18" s="13" t="s">
        <v>14</v>
      </c>
      <c r="E18" s="14">
        <v>1</v>
      </c>
      <c r="F18" s="15">
        <v>315030</v>
      </c>
      <c r="G18" s="15">
        <f t="shared" si="0"/>
        <v>315030</v>
      </c>
      <c r="H18" s="16">
        <v>0</v>
      </c>
    </row>
    <row r="19" spans="2:8" ht="27" customHeight="1" x14ac:dyDescent="0.3">
      <c r="B19" s="11">
        <v>9</v>
      </c>
      <c r="C19" s="17" t="s">
        <v>21</v>
      </c>
      <c r="D19" s="13" t="s">
        <v>14</v>
      </c>
      <c r="E19" s="14">
        <v>5</v>
      </c>
      <c r="F19" s="18">
        <v>72420</v>
      </c>
      <c r="G19" s="15">
        <f t="shared" si="0"/>
        <v>362100</v>
      </c>
      <c r="H19" s="16">
        <v>0</v>
      </c>
    </row>
    <row r="20" spans="2:8" ht="27" customHeight="1" x14ac:dyDescent="0.3">
      <c r="B20" s="11">
        <v>10</v>
      </c>
      <c r="C20" s="17" t="s">
        <v>22</v>
      </c>
      <c r="D20" s="13" t="s">
        <v>14</v>
      </c>
      <c r="E20" s="14">
        <v>4</v>
      </c>
      <c r="F20" s="19">
        <v>79820</v>
      </c>
      <c r="G20" s="15">
        <f t="shared" si="0"/>
        <v>319280</v>
      </c>
      <c r="H20" s="16">
        <v>0</v>
      </c>
    </row>
    <row r="21" spans="2:8" ht="33.75" customHeight="1" x14ac:dyDescent="0.3">
      <c r="B21" s="11">
        <v>11</v>
      </c>
      <c r="C21" s="17" t="s">
        <v>23</v>
      </c>
      <c r="D21" s="13" t="s">
        <v>14</v>
      </c>
      <c r="E21" s="14">
        <v>10</v>
      </c>
      <c r="F21" s="19">
        <v>47070</v>
      </c>
      <c r="G21" s="15">
        <f t="shared" si="0"/>
        <v>470700</v>
      </c>
      <c r="H21" s="16">
        <v>0</v>
      </c>
    </row>
    <row r="22" spans="2:8" ht="27" customHeight="1" x14ac:dyDescent="0.3">
      <c r="B22" s="11">
        <v>12</v>
      </c>
      <c r="C22" s="17" t="s">
        <v>24</v>
      </c>
      <c r="D22" s="13" t="s">
        <v>14</v>
      </c>
      <c r="E22" s="14">
        <v>4</v>
      </c>
      <c r="F22" s="19">
        <v>74379</v>
      </c>
      <c r="G22" s="15">
        <f t="shared" si="0"/>
        <v>297516</v>
      </c>
      <c r="H22" s="16">
        <v>0</v>
      </c>
    </row>
    <row r="23" spans="2:8" ht="27" customHeight="1" x14ac:dyDescent="0.3">
      <c r="B23" s="11">
        <v>13</v>
      </c>
      <c r="C23" s="17" t="s">
        <v>25</v>
      </c>
      <c r="D23" s="13" t="s">
        <v>14</v>
      </c>
      <c r="E23" s="14">
        <v>1</v>
      </c>
      <c r="F23" s="19">
        <v>100</v>
      </c>
      <c r="G23" s="15">
        <f t="shared" si="0"/>
        <v>100</v>
      </c>
      <c r="H23" s="16">
        <v>0</v>
      </c>
    </row>
    <row r="24" spans="2:8" ht="27" customHeight="1" x14ac:dyDescent="0.3">
      <c r="B24" s="11">
        <v>14</v>
      </c>
      <c r="C24" s="17" t="s">
        <v>26</v>
      </c>
      <c r="D24" s="13" t="s">
        <v>14</v>
      </c>
      <c r="E24" s="14">
        <v>2</v>
      </c>
      <c r="F24" s="19">
        <v>75000</v>
      </c>
      <c r="G24" s="15">
        <f t="shared" si="0"/>
        <v>150000</v>
      </c>
      <c r="H24" s="16">
        <v>0</v>
      </c>
    </row>
    <row r="25" spans="2:8" ht="27" customHeight="1" x14ac:dyDescent="0.3">
      <c r="B25" s="11">
        <v>15</v>
      </c>
      <c r="C25" s="17" t="s">
        <v>27</v>
      </c>
      <c r="D25" s="13" t="s">
        <v>14</v>
      </c>
      <c r="E25" s="14">
        <v>1</v>
      </c>
      <c r="F25" s="19">
        <v>18830</v>
      </c>
      <c r="G25" s="15">
        <f t="shared" si="0"/>
        <v>18830</v>
      </c>
      <c r="H25" s="16">
        <v>0</v>
      </c>
    </row>
    <row r="26" spans="2:8" ht="75" customHeight="1" x14ac:dyDescent="0.3">
      <c r="B26" s="11">
        <v>16</v>
      </c>
      <c r="C26" s="20" t="s">
        <v>28</v>
      </c>
      <c r="D26" s="13" t="s">
        <v>14</v>
      </c>
      <c r="E26" s="14">
        <v>4</v>
      </c>
      <c r="F26" s="19">
        <v>21345</v>
      </c>
      <c r="G26" s="15">
        <f t="shared" si="0"/>
        <v>85380</v>
      </c>
      <c r="H26" s="16">
        <v>0</v>
      </c>
    </row>
    <row r="27" spans="2:8" ht="39.75" customHeight="1" x14ac:dyDescent="0.3">
      <c r="B27" s="11">
        <v>17</v>
      </c>
      <c r="C27" s="20" t="s">
        <v>29</v>
      </c>
      <c r="D27" s="13" t="s">
        <v>14</v>
      </c>
      <c r="E27" s="14">
        <v>1</v>
      </c>
      <c r="F27" s="19">
        <v>1870574</v>
      </c>
      <c r="G27" s="15">
        <f t="shared" si="0"/>
        <v>1870574</v>
      </c>
      <c r="H27" s="16">
        <v>0</v>
      </c>
    </row>
    <row r="28" spans="2:8" ht="27" customHeight="1" x14ac:dyDescent="0.3">
      <c r="B28" s="11">
        <v>18</v>
      </c>
      <c r="C28" s="17" t="s">
        <v>30</v>
      </c>
      <c r="D28" s="13" t="s">
        <v>14</v>
      </c>
      <c r="E28" s="14">
        <v>1</v>
      </c>
      <c r="F28" s="19">
        <v>125534.1</v>
      </c>
      <c r="G28" s="15">
        <f t="shared" si="0"/>
        <v>125534.1</v>
      </c>
      <c r="H28" s="16">
        <v>2629</v>
      </c>
    </row>
    <row r="29" spans="2:8" ht="27" customHeight="1" x14ac:dyDescent="0.3">
      <c r="B29" s="11">
        <v>19</v>
      </c>
      <c r="C29" s="17" t="s">
        <v>31</v>
      </c>
      <c r="D29" s="13" t="s">
        <v>14</v>
      </c>
      <c r="E29" s="14">
        <v>1</v>
      </c>
      <c r="F29" s="19">
        <v>67346</v>
      </c>
      <c r="G29" s="15">
        <f t="shared" si="0"/>
        <v>67346</v>
      </c>
      <c r="H29" s="16">
        <v>0</v>
      </c>
    </row>
    <row r="30" spans="2:8" ht="27" customHeight="1" x14ac:dyDescent="0.3">
      <c r="B30" s="11">
        <v>20</v>
      </c>
      <c r="C30" s="17" t="s">
        <v>32</v>
      </c>
      <c r="D30" s="13" t="s">
        <v>14</v>
      </c>
      <c r="E30" s="14">
        <v>1</v>
      </c>
      <c r="F30" s="19">
        <v>48880</v>
      </c>
      <c r="G30" s="15">
        <f t="shared" si="0"/>
        <v>48880</v>
      </c>
      <c r="H30" s="16">
        <v>0</v>
      </c>
    </row>
    <row r="31" spans="2:8" ht="27" customHeight="1" x14ac:dyDescent="0.3">
      <c r="B31" s="11">
        <v>21</v>
      </c>
      <c r="C31" s="17" t="s">
        <v>33</v>
      </c>
      <c r="D31" s="13" t="s">
        <v>14</v>
      </c>
      <c r="E31" s="14">
        <v>1</v>
      </c>
      <c r="F31" s="19">
        <v>96793</v>
      </c>
      <c r="G31" s="15">
        <f t="shared" si="0"/>
        <v>96793</v>
      </c>
      <c r="H31" s="16">
        <v>0</v>
      </c>
    </row>
    <row r="32" spans="2:8" ht="27" customHeight="1" x14ac:dyDescent="0.3">
      <c r="B32" s="11">
        <v>22</v>
      </c>
      <c r="C32" s="17" t="s">
        <v>34</v>
      </c>
      <c r="D32" s="13" t="s">
        <v>14</v>
      </c>
      <c r="E32" s="14">
        <v>1</v>
      </c>
      <c r="F32" s="19">
        <v>15923</v>
      </c>
      <c r="G32" s="15">
        <f t="shared" si="0"/>
        <v>15923</v>
      </c>
      <c r="H32" s="16">
        <v>0</v>
      </c>
    </row>
    <row r="33" spans="2:8" ht="27" customHeight="1" x14ac:dyDescent="0.3">
      <c r="B33" s="11">
        <v>23</v>
      </c>
      <c r="C33" s="17" t="s">
        <v>35</v>
      </c>
      <c r="D33" s="13" t="s">
        <v>14</v>
      </c>
      <c r="E33" s="14">
        <v>1</v>
      </c>
      <c r="F33" s="19">
        <v>255759.79</v>
      </c>
      <c r="G33" s="15">
        <f t="shared" si="0"/>
        <v>255759.79</v>
      </c>
      <c r="H33" s="15">
        <v>47794.11</v>
      </c>
    </row>
    <row r="34" spans="2:8" ht="27" customHeight="1" x14ac:dyDescent="0.3">
      <c r="B34" s="11">
        <v>24</v>
      </c>
      <c r="C34" s="17" t="s">
        <v>35</v>
      </c>
      <c r="D34" s="13" t="s">
        <v>14</v>
      </c>
      <c r="E34" s="14">
        <v>1</v>
      </c>
      <c r="F34" s="19">
        <v>255759.79</v>
      </c>
      <c r="G34" s="15">
        <f t="shared" si="0"/>
        <v>255759.79</v>
      </c>
      <c r="H34" s="16">
        <v>0</v>
      </c>
    </row>
    <row r="35" spans="2:8" ht="43.5" customHeight="1" x14ac:dyDescent="0.3">
      <c r="B35" s="11">
        <v>25</v>
      </c>
      <c r="C35" s="17" t="s">
        <v>36</v>
      </c>
      <c r="D35" s="13" t="s">
        <v>14</v>
      </c>
      <c r="E35" s="14">
        <v>1</v>
      </c>
      <c r="F35" s="19">
        <v>253470</v>
      </c>
      <c r="G35" s="15">
        <f t="shared" si="0"/>
        <v>253470</v>
      </c>
      <c r="H35" s="16">
        <v>0</v>
      </c>
    </row>
    <row r="36" spans="2:8" ht="39.75" customHeight="1" x14ac:dyDescent="0.3">
      <c r="B36" s="11">
        <v>26</v>
      </c>
      <c r="C36" s="17" t="s">
        <v>37</v>
      </c>
      <c r="D36" s="13" t="s">
        <v>14</v>
      </c>
      <c r="E36" s="14">
        <v>3</v>
      </c>
      <c r="F36" s="19">
        <v>91000</v>
      </c>
      <c r="G36" s="15">
        <f t="shared" si="0"/>
        <v>273000</v>
      </c>
      <c r="H36" s="15">
        <v>1991</v>
      </c>
    </row>
    <row r="37" spans="2:8" ht="42" customHeight="1" x14ac:dyDescent="0.3">
      <c r="B37" s="11">
        <v>27</v>
      </c>
      <c r="C37" s="21" t="s">
        <v>38</v>
      </c>
      <c r="D37" s="22" t="s">
        <v>14</v>
      </c>
      <c r="E37" s="23">
        <v>4</v>
      </c>
      <c r="F37" s="24">
        <v>10000</v>
      </c>
      <c r="G37" s="15">
        <f t="shared" si="0"/>
        <v>40000</v>
      </c>
      <c r="H37" s="15">
        <v>218.8</v>
      </c>
    </row>
    <row r="38" spans="2:8" s="29" customFormat="1" ht="27" customHeight="1" x14ac:dyDescent="0.3">
      <c r="B38" s="25"/>
      <c r="C38" s="26" t="s">
        <v>39</v>
      </c>
      <c r="D38" s="25"/>
      <c r="E38" s="27">
        <f>SUM(E11:E37)</f>
        <v>80</v>
      </c>
      <c r="F38" s="27"/>
      <c r="G38" s="28">
        <f>SUM(G11:G37)</f>
        <v>15574192.679999998</v>
      </c>
      <c r="H38" s="28">
        <f>SUM(H11:H37)</f>
        <v>52632.91</v>
      </c>
    </row>
  </sheetData>
  <mergeCells count="8">
    <mergeCell ref="C8:C9"/>
    <mergeCell ref="D8:D9"/>
    <mergeCell ref="E8:E9"/>
    <mergeCell ref="G1:H1"/>
    <mergeCell ref="E2:H2"/>
    <mergeCell ref="E3:H3"/>
    <mergeCell ref="B5:H5"/>
    <mergeCell ref="B6:H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7"/>
  <sheetViews>
    <sheetView topLeftCell="A19" workbookViewId="0">
      <selection activeCell="C26" sqref="C26"/>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2.5703125" style="1" customWidth="1"/>
    <col min="7" max="7" width="17" style="1" customWidth="1"/>
    <col min="8" max="8" width="17.5703125" style="1" customWidth="1"/>
    <col min="9" max="16384" width="9.140625" style="1"/>
  </cols>
  <sheetData>
    <row r="1" spans="2:8" x14ac:dyDescent="0.3">
      <c r="E1" s="2"/>
      <c r="F1" s="2"/>
      <c r="G1" s="465" t="s">
        <v>40</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53.75" customHeight="1" x14ac:dyDescent="0.3">
      <c r="B6" s="467" t="s">
        <v>61</v>
      </c>
      <c r="C6" s="467"/>
      <c r="D6" s="467"/>
      <c r="E6" s="467"/>
      <c r="F6" s="467"/>
      <c r="G6" s="467"/>
      <c r="H6" s="467"/>
    </row>
    <row r="7" spans="2:8" x14ac:dyDescent="0.3">
      <c r="D7" s="3"/>
      <c r="E7" s="2"/>
      <c r="F7" s="2"/>
      <c r="G7" s="2"/>
    </row>
    <row r="8" spans="2:8" ht="51.75" x14ac:dyDescent="0.3">
      <c r="B8" s="4" t="s">
        <v>4</v>
      </c>
      <c r="C8" s="461" t="s">
        <v>5</v>
      </c>
      <c r="D8" s="461" t="s">
        <v>6</v>
      </c>
      <c r="E8" s="461" t="s">
        <v>7</v>
      </c>
      <c r="F8" s="5" t="s">
        <v>8</v>
      </c>
      <c r="G8" s="6" t="s">
        <v>9</v>
      </c>
      <c r="H8" s="6" t="s">
        <v>10</v>
      </c>
    </row>
    <row r="9" spans="2:8" x14ac:dyDescent="0.3">
      <c r="B9" s="30" t="s">
        <v>11</v>
      </c>
      <c r="C9" s="462"/>
      <c r="D9" s="462"/>
      <c r="E9" s="468"/>
      <c r="F9" s="6" t="s">
        <v>12</v>
      </c>
      <c r="G9" s="31" t="s">
        <v>12</v>
      </c>
      <c r="H9" s="31" t="s">
        <v>12</v>
      </c>
    </row>
    <row r="10" spans="2:8" x14ac:dyDescent="0.3">
      <c r="B10" s="6">
        <v>1</v>
      </c>
      <c r="C10" s="6">
        <v>2</v>
      </c>
      <c r="D10" s="6">
        <v>3</v>
      </c>
      <c r="E10" s="6">
        <v>4</v>
      </c>
      <c r="F10" s="6">
        <v>5</v>
      </c>
      <c r="G10" s="6">
        <v>6</v>
      </c>
      <c r="H10" s="6">
        <v>7</v>
      </c>
    </row>
    <row r="11" spans="2:8" ht="25.5" customHeight="1" x14ac:dyDescent="0.3">
      <c r="B11" s="32">
        <v>1</v>
      </c>
      <c r="C11" s="33" t="s">
        <v>41</v>
      </c>
      <c r="D11" s="32" t="s">
        <v>14</v>
      </c>
      <c r="E11" s="14">
        <v>1</v>
      </c>
      <c r="F11" s="34">
        <v>61945</v>
      </c>
      <c r="G11" s="34">
        <f t="shared" ref="G11:G15" si="0">E11*F11</f>
        <v>61945</v>
      </c>
      <c r="H11" s="35">
        <v>0</v>
      </c>
    </row>
    <row r="12" spans="2:8" ht="25.5" customHeight="1" x14ac:dyDescent="0.3">
      <c r="B12" s="32">
        <v>2</v>
      </c>
      <c r="C12" s="33" t="s">
        <v>42</v>
      </c>
      <c r="D12" s="32" t="s">
        <v>14</v>
      </c>
      <c r="E12" s="14">
        <v>1</v>
      </c>
      <c r="F12" s="34">
        <v>52400</v>
      </c>
      <c r="G12" s="34">
        <f t="shared" si="0"/>
        <v>52400</v>
      </c>
      <c r="H12" s="35">
        <v>0</v>
      </c>
    </row>
    <row r="13" spans="2:8" ht="25.5" customHeight="1" x14ac:dyDescent="0.3">
      <c r="B13" s="32">
        <v>3</v>
      </c>
      <c r="C13" s="33" t="s">
        <v>43</v>
      </c>
      <c r="D13" s="32" t="s">
        <v>14</v>
      </c>
      <c r="E13" s="14">
        <v>3</v>
      </c>
      <c r="F13" s="34">
        <v>41361</v>
      </c>
      <c r="G13" s="34">
        <f t="shared" si="0"/>
        <v>124083</v>
      </c>
      <c r="H13" s="35">
        <v>0</v>
      </c>
    </row>
    <row r="14" spans="2:8" ht="25.5" customHeight="1" x14ac:dyDescent="0.3">
      <c r="B14" s="32">
        <v>4</v>
      </c>
      <c r="C14" s="33" t="s">
        <v>44</v>
      </c>
      <c r="D14" s="32" t="s">
        <v>14</v>
      </c>
      <c r="E14" s="14">
        <v>9</v>
      </c>
      <c r="F14" s="34">
        <v>1500</v>
      </c>
      <c r="G14" s="34">
        <f t="shared" si="0"/>
        <v>13500</v>
      </c>
      <c r="H14" s="35">
        <v>0</v>
      </c>
    </row>
    <row r="15" spans="2:8" ht="25.5" customHeight="1" x14ac:dyDescent="0.3">
      <c r="B15" s="32">
        <v>5</v>
      </c>
      <c r="C15" s="33" t="s">
        <v>45</v>
      </c>
      <c r="D15" s="32" t="s">
        <v>14</v>
      </c>
      <c r="E15" s="14">
        <v>1</v>
      </c>
      <c r="F15" s="34">
        <v>214200</v>
      </c>
      <c r="G15" s="34">
        <f t="shared" si="0"/>
        <v>214200</v>
      </c>
      <c r="H15" s="35">
        <v>146000</v>
      </c>
    </row>
    <row r="16" spans="2:8" s="29" customFormat="1" x14ac:dyDescent="0.3">
      <c r="B16" s="36"/>
      <c r="C16" s="37" t="s">
        <v>39</v>
      </c>
      <c r="D16" s="36"/>
      <c r="E16" s="6">
        <f>SUM(E11:E15)</f>
        <v>15</v>
      </c>
      <c r="F16" s="6"/>
      <c r="G16" s="28">
        <f>SUM(G11:G15)</f>
        <v>466128</v>
      </c>
      <c r="H16" s="38">
        <f>SUM(H11:H15)</f>
        <v>146000</v>
      </c>
    </row>
    <row r="17" spans="7:7" x14ac:dyDescent="0.3">
      <c r="G17" s="39"/>
    </row>
  </sheetData>
  <mergeCells count="8">
    <mergeCell ref="C8:C9"/>
    <mergeCell ref="D8:D9"/>
    <mergeCell ref="E8:E9"/>
    <mergeCell ref="G1:H1"/>
    <mergeCell ref="E2:H2"/>
    <mergeCell ref="E3:H3"/>
    <mergeCell ref="B5:H5"/>
    <mergeCell ref="B6:H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6"/>
  <sheetViews>
    <sheetView workbookViewId="0">
      <selection activeCell="F19" sqref="F19"/>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3.28515625" style="1" customWidth="1"/>
    <col min="7" max="7" width="17" style="1" customWidth="1"/>
    <col min="8" max="8" width="17.5703125" style="1" customWidth="1"/>
    <col min="9" max="16384" width="9.140625" style="1"/>
  </cols>
  <sheetData>
    <row r="1" spans="2:8" x14ac:dyDescent="0.3">
      <c r="E1" s="2"/>
      <c r="F1" s="2"/>
      <c r="G1" s="465" t="s">
        <v>46</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50" customHeight="1" x14ac:dyDescent="0.3">
      <c r="B6" s="467" t="s">
        <v>64</v>
      </c>
      <c r="C6" s="467"/>
      <c r="D6" s="467"/>
      <c r="E6" s="467"/>
      <c r="F6" s="467"/>
      <c r="G6" s="467"/>
      <c r="H6" s="467"/>
    </row>
    <row r="7" spans="2:8" x14ac:dyDescent="0.3">
      <c r="D7" s="3"/>
      <c r="E7" s="2"/>
      <c r="F7" s="2"/>
      <c r="G7" s="2"/>
    </row>
    <row r="8" spans="2:8" ht="51.75" x14ac:dyDescent="0.3">
      <c r="B8" s="4" t="s">
        <v>4</v>
      </c>
      <c r="C8" s="461" t="s">
        <v>5</v>
      </c>
      <c r="D8" s="461" t="s">
        <v>6</v>
      </c>
      <c r="E8" s="461" t="s">
        <v>7</v>
      </c>
      <c r="F8" s="5" t="s">
        <v>8</v>
      </c>
      <c r="G8" s="6" t="s">
        <v>9</v>
      </c>
      <c r="H8" s="6" t="s">
        <v>10</v>
      </c>
    </row>
    <row r="9" spans="2:8" x14ac:dyDescent="0.3">
      <c r="B9" s="30" t="s">
        <v>11</v>
      </c>
      <c r="C9" s="462"/>
      <c r="D9" s="462"/>
      <c r="E9" s="468"/>
      <c r="F9" s="6" t="s">
        <v>12</v>
      </c>
      <c r="G9" s="31" t="s">
        <v>12</v>
      </c>
      <c r="H9" s="31" t="s">
        <v>12</v>
      </c>
    </row>
    <row r="10" spans="2:8" x14ac:dyDescent="0.3">
      <c r="B10" s="6">
        <v>1</v>
      </c>
      <c r="C10" s="31">
        <v>2</v>
      </c>
      <c r="D10" s="31">
        <v>3</v>
      </c>
      <c r="E10" s="31">
        <v>4</v>
      </c>
      <c r="F10" s="31">
        <v>5</v>
      </c>
      <c r="G10" s="31">
        <v>6</v>
      </c>
      <c r="H10" s="31">
        <v>7</v>
      </c>
    </row>
    <row r="11" spans="2:8" ht="26.25" customHeight="1" x14ac:dyDescent="0.3">
      <c r="B11" s="32">
        <v>1</v>
      </c>
      <c r="C11" s="20" t="s">
        <v>47</v>
      </c>
      <c r="D11" s="32" t="s">
        <v>14</v>
      </c>
      <c r="E11" s="40">
        <v>2</v>
      </c>
      <c r="F11" s="41">
        <v>8000</v>
      </c>
      <c r="G11" s="41">
        <v>16000</v>
      </c>
      <c r="H11" s="41">
        <v>9600</v>
      </c>
    </row>
    <row r="12" spans="2:8" ht="26.25" customHeight="1" x14ac:dyDescent="0.3">
      <c r="B12" s="32">
        <v>2</v>
      </c>
      <c r="C12" s="20" t="s">
        <v>48</v>
      </c>
      <c r="D12" s="32" t="s">
        <v>14</v>
      </c>
      <c r="E12" s="40">
        <v>1</v>
      </c>
      <c r="F12" s="41">
        <v>20000</v>
      </c>
      <c r="G12" s="41">
        <v>20000</v>
      </c>
      <c r="H12" s="41">
        <v>12000</v>
      </c>
    </row>
    <row r="13" spans="2:8" ht="26.25" customHeight="1" x14ac:dyDescent="0.3">
      <c r="B13" s="32">
        <v>3</v>
      </c>
      <c r="C13" s="20" t="s">
        <v>49</v>
      </c>
      <c r="D13" s="32" t="s">
        <v>14</v>
      </c>
      <c r="E13" s="40">
        <v>5</v>
      </c>
      <c r="F13" s="41">
        <v>5000</v>
      </c>
      <c r="G13" s="41">
        <v>25000</v>
      </c>
      <c r="H13" s="41">
        <v>15000</v>
      </c>
    </row>
    <row r="14" spans="2:8" ht="26.25" customHeight="1" x14ac:dyDescent="0.3">
      <c r="B14" s="32">
        <v>4</v>
      </c>
      <c r="C14" s="20" t="s">
        <v>50</v>
      </c>
      <c r="D14" s="32" t="s">
        <v>14</v>
      </c>
      <c r="E14" s="40">
        <v>1</v>
      </c>
      <c r="F14" s="41">
        <v>28000</v>
      </c>
      <c r="G14" s="41">
        <v>28000</v>
      </c>
      <c r="H14" s="41">
        <v>22400</v>
      </c>
    </row>
    <row r="15" spans="2:8" s="29" customFormat="1" ht="26.25" customHeight="1" x14ac:dyDescent="0.3">
      <c r="B15" s="36"/>
      <c r="C15" s="37" t="s">
        <v>39</v>
      </c>
      <c r="D15" s="36"/>
      <c r="E15" s="6">
        <f>SUM(E11:E14)</f>
        <v>9</v>
      </c>
      <c r="F15" s="28"/>
      <c r="G15" s="28">
        <f t="shared" ref="G15:H15" si="0">SUM(G11:G14)</f>
        <v>89000</v>
      </c>
      <c r="H15" s="28">
        <f t="shared" si="0"/>
        <v>59000</v>
      </c>
    </row>
    <row r="16" spans="2:8" x14ac:dyDescent="0.3">
      <c r="G16" s="39"/>
    </row>
  </sheetData>
  <mergeCells count="8">
    <mergeCell ref="C8:C9"/>
    <mergeCell ref="D8:D9"/>
    <mergeCell ref="E8:E9"/>
    <mergeCell ref="G1:H1"/>
    <mergeCell ref="E2:H2"/>
    <mergeCell ref="E3:H3"/>
    <mergeCell ref="B5:H5"/>
    <mergeCell ref="B6:H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3"/>
  <sheetViews>
    <sheetView workbookViewId="0">
      <selection activeCell="F18" sqref="F18"/>
    </sheetView>
  </sheetViews>
  <sheetFormatPr defaultRowHeight="17.25" x14ac:dyDescent="0.3"/>
  <cols>
    <col min="1" max="1" width="2.5703125" style="1" customWidth="1"/>
    <col min="2" max="2" width="6" style="1" customWidth="1"/>
    <col min="3" max="3" width="33.140625" style="1" customWidth="1"/>
    <col min="4" max="4" width="8.5703125" style="1" customWidth="1"/>
    <col min="5" max="5" width="8.42578125" style="1" customWidth="1"/>
    <col min="6" max="6" width="13.5703125" style="1" customWidth="1"/>
    <col min="7" max="7" width="17" style="1" customWidth="1"/>
    <col min="8" max="8" width="17.5703125" style="1" customWidth="1"/>
    <col min="9" max="16384" width="9.140625" style="1"/>
  </cols>
  <sheetData>
    <row r="1" spans="2:8" x14ac:dyDescent="0.3">
      <c r="E1" s="2"/>
      <c r="F1" s="2"/>
      <c r="G1" s="465" t="s">
        <v>51</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44" customHeight="1" x14ac:dyDescent="0.3">
      <c r="B6" s="467" t="s">
        <v>62</v>
      </c>
      <c r="C6" s="467"/>
      <c r="D6" s="467"/>
      <c r="E6" s="467"/>
      <c r="F6" s="467"/>
      <c r="G6" s="467"/>
      <c r="H6" s="467"/>
    </row>
    <row r="7" spans="2:8" ht="16.5" customHeight="1" x14ac:dyDescent="0.3">
      <c r="D7" s="3"/>
      <c r="E7" s="2"/>
      <c r="F7" s="2"/>
      <c r="G7" s="2"/>
    </row>
    <row r="8" spans="2:8" ht="51.75" x14ac:dyDescent="0.3">
      <c r="B8" s="4" t="s">
        <v>4</v>
      </c>
      <c r="C8" s="461" t="s">
        <v>5</v>
      </c>
      <c r="D8" s="461" t="s">
        <v>6</v>
      </c>
      <c r="E8" s="461" t="s">
        <v>7</v>
      </c>
      <c r="F8" s="5" t="s">
        <v>8</v>
      </c>
      <c r="G8" s="31" t="s">
        <v>9</v>
      </c>
      <c r="H8" s="31" t="s">
        <v>10</v>
      </c>
    </row>
    <row r="9" spans="2:8" x14ac:dyDescent="0.3">
      <c r="B9" s="30" t="s">
        <v>11</v>
      </c>
      <c r="C9" s="462"/>
      <c r="D9" s="462"/>
      <c r="E9" s="468"/>
      <c r="F9" s="6" t="s">
        <v>12</v>
      </c>
      <c r="G9" s="6" t="s">
        <v>12</v>
      </c>
      <c r="H9" s="6" t="s">
        <v>12</v>
      </c>
    </row>
    <row r="10" spans="2:8" x14ac:dyDescent="0.3">
      <c r="B10" s="6">
        <v>1</v>
      </c>
      <c r="C10" s="31">
        <v>2</v>
      </c>
      <c r="D10" s="31">
        <v>3</v>
      </c>
      <c r="E10" s="31">
        <v>4</v>
      </c>
      <c r="F10" s="31">
        <v>5</v>
      </c>
      <c r="G10" s="42">
        <v>6</v>
      </c>
      <c r="H10" s="42">
        <v>7</v>
      </c>
    </row>
    <row r="11" spans="2:8" ht="39.75" customHeight="1" x14ac:dyDescent="0.3">
      <c r="B11" s="32">
        <v>1</v>
      </c>
      <c r="C11" s="20" t="s">
        <v>52</v>
      </c>
      <c r="D11" s="32" t="s">
        <v>14</v>
      </c>
      <c r="E11" s="40">
        <v>3</v>
      </c>
      <c r="F11" s="41">
        <v>63000</v>
      </c>
      <c r="G11" s="41">
        <v>63000</v>
      </c>
      <c r="H11" s="41">
        <v>22582</v>
      </c>
    </row>
    <row r="12" spans="2:8" s="29" customFormat="1" ht="27" customHeight="1" x14ac:dyDescent="0.3">
      <c r="B12" s="36"/>
      <c r="C12" s="37" t="s">
        <v>39</v>
      </c>
      <c r="D12" s="36"/>
      <c r="E12" s="6">
        <f>SUM(E11:E11)</f>
        <v>3</v>
      </c>
      <c r="F12" s="28"/>
      <c r="G12" s="28">
        <f>SUM(G11:G11)</f>
        <v>63000</v>
      </c>
      <c r="H12" s="28">
        <f>SUM(H11:H11)</f>
        <v>22582</v>
      </c>
    </row>
    <row r="13" spans="2:8" x14ac:dyDescent="0.3">
      <c r="G13" s="39"/>
    </row>
  </sheetData>
  <mergeCells count="8">
    <mergeCell ref="C8:C9"/>
    <mergeCell ref="D8:D9"/>
    <mergeCell ref="E8:E9"/>
    <mergeCell ref="G1:H1"/>
    <mergeCell ref="E2:H2"/>
    <mergeCell ref="E3:H3"/>
    <mergeCell ref="B5:H5"/>
    <mergeCell ref="B6:H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8"/>
  <sheetViews>
    <sheetView workbookViewId="0">
      <selection activeCell="D22" sqref="D22"/>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2.42578125" style="1" customWidth="1"/>
    <col min="7" max="7" width="16.42578125" style="1" customWidth="1"/>
    <col min="8" max="8" width="17.5703125" style="1" customWidth="1"/>
    <col min="9" max="16384" width="9.140625" style="1"/>
  </cols>
  <sheetData>
    <row r="1" spans="2:8" x14ac:dyDescent="0.3">
      <c r="E1" s="2"/>
      <c r="F1" s="2"/>
      <c r="G1" s="465" t="s">
        <v>53</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31.25" customHeight="1" x14ac:dyDescent="0.3">
      <c r="B6" s="467" t="s">
        <v>63</v>
      </c>
      <c r="C6" s="467"/>
      <c r="D6" s="467"/>
      <c r="E6" s="467"/>
      <c r="F6" s="467"/>
      <c r="G6" s="467"/>
      <c r="H6" s="467"/>
    </row>
    <row r="7" spans="2:8" x14ac:dyDescent="0.3">
      <c r="D7" s="3"/>
      <c r="E7" s="2"/>
      <c r="F7" s="2"/>
      <c r="G7" s="2"/>
    </row>
    <row r="8" spans="2:8" ht="51.75" x14ac:dyDescent="0.3">
      <c r="B8" s="4" t="s">
        <v>4</v>
      </c>
      <c r="C8" s="461" t="s">
        <v>5</v>
      </c>
      <c r="D8" s="461" t="s">
        <v>6</v>
      </c>
      <c r="E8" s="461" t="s">
        <v>7</v>
      </c>
      <c r="F8" s="5" t="s">
        <v>8</v>
      </c>
      <c r="G8" s="6" t="s">
        <v>9</v>
      </c>
      <c r="H8" s="6" t="s">
        <v>10</v>
      </c>
    </row>
    <row r="9" spans="2:8" x14ac:dyDescent="0.3">
      <c r="B9" s="30" t="s">
        <v>11</v>
      </c>
      <c r="C9" s="462"/>
      <c r="D9" s="462"/>
      <c r="E9" s="468"/>
      <c r="F9" s="6" t="s">
        <v>12</v>
      </c>
      <c r="G9" s="31" t="s">
        <v>12</v>
      </c>
      <c r="H9" s="31" t="s">
        <v>12</v>
      </c>
    </row>
    <row r="10" spans="2:8" x14ac:dyDescent="0.3">
      <c r="B10" s="31">
        <v>1</v>
      </c>
      <c r="C10" s="31">
        <v>2</v>
      </c>
      <c r="D10" s="31">
        <v>3</v>
      </c>
      <c r="E10" s="31">
        <v>4</v>
      </c>
      <c r="F10" s="31">
        <v>5</v>
      </c>
      <c r="G10" s="31">
        <v>6</v>
      </c>
      <c r="H10" s="31">
        <v>7</v>
      </c>
    </row>
    <row r="11" spans="2:8" ht="70.5" customHeight="1" x14ac:dyDescent="0.3">
      <c r="B11" s="32">
        <v>1</v>
      </c>
      <c r="C11" s="17" t="s">
        <v>54</v>
      </c>
      <c r="D11" s="32" t="s">
        <v>14</v>
      </c>
      <c r="E11" s="43">
        <v>30</v>
      </c>
      <c r="F11" s="41">
        <v>30000</v>
      </c>
      <c r="G11" s="41">
        <v>900000</v>
      </c>
      <c r="H11" s="41">
        <v>0</v>
      </c>
    </row>
    <row r="12" spans="2:8" ht="37.5" customHeight="1" x14ac:dyDescent="0.3">
      <c r="B12" s="32">
        <v>2</v>
      </c>
      <c r="C12" s="17" t="s">
        <v>55</v>
      </c>
      <c r="D12" s="32" t="s">
        <v>14</v>
      </c>
      <c r="E12" s="43">
        <v>50</v>
      </c>
      <c r="F12" s="41">
        <v>49000</v>
      </c>
      <c r="G12" s="41">
        <v>2450000</v>
      </c>
      <c r="H12" s="41">
        <v>0</v>
      </c>
    </row>
    <row r="13" spans="2:8" ht="49.5" x14ac:dyDescent="0.3">
      <c r="B13" s="32">
        <v>3</v>
      </c>
      <c r="C13" s="17" t="s">
        <v>56</v>
      </c>
      <c r="D13" s="32" t="s">
        <v>14</v>
      </c>
      <c r="E13" s="43">
        <v>20</v>
      </c>
      <c r="F13" s="41">
        <v>46000</v>
      </c>
      <c r="G13" s="41">
        <v>920000</v>
      </c>
      <c r="H13" s="41">
        <v>0</v>
      </c>
    </row>
    <row r="14" spans="2:8" ht="56.25" customHeight="1" x14ac:dyDescent="0.3">
      <c r="B14" s="32">
        <v>4</v>
      </c>
      <c r="C14" s="17" t="s">
        <v>57</v>
      </c>
      <c r="D14" s="32" t="s">
        <v>14</v>
      </c>
      <c r="E14" s="43">
        <v>50</v>
      </c>
      <c r="F14" s="41">
        <v>8500</v>
      </c>
      <c r="G14" s="41">
        <v>425000</v>
      </c>
      <c r="H14" s="41">
        <v>0</v>
      </c>
    </row>
    <row r="15" spans="2:8" ht="60" customHeight="1" x14ac:dyDescent="0.3">
      <c r="B15" s="32">
        <v>5</v>
      </c>
      <c r="C15" s="17" t="s">
        <v>58</v>
      </c>
      <c r="D15" s="32" t="s">
        <v>14</v>
      </c>
      <c r="E15" s="43">
        <v>30</v>
      </c>
      <c r="F15" s="41">
        <v>20000</v>
      </c>
      <c r="G15" s="41">
        <v>600000</v>
      </c>
      <c r="H15" s="41">
        <v>0</v>
      </c>
    </row>
    <row r="16" spans="2:8" ht="40.5" customHeight="1" x14ac:dyDescent="0.3">
      <c r="B16" s="32">
        <v>6</v>
      </c>
      <c r="C16" s="17" t="s">
        <v>59</v>
      </c>
      <c r="D16" s="32" t="s">
        <v>14</v>
      </c>
      <c r="E16" s="43">
        <v>1</v>
      </c>
      <c r="F16" s="41">
        <v>90000</v>
      </c>
      <c r="G16" s="41">
        <v>90000</v>
      </c>
      <c r="H16" s="41">
        <v>0</v>
      </c>
    </row>
    <row r="17" spans="2:8" s="29" customFormat="1" ht="24.75" customHeight="1" x14ac:dyDescent="0.3">
      <c r="B17" s="36"/>
      <c r="C17" s="37" t="s">
        <v>39</v>
      </c>
      <c r="D17" s="36"/>
      <c r="E17" s="6">
        <f>SUM(E11:E16)</f>
        <v>181</v>
      </c>
      <c r="F17" s="28"/>
      <c r="G17" s="28">
        <f t="shared" ref="G17:H17" si="0">SUM(G11:G16)</f>
        <v>5385000</v>
      </c>
      <c r="H17" s="28">
        <f t="shared" si="0"/>
        <v>0</v>
      </c>
    </row>
    <row r="18" spans="2:8" x14ac:dyDescent="0.3">
      <c r="G18" s="39"/>
    </row>
  </sheetData>
  <mergeCells count="8">
    <mergeCell ref="C8:C9"/>
    <mergeCell ref="D8:D9"/>
    <mergeCell ref="E8:E9"/>
    <mergeCell ref="G1:H1"/>
    <mergeCell ref="E2:H2"/>
    <mergeCell ref="E3:H3"/>
    <mergeCell ref="B5:H5"/>
    <mergeCell ref="B6:H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1"/>
  <sheetViews>
    <sheetView workbookViewId="0">
      <selection activeCell="B6" sqref="B6:H6"/>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2.42578125" style="1" customWidth="1"/>
    <col min="7" max="7" width="16.42578125" style="1" customWidth="1"/>
    <col min="8" max="8" width="17.5703125" style="1" customWidth="1"/>
    <col min="9" max="16384" width="9.140625" style="1"/>
  </cols>
  <sheetData>
    <row r="1" spans="2:8" x14ac:dyDescent="0.3">
      <c r="E1" s="2"/>
      <c r="F1" s="2"/>
      <c r="G1" s="465" t="s">
        <v>65</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96.75" customHeight="1" x14ac:dyDescent="0.3">
      <c r="B6" s="467" t="s">
        <v>71</v>
      </c>
      <c r="C6" s="467"/>
      <c r="D6" s="467"/>
      <c r="E6" s="467"/>
      <c r="F6" s="467"/>
      <c r="G6" s="467"/>
      <c r="H6" s="467"/>
    </row>
    <row r="7" spans="2:8" x14ac:dyDescent="0.3">
      <c r="D7" s="3"/>
      <c r="E7" s="2"/>
      <c r="F7" s="2"/>
      <c r="G7" s="2"/>
    </row>
    <row r="8" spans="2:8" ht="60" customHeight="1" x14ac:dyDescent="0.3">
      <c r="B8" s="4" t="s">
        <v>4</v>
      </c>
      <c r="C8" s="461" t="s">
        <v>5</v>
      </c>
      <c r="D8" s="461" t="s">
        <v>6</v>
      </c>
      <c r="E8" s="461" t="s">
        <v>7</v>
      </c>
      <c r="F8" s="5" t="s">
        <v>8</v>
      </c>
      <c r="G8" s="6" t="s">
        <v>9</v>
      </c>
      <c r="H8" s="6" t="s">
        <v>10</v>
      </c>
    </row>
    <row r="9" spans="2:8" ht="29.25" customHeight="1" x14ac:dyDescent="0.3">
      <c r="B9" s="30" t="s">
        <v>11</v>
      </c>
      <c r="C9" s="462"/>
      <c r="D9" s="462"/>
      <c r="E9" s="468"/>
      <c r="F9" s="6" t="s">
        <v>12</v>
      </c>
      <c r="G9" s="31" t="s">
        <v>12</v>
      </c>
      <c r="H9" s="31" t="s">
        <v>12</v>
      </c>
    </row>
    <row r="10" spans="2:8" ht="27.75" customHeight="1" x14ac:dyDescent="0.3">
      <c r="B10" s="31">
        <v>1</v>
      </c>
      <c r="C10" s="31">
        <v>2</v>
      </c>
      <c r="D10" s="31">
        <v>3</v>
      </c>
      <c r="E10" s="31">
        <v>4</v>
      </c>
      <c r="F10" s="31">
        <v>5</v>
      </c>
      <c r="G10" s="31">
        <v>6</v>
      </c>
      <c r="H10" s="31">
        <v>7</v>
      </c>
    </row>
    <row r="11" spans="2:8" ht="27.75" customHeight="1" x14ac:dyDescent="0.3">
      <c r="B11" s="32">
        <v>1</v>
      </c>
      <c r="C11" s="17" t="s">
        <v>157</v>
      </c>
      <c r="D11" s="32" t="s">
        <v>14</v>
      </c>
      <c r="E11" s="43">
        <v>5</v>
      </c>
      <c r="F11" s="76">
        <v>36568</v>
      </c>
      <c r="G11" s="76">
        <f>E11*F11</f>
        <v>182840</v>
      </c>
      <c r="H11" s="76">
        <v>101577</v>
      </c>
    </row>
  </sheetData>
  <mergeCells count="8">
    <mergeCell ref="C8:C9"/>
    <mergeCell ref="D8:D9"/>
    <mergeCell ref="E8:E9"/>
    <mergeCell ref="G1:H1"/>
    <mergeCell ref="E2:H2"/>
    <mergeCell ref="E3:H3"/>
    <mergeCell ref="B5:H5"/>
    <mergeCell ref="B6:H6"/>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7"/>
  <sheetViews>
    <sheetView topLeftCell="A19" workbookViewId="0">
      <selection activeCell="M13" sqref="M13"/>
    </sheetView>
  </sheetViews>
  <sheetFormatPr defaultRowHeight="17.25" x14ac:dyDescent="0.3"/>
  <cols>
    <col min="1" max="1" width="2.5703125" style="1" customWidth="1"/>
    <col min="2" max="2" width="6" style="1" customWidth="1"/>
    <col min="3" max="3" width="35" style="1" customWidth="1"/>
    <col min="4" max="4" width="8.5703125" style="1" customWidth="1"/>
    <col min="5" max="5" width="9.7109375" style="1" customWidth="1"/>
    <col min="6" max="6" width="15.5703125" style="101" customWidth="1"/>
    <col min="7" max="7" width="17.85546875" style="101" customWidth="1"/>
    <col min="8" max="8" width="17.5703125" style="1" customWidth="1"/>
    <col min="9" max="9" width="9.140625" style="1"/>
    <col min="10" max="10" width="9.140625" style="1" customWidth="1"/>
    <col min="11" max="16384" width="9.140625" style="1"/>
  </cols>
  <sheetData>
    <row r="1" spans="2:8" x14ac:dyDescent="0.3">
      <c r="E1" s="337"/>
      <c r="F1" s="97"/>
      <c r="G1" s="465" t="s">
        <v>66</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44" customHeight="1" x14ac:dyDescent="0.3">
      <c r="B6" s="467" t="s">
        <v>1214</v>
      </c>
      <c r="C6" s="467"/>
      <c r="D6" s="467"/>
      <c r="E6" s="467"/>
      <c r="F6" s="467"/>
      <c r="G6" s="467"/>
      <c r="H6" s="467"/>
    </row>
    <row r="7" spans="2:8" x14ac:dyDescent="0.3">
      <c r="D7" s="3"/>
      <c r="E7" s="337"/>
      <c r="F7" s="97"/>
      <c r="G7" s="97"/>
    </row>
    <row r="8" spans="2:8" ht="51.75" x14ac:dyDescent="0.3">
      <c r="B8" s="335" t="s">
        <v>4</v>
      </c>
      <c r="C8" s="461" t="s">
        <v>5</v>
      </c>
      <c r="D8" s="461" t="s">
        <v>6</v>
      </c>
      <c r="E8" s="461" t="s">
        <v>7</v>
      </c>
      <c r="F8" s="98" t="s">
        <v>8</v>
      </c>
      <c r="G8" s="73" t="s">
        <v>9</v>
      </c>
      <c r="H8" s="339" t="s">
        <v>10</v>
      </c>
    </row>
    <row r="9" spans="2:8" ht="25.5" customHeight="1" x14ac:dyDescent="0.3">
      <c r="B9" s="336" t="s">
        <v>11</v>
      </c>
      <c r="C9" s="462"/>
      <c r="D9" s="462"/>
      <c r="E9" s="468"/>
      <c r="F9" s="73" t="s">
        <v>12</v>
      </c>
      <c r="G9" s="99" t="s">
        <v>12</v>
      </c>
      <c r="H9" s="31" t="s">
        <v>12</v>
      </c>
    </row>
    <row r="10" spans="2:8" ht="25.5" customHeight="1" x14ac:dyDescent="0.3">
      <c r="B10" s="31">
        <v>1</v>
      </c>
      <c r="C10" s="31">
        <v>2</v>
      </c>
      <c r="D10" s="31">
        <v>3</v>
      </c>
      <c r="E10" s="31">
        <v>4</v>
      </c>
      <c r="F10" s="108">
        <v>5</v>
      </c>
      <c r="G10" s="108">
        <v>6</v>
      </c>
      <c r="H10" s="31">
        <v>7</v>
      </c>
    </row>
    <row r="11" spans="2:8" ht="42.75" customHeight="1" x14ac:dyDescent="0.3">
      <c r="B11" s="469" t="s">
        <v>1226</v>
      </c>
      <c r="C11" s="470"/>
      <c r="D11" s="470"/>
      <c r="E11" s="470"/>
      <c r="F11" s="470"/>
      <c r="G11" s="470"/>
      <c r="H11" s="471"/>
    </row>
    <row r="12" spans="2:8" x14ac:dyDescent="0.3">
      <c r="B12" s="31"/>
      <c r="C12" s="472" t="s">
        <v>131</v>
      </c>
      <c r="D12" s="473"/>
      <c r="E12" s="473"/>
      <c r="F12" s="473"/>
      <c r="G12" s="473"/>
      <c r="H12" s="474"/>
    </row>
    <row r="13" spans="2:8" ht="26.25" customHeight="1" x14ac:dyDescent="0.3">
      <c r="B13" s="340">
        <v>1</v>
      </c>
      <c r="C13" s="217" t="s">
        <v>455</v>
      </c>
      <c r="D13" s="116" t="s">
        <v>14</v>
      </c>
      <c r="E13" s="116">
        <v>6</v>
      </c>
      <c r="F13" s="117">
        <v>90000</v>
      </c>
      <c r="G13" s="279">
        <f t="shared" ref="G13:G18" si="0">F13*E13</f>
        <v>540000</v>
      </c>
      <c r="H13" s="117">
        <v>270000</v>
      </c>
    </row>
    <row r="14" spans="2:8" ht="26.25" customHeight="1" x14ac:dyDescent="0.3">
      <c r="B14" s="340">
        <v>2</v>
      </c>
      <c r="C14" s="217" t="s">
        <v>49</v>
      </c>
      <c r="D14" s="116" t="s">
        <v>14</v>
      </c>
      <c r="E14" s="116">
        <v>13</v>
      </c>
      <c r="F14" s="117">
        <v>30000</v>
      </c>
      <c r="G14" s="279">
        <f t="shared" si="0"/>
        <v>390000</v>
      </c>
      <c r="H14" s="117">
        <v>195000</v>
      </c>
    </row>
    <row r="15" spans="2:8" ht="26.25" customHeight="1" x14ac:dyDescent="0.3">
      <c r="B15" s="340">
        <v>3</v>
      </c>
      <c r="C15" s="217" t="s">
        <v>462</v>
      </c>
      <c r="D15" s="116" t="s">
        <v>14</v>
      </c>
      <c r="E15" s="116">
        <v>1</v>
      </c>
      <c r="F15" s="117">
        <v>82000</v>
      </c>
      <c r="G15" s="279">
        <f t="shared" si="0"/>
        <v>82000</v>
      </c>
      <c r="H15" s="117">
        <v>41000</v>
      </c>
    </row>
    <row r="16" spans="2:8" ht="26.25" customHeight="1" x14ac:dyDescent="0.3">
      <c r="B16" s="340">
        <v>4</v>
      </c>
      <c r="C16" s="217" t="s">
        <v>464</v>
      </c>
      <c r="D16" s="116" t="s">
        <v>14</v>
      </c>
      <c r="E16" s="116">
        <v>1</v>
      </c>
      <c r="F16" s="117">
        <v>300000</v>
      </c>
      <c r="G16" s="279">
        <f t="shared" si="0"/>
        <v>300000</v>
      </c>
      <c r="H16" s="117">
        <v>150000</v>
      </c>
    </row>
    <row r="17" spans="2:8" ht="26.25" customHeight="1" x14ac:dyDescent="0.3">
      <c r="B17" s="340">
        <v>5</v>
      </c>
      <c r="C17" s="217" t="s">
        <v>470</v>
      </c>
      <c r="D17" s="116" t="s">
        <v>14</v>
      </c>
      <c r="E17" s="116">
        <v>1</v>
      </c>
      <c r="F17" s="117">
        <v>6256</v>
      </c>
      <c r="G17" s="279">
        <f t="shared" si="0"/>
        <v>6256</v>
      </c>
      <c r="H17" s="117">
        <v>0</v>
      </c>
    </row>
    <row r="18" spans="2:8" ht="26.25" customHeight="1" x14ac:dyDescent="0.3">
      <c r="B18" s="340">
        <v>6</v>
      </c>
      <c r="C18" s="217" t="s">
        <v>473</v>
      </c>
      <c r="D18" s="116" t="s">
        <v>14</v>
      </c>
      <c r="E18" s="116">
        <v>1</v>
      </c>
      <c r="F18" s="117">
        <v>207000</v>
      </c>
      <c r="G18" s="279">
        <f t="shared" si="0"/>
        <v>207000</v>
      </c>
      <c r="H18" s="117">
        <v>0</v>
      </c>
    </row>
    <row r="19" spans="2:8" ht="26.25" customHeight="1" x14ac:dyDescent="0.3">
      <c r="B19" s="340">
        <v>7</v>
      </c>
      <c r="C19" s="218" t="s">
        <v>487</v>
      </c>
      <c r="D19" s="290" t="s">
        <v>14</v>
      </c>
      <c r="E19" s="290">
        <v>2</v>
      </c>
      <c r="F19" s="204">
        <v>150000</v>
      </c>
      <c r="G19" s="204">
        <f t="shared" ref="G19:G25" si="1">F19*E19</f>
        <v>300000</v>
      </c>
      <c r="H19" s="204">
        <v>138000</v>
      </c>
    </row>
    <row r="20" spans="2:8" ht="26.25" customHeight="1" x14ac:dyDescent="0.3">
      <c r="B20" s="340">
        <v>8</v>
      </c>
      <c r="C20" s="217" t="s">
        <v>488</v>
      </c>
      <c r="D20" s="116" t="s">
        <v>14</v>
      </c>
      <c r="E20" s="116">
        <v>1</v>
      </c>
      <c r="F20" s="117">
        <v>120000</v>
      </c>
      <c r="G20" s="279">
        <f t="shared" si="1"/>
        <v>120000</v>
      </c>
      <c r="H20" s="117">
        <v>0</v>
      </c>
    </row>
    <row r="21" spans="2:8" ht="39" customHeight="1" x14ac:dyDescent="0.3">
      <c r="B21" s="340">
        <v>9</v>
      </c>
      <c r="C21" s="217" t="s">
        <v>1211</v>
      </c>
      <c r="D21" s="116" t="s">
        <v>14</v>
      </c>
      <c r="E21" s="116">
        <v>1</v>
      </c>
      <c r="F21" s="117">
        <v>162018</v>
      </c>
      <c r="G21" s="279">
        <f t="shared" si="1"/>
        <v>162018</v>
      </c>
      <c r="H21" s="117">
        <v>0</v>
      </c>
    </row>
    <row r="22" spans="2:8" ht="26.25" customHeight="1" x14ac:dyDescent="0.3">
      <c r="B22" s="340">
        <v>10</v>
      </c>
      <c r="C22" s="217" t="s">
        <v>1212</v>
      </c>
      <c r="D22" s="116" t="s">
        <v>14</v>
      </c>
      <c r="E22" s="116">
        <v>4</v>
      </c>
      <c r="F22" s="117">
        <v>63585</v>
      </c>
      <c r="G22" s="279">
        <f t="shared" si="1"/>
        <v>254340</v>
      </c>
      <c r="H22" s="117">
        <v>0</v>
      </c>
    </row>
    <row r="23" spans="2:8" ht="26.25" customHeight="1" x14ac:dyDescent="0.3">
      <c r="B23" s="340">
        <v>11</v>
      </c>
      <c r="C23" s="217" t="s">
        <v>282</v>
      </c>
      <c r="D23" s="116" t="s">
        <v>14</v>
      </c>
      <c r="E23" s="116">
        <v>2</v>
      </c>
      <c r="F23" s="117">
        <v>98203.5</v>
      </c>
      <c r="G23" s="279">
        <f t="shared" si="1"/>
        <v>196407</v>
      </c>
      <c r="H23" s="117">
        <v>0</v>
      </c>
    </row>
    <row r="24" spans="2:8" ht="26.25" customHeight="1" x14ac:dyDescent="0.3">
      <c r="B24" s="340">
        <v>12</v>
      </c>
      <c r="C24" s="217" t="s">
        <v>282</v>
      </c>
      <c r="D24" s="116" t="s">
        <v>14</v>
      </c>
      <c r="E24" s="116">
        <v>6</v>
      </c>
      <c r="F24" s="117">
        <v>130938</v>
      </c>
      <c r="G24" s="279">
        <f t="shared" si="1"/>
        <v>785628</v>
      </c>
      <c r="H24" s="117">
        <v>0</v>
      </c>
    </row>
    <row r="25" spans="2:8" ht="26.25" customHeight="1" x14ac:dyDescent="0.3">
      <c r="B25" s="340">
        <v>13</v>
      </c>
      <c r="C25" s="217" t="s">
        <v>1213</v>
      </c>
      <c r="D25" s="116" t="s">
        <v>14</v>
      </c>
      <c r="E25" s="116">
        <v>1</v>
      </c>
      <c r="F25" s="117">
        <v>47100</v>
      </c>
      <c r="G25" s="279">
        <f t="shared" si="1"/>
        <v>47100</v>
      </c>
      <c r="H25" s="117">
        <f>56520/3</f>
        <v>18840</v>
      </c>
    </row>
    <row r="26" spans="2:8" ht="26.25" customHeight="1" x14ac:dyDescent="0.3">
      <c r="B26" s="340">
        <v>14</v>
      </c>
      <c r="C26" s="217" t="s">
        <v>526</v>
      </c>
      <c r="D26" s="116" t="s">
        <v>14</v>
      </c>
      <c r="E26" s="340">
        <v>1</v>
      </c>
      <c r="F26" s="117">
        <v>41837</v>
      </c>
      <c r="G26" s="279">
        <f t="shared" ref="G26" si="2">F26*E26</f>
        <v>41837</v>
      </c>
      <c r="H26" s="117">
        <f>20090.15/2</f>
        <v>10045.075000000001</v>
      </c>
    </row>
    <row r="27" spans="2:8" s="69" customFormat="1" ht="25.5" customHeight="1" x14ac:dyDescent="0.25">
      <c r="B27" s="68"/>
      <c r="C27" s="26" t="s">
        <v>39</v>
      </c>
      <c r="D27" s="68"/>
      <c r="E27" s="338">
        <f>SUM(E13:E26)</f>
        <v>41</v>
      </c>
      <c r="F27" s="38"/>
      <c r="G27" s="38">
        <f>SUM(G13:G26)</f>
        <v>3432586</v>
      </c>
      <c r="H27" s="64">
        <f>SUM(H13:H26)</f>
        <v>822885.07499999995</v>
      </c>
    </row>
  </sheetData>
  <mergeCells count="10">
    <mergeCell ref="B11:H11"/>
    <mergeCell ref="C12:H12"/>
    <mergeCell ref="G1:H1"/>
    <mergeCell ref="E2:H2"/>
    <mergeCell ref="E3:H3"/>
    <mergeCell ref="B5:H5"/>
    <mergeCell ref="B6:H6"/>
    <mergeCell ref="C8:C9"/>
    <mergeCell ref="D8:D9"/>
    <mergeCell ref="E8:E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3"/>
  <sheetViews>
    <sheetView topLeftCell="A13" workbookViewId="0">
      <selection activeCell="J25" sqref="J25"/>
    </sheetView>
  </sheetViews>
  <sheetFormatPr defaultRowHeight="17.25" x14ac:dyDescent="0.3"/>
  <cols>
    <col min="1" max="1" width="2.5703125" style="1" customWidth="1"/>
    <col min="2" max="2" width="6" style="1" customWidth="1"/>
    <col min="3" max="3" width="35" style="1" customWidth="1"/>
    <col min="4" max="4" width="8.5703125" style="1" customWidth="1"/>
    <col min="5" max="5" width="9.7109375" style="1" customWidth="1"/>
    <col min="6" max="6" width="15.5703125" style="101" customWidth="1"/>
    <col min="7" max="7" width="17.85546875" style="101" customWidth="1"/>
    <col min="8" max="8" width="17.5703125" style="1" customWidth="1"/>
    <col min="9" max="16384" width="9.140625" style="1"/>
  </cols>
  <sheetData>
    <row r="1" spans="2:8" x14ac:dyDescent="0.3">
      <c r="E1" s="337"/>
      <c r="F1" s="97"/>
      <c r="G1" s="465" t="s">
        <v>67</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44" customHeight="1" x14ac:dyDescent="0.3">
      <c r="B6" s="467" t="s">
        <v>1217</v>
      </c>
      <c r="C6" s="467"/>
      <c r="D6" s="467"/>
      <c r="E6" s="467"/>
      <c r="F6" s="467"/>
      <c r="G6" s="467"/>
      <c r="H6" s="467"/>
    </row>
    <row r="7" spans="2:8" x14ac:dyDescent="0.3">
      <c r="D7" s="3"/>
      <c r="E7" s="337"/>
      <c r="F7" s="97"/>
      <c r="G7" s="97"/>
    </row>
    <row r="8" spans="2:8" ht="51.75" x14ac:dyDescent="0.3">
      <c r="B8" s="335" t="s">
        <v>4</v>
      </c>
      <c r="C8" s="461" t="s">
        <v>5</v>
      </c>
      <c r="D8" s="461" t="s">
        <v>6</v>
      </c>
      <c r="E8" s="461" t="s">
        <v>7</v>
      </c>
      <c r="F8" s="98" t="s">
        <v>8</v>
      </c>
      <c r="G8" s="73" t="s">
        <v>9</v>
      </c>
      <c r="H8" s="339" t="s">
        <v>10</v>
      </c>
    </row>
    <row r="9" spans="2:8" ht="22.5" customHeight="1" x14ac:dyDescent="0.3">
      <c r="B9" s="336" t="s">
        <v>11</v>
      </c>
      <c r="C9" s="462"/>
      <c r="D9" s="462"/>
      <c r="E9" s="468"/>
      <c r="F9" s="73" t="s">
        <v>12</v>
      </c>
      <c r="G9" s="99" t="s">
        <v>12</v>
      </c>
      <c r="H9" s="31" t="s">
        <v>12</v>
      </c>
    </row>
    <row r="10" spans="2:8" ht="22.5" customHeight="1" x14ac:dyDescent="0.3">
      <c r="B10" s="31">
        <v>1</v>
      </c>
      <c r="C10" s="31">
        <v>2</v>
      </c>
      <c r="D10" s="31">
        <v>3</v>
      </c>
      <c r="E10" s="31">
        <v>4</v>
      </c>
      <c r="F10" s="108">
        <v>5</v>
      </c>
      <c r="G10" s="108">
        <v>6</v>
      </c>
      <c r="H10" s="31">
        <v>7</v>
      </c>
    </row>
    <row r="11" spans="2:8" ht="45.75" customHeight="1" x14ac:dyDescent="0.3">
      <c r="B11" s="469" t="s">
        <v>1226</v>
      </c>
      <c r="C11" s="470"/>
      <c r="D11" s="470"/>
      <c r="E11" s="470"/>
      <c r="F11" s="470"/>
      <c r="G11" s="470"/>
      <c r="H11" s="471"/>
    </row>
    <row r="12" spans="2:8" ht="25.5" customHeight="1" x14ac:dyDescent="0.3">
      <c r="B12" s="206"/>
      <c r="C12" s="475" t="s">
        <v>131</v>
      </c>
      <c r="D12" s="476"/>
      <c r="E12" s="476"/>
      <c r="F12" s="476"/>
      <c r="G12" s="476"/>
      <c r="H12" s="477"/>
    </row>
    <row r="13" spans="2:8" ht="25.5" customHeight="1" x14ac:dyDescent="0.3">
      <c r="B13" s="340">
        <v>1</v>
      </c>
      <c r="C13" s="217" t="s">
        <v>454</v>
      </c>
      <c r="D13" s="116" t="s">
        <v>14</v>
      </c>
      <c r="E13" s="116">
        <v>1</v>
      </c>
      <c r="F13" s="117">
        <v>12000</v>
      </c>
      <c r="G13" s="279">
        <f t="shared" ref="G13:G14" si="0">F13*E13</f>
        <v>12000</v>
      </c>
      <c r="H13" s="117">
        <v>0</v>
      </c>
    </row>
    <row r="14" spans="2:8" ht="25.5" customHeight="1" x14ac:dyDescent="0.3">
      <c r="B14" s="340">
        <v>2</v>
      </c>
      <c r="C14" s="217" t="s">
        <v>146</v>
      </c>
      <c r="D14" s="116" t="s">
        <v>14</v>
      </c>
      <c r="E14" s="116">
        <v>25</v>
      </c>
      <c r="F14" s="117">
        <v>10000</v>
      </c>
      <c r="G14" s="279">
        <f t="shared" si="0"/>
        <v>250000</v>
      </c>
      <c r="H14" s="117">
        <v>250000</v>
      </c>
    </row>
    <row r="15" spans="2:8" ht="25.5" customHeight="1" x14ac:dyDescent="0.3">
      <c r="B15" s="340">
        <v>3</v>
      </c>
      <c r="C15" s="217" t="s">
        <v>481</v>
      </c>
      <c r="D15" s="116" t="s">
        <v>14</v>
      </c>
      <c r="E15" s="116">
        <v>1</v>
      </c>
      <c r="F15" s="117">
        <v>5200</v>
      </c>
      <c r="G15" s="279">
        <f t="shared" ref="G15:G16" si="1">F15*E15</f>
        <v>5200</v>
      </c>
      <c r="H15" s="117">
        <v>2860</v>
      </c>
    </row>
    <row r="16" spans="2:8" ht="25.5" customHeight="1" x14ac:dyDescent="0.3">
      <c r="B16" s="340">
        <v>4</v>
      </c>
      <c r="C16" s="217" t="s">
        <v>1215</v>
      </c>
      <c r="D16" s="116" t="s">
        <v>14</v>
      </c>
      <c r="E16" s="116">
        <v>150</v>
      </c>
      <c r="F16" s="117">
        <v>29202</v>
      </c>
      <c r="G16" s="279">
        <f t="shared" si="1"/>
        <v>4380300</v>
      </c>
      <c r="H16" s="117">
        <v>3504240</v>
      </c>
    </row>
    <row r="17" spans="2:8" ht="25.5" customHeight="1" x14ac:dyDescent="0.3">
      <c r="B17" s="93"/>
      <c r="C17" s="94" t="s">
        <v>39</v>
      </c>
      <c r="D17" s="93"/>
      <c r="E17" s="299">
        <f>SUM(E13:E16)</f>
        <v>177</v>
      </c>
      <c r="F17" s="284"/>
      <c r="G17" s="284">
        <f>SUM(G13:G16)</f>
        <v>4647500</v>
      </c>
      <c r="H17" s="284">
        <f>SUM(H13:H16)</f>
        <v>3757100</v>
      </c>
    </row>
    <row r="18" spans="2:8" ht="24.75" customHeight="1" x14ac:dyDescent="0.3">
      <c r="B18" s="206"/>
      <c r="C18" s="478" t="s">
        <v>443</v>
      </c>
      <c r="D18" s="479"/>
      <c r="E18" s="479"/>
      <c r="F18" s="479"/>
      <c r="G18" s="479"/>
      <c r="H18" s="480"/>
    </row>
    <row r="19" spans="2:8" ht="23.25" customHeight="1" x14ac:dyDescent="0.3">
      <c r="B19" s="340">
        <v>1</v>
      </c>
      <c r="C19" s="112" t="s">
        <v>533</v>
      </c>
      <c r="D19" s="340" t="s">
        <v>14</v>
      </c>
      <c r="E19" s="14">
        <v>1</v>
      </c>
      <c r="F19" s="279">
        <v>10000</v>
      </c>
      <c r="G19" s="279">
        <f t="shared" ref="G19:G21" si="2">F19*E19</f>
        <v>10000</v>
      </c>
      <c r="H19" s="279">
        <v>0</v>
      </c>
    </row>
    <row r="20" spans="2:8" ht="23.25" customHeight="1" x14ac:dyDescent="0.3">
      <c r="B20" s="340">
        <v>2</v>
      </c>
      <c r="C20" s="115" t="s">
        <v>1216</v>
      </c>
      <c r="D20" s="340" t="s">
        <v>14</v>
      </c>
      <c r="E20" s="309">
        <v>1</v>
      </c>
      <c r="F20" s="279">
        <v>1000</v>
      </c>
      <c r="G20" s="279">
        <f t="shared" si="2"/>
        <v>1000</v>
      </c>
      <c r="H20" s="279">
        <v>0</v>
      </c>
    </row>
    <row r="21" spans="2:8" ht="66" x14ac:dyDescent="0.3">
      <c r="B21" s="340">
        <v>3</v>
      </c>
      <c r="C21" s="115" t="s">
        <v>551</v>
      </c>
      <c r="D21" s="340" t="s">
        <v>14</v>
      </c>
      <c r="E21" s="283">
        <v>1</v>
      </c>
      <c r="F21" s="279">
        <v>10000</v>
      </c>
      <c r="G21" s="279">
        <f t="shared" si="2"/>
        <v>10000</v>
      </c>
      <c r="H21" s="279">
        <v>0</v>
      </c>
    </row>
    <row r="22" spans="2:8" ht="24.75" customHeight="1" x14ac:dyDescent="0.3">
      <c r="B22" s="92"/>
      <c r="C22" s="208" t="s">
        <v>39</v>
      </c>
      <c r="D22" s="168"/>
      <c r="E22" s="299">
        <f>SUM(E19:E21)</f>
        <v>3</v>
      </c>
      <c r="F22" s="284"/>
      <c r="G22" s="284">
        <f>SUM(G19:G21)</f>
        <v>21000</v>
      </c>
      <c r="H22" s="284">
        <f>SUM(H19:H21)</f>
        <v>0</v>
      </c>
    </row>
    <row r="23" spans="2:8" ht="24.75" customHeight="1" x14ac:dyDescent="0.3">
      <c r="B23" s="168"/>
      <c r="C23" s="208" t="s">
        <v>552</v>
      </c>
      <c r="D23" s="168"/>
      <c r="E23" s="299">
        <f>E22+E17</f>
        <v>180</v>
      </c>
      <c r="F23" s="348"/>
      <c r="G23" s="284">
        <f>G22+G17</f>
        <v>4668500</v>
      </c>
      <c r="H23" s="284">
        <f>H22+H17</f>
        <v>3757100</v>
      </c>
    </row>
  </sheetData>
  <mergeCells count="11">
    <mergeCell ref="B11:H11"/>
    <mergeCell ref="C12:H12"/>
    <mergeCell ref="C18:H18"/>
    <mergeCell ref="G1:H1"/>
    <mergeCell ref="E2:H2"/>
    <mergeCell ref="E3:H3"/>
    <mergeCell ref="B5:H5"/>
    <mergeCell ref="B6:H6"/>
    <mergeCell ref="C8:C9"/>
    <mergeCell ref="D8:D9"/>
    <mergeCell ref="E8:E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5"/>
  <sheetViews>
    <sheetView workbookViewId="0">
      <selection activeCell="C15" sqref="C15"/>
    </sheetView>
  </sheetViews>
  <sheetFormatPr defaultRowHeight="17.25" x14ac:dyDescent="0.3"/>
  <cols>
    <col min="1" max="1" width="2.5703125" style="1" customWidth="1"/>
    <col min="2" max="2" width="6" style="1" customWidth="1"/>
    <col min="3" max="3" width="35" style="1" customWidth="1"/>
    <col min="4" max="4" width="8.5703125" style="1" customWidth="1"/>
    <col min="5" max="5" width="9.7109375" style="1" customWidth="1"/>
    <col min="6" max="6" width="15.5703125" style="101" customWidth="1"/>
    <col min="7" max="7" width="17.85546875" style="101" customWidth="1"/>
    <col min="8" max="8" width="17.5703125" style="1" customWidth="1"/>
    <col min="9" max="16384" width="9.140625" style="1"/>
  </cols>
  <sheetData>
    <row r="1" spans="2:8" x14ac:dyDescent="0.3">
      <c r="E1" s="337"/>
      <c r="F1" s="97"/>
      <c r="G1" s="465" t="s">
        <v>68</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65" customHeight="1" x14ac:dyDescent="0.3">
      <c r="B6" s="467" t="s">
        <v>1218</v>
      </c>
      <c r="C6" s="467"/>
      <c r="D6" s="467"/>
      <c r="E6" s="467"/>
      <c r="F6" s="467"/>
      <c r="G6" s="467"/>
      <c r="H6" s="467"/>
    </row>
    <row r="7" spans="2:8" x14ac:dyDescent="0.3">
      <c r="D7" s="3"/>
      <c r="E7" s="337"/>
      <c r="F7" s="97"/>
      <c r="G7" s="97"/>
    </row>
    <row r="8" spans="2:8" ht="51.75" x14ac:dyDescent="0.3">
      <c r="B8" s="335" t="s">
        <v>4</v>
      </c>
      <c r="C8" s="461" t="s">
        <v>5</v>
      </c>
      <c r="D8" s="461" t="s">
        <v>6</v>
      </c>
      <c r="E8" s="461" t="s">
        <v>7</v>
      </c>
      <c r="F8" s="98" t="s">
        <v>8</v>
      </c>
      <c r="G8" s="73" t="s">
        <v>9</v>
      </c>
      <c r="H8" s="339" t="s">
        <v>10</v>
      </c>
    </row>
    <row r="9" spans="2:8" ht="24" customHeight="1" x14ac:dyDescent="0.3">
      <c r="B9" s="336" t="s">
        <v>11</v>
      </c>
      <c r="C9" s="462"/>
      <c r="D9" s="462"/>
      <c r="E9" s="468"/>
      <c r="F9" s="73" t="s">
        <v>12</v>
      </c>
      <c r="G9" s="99" t="s">
        <v>12</v>
      </c>
      <c r="H9" s="31" t="s">
        <v>12</v>
      </c>
    </row>
    <row r="10" spans="2:8" ht="24" customHeight="1" x14ac:dyDescent="0.3">
      <c r="B10" s="31">
        <v>1</v>
      </c>
      <c r="C10" s="31">
        <v>2</v>
      </c>
      <c r="D10" s="31">
        <v>3</v>
      </c>
      <c r="E10" s="31">
        <v>4</v>
      </c>
      <c r="F10" s="108">
        <v>5</v>
      </c>
      <c r="G10" s="108">
        <v>6</v>
      </c>
      <c r="H10" s="31">
        <v>7</v>
      </c>
    </row>
    <row r="11" spans="2:8" ht="44.25" customHeight="1" x14ac:dyDescent="0.3">
      <c r="B11" s="469" t="s">
        <v>1226</v>
      </c>
      <c r="C11" s="470"/>
      <c r="D11" s="470"/>
      <c r="E11" s="470"/>
      <c r="F11" s="470"/>
      <c r="G11" s="470"/>
      <c r="H11" s="471"/>
    </row>
    <row r="12" spans="2:8" s="122" customFormat="1" ht="28.5" customHeight="1" x14ac:dyDescent="0.25">
      <c r="B12" s="31"/>
      <c r="C12" s="475" t="s">
        <v>131</v>
      </c>
      <c r="D12" s="476"/>
      <c r="E12" s="476"/>
      <c r="F12" s="476"/>
      <c r="G12" s="476"/>
      <c r="H12" s="477"/>
    </row>
    <row r="13" spans="2:8" ht="26.25" customHeight="1" x14ac:dyDescent="0.3">
      <c r="B13" s="340">
        <v>57</v>
      </c>
      <c r="C13" s="217" t="s">
        <v>475</v>
      </c>
      <c r="D13" s="116" t="s">
        <v>14</v>
      </c>
      <c r="E13" s="116">
        <v>4</v>
      </c>
      <c r="F13" s="117">
        <v>256670</v>
      </c>
      <c r="G13" s="279">
        <f t="shared" ref="G13" si="0">F13*E13</f>
        <v>1026680</v>
      </c>
      <c r="H13" s="117">
        <v>0</v>
      </c>
    </row>
    <row r="14" spans="2:8" ht="26.25" customHeight="1" x14ac:dyDescent="0.3">
      <c r="B14" s="340">
        <v>80</v>
      </c>
      <c r="C14" s="217" t="s">
        <v>1227</v>
      </c>
      <c r="D14" s="116" t="s">
        <v>14</v>
      </c>
      <c r="E14" s="116">
        <v>9</v>
      </c>
      <c r="F14" s="117">
        <v>26373</v>
      </c>
      <c r="G14" s="279">
        <f t="shared" ref="G14" si="1">F14*E14</f>
        <v>237357</v>
      </c>
      <c r="H14" s="117">
        <v>142413</v>
      </c>
    </row>
    <row r="15" spans="2:8" ht="26.25" customHeight="1" x14ac:dyDescent="0.3">
      <c r="B15" s="93"/>
      <c r="C15" s="94" t="s">
        <v>39</v>
      </c>
      <c r="D15" s="93"/>
      <c r="E15" s="299">
        <f>SUM(E13:E14)</f>
        <v>13</v>
      </c>
      <c r="F15" s="284"/>
      <c r="G15" s="284">
        <f>SUM(G13:G14)</f>
        <v>1264037</v>
      </c>
      <c r="H15" s="284">
        <f>SUM(H13:H14)</f>
        <v>142413</v>
      </c>
    </row>
  </sheetData>
  <mergeCells count="10">
    <mergeCell ref="B11:H11"/>
    <mergeCell ref="C12:H12"/>
    <mergeCell ref="G1:H1"/>
    <mergeCell ref="E2:H2"/>
    <mergeCell ref="E3:H3"/>
    <mergeCell ref="B5:H5"/>
    <mergeCell ref="B6:H6"/>
    <mergeCell ref="C8:C9"/>
    <mergeCell ref="D8:D9"/>
    <mergeCell ref="E8:E9"/>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38"/>
  <sheetViews>
    <sheetView topLeftCell="A7" workbookViewId="0">
      <selection activeCell="C78" sqref="C78"/>
    </sheetView>
  </sheetViews>
  <sheetFormatPr defaultRowHeight="17.25" x14ac:dyDescent="0.3"/>
  <cols>
    <col min="1" max="1" width="2.5703125" style="1" customWidth="1"/>
    <col min="2" max="2" width="6" style="1" customWidth="1"/>
    <col min="3" max="3" width="35" style="1" customWidth="1"/>
    <col min="4" max="4" width="8.5703125" style="1" customWidth="1"/>
    <col min="5" max="5" width="9.7109375" style="1" customWidth="1"/>
    <col min="6" max="6" width="15.5703125" style="101" customWidth="1"/>
    <col min="7" max="7" width="17.85546875" style="101" customWidth="1"/>
    <col min="8" max="8" width="17.5703125" style="1" customWidth="1"/>
    <col min="9" max="16384" width="9.140625" style="1"/>
  </cols>
  <sheetData>
    <row r="1" spans="2:8" x14ac:dyDescent="0.3">
      <c r="E1" s="337"/>
      <c r="F1" s="97"/>
      <c r="G1" s="465" t="s">
        <v>72</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50" customHeight="1" x14ac:dyDescent="0.3">
      <c r="B6" s="467" t="s">
        <v>1219</v>
      </c>
      <c r="C6" s="467"/>
      <c r="D6" s="467"/>
      <c r="E6" s="467"/>
      <c r="F6" s="467"/>
      <c r="G6" s="467"/>
      <c r="H6" s="467"/>
    </row>
    <row r="7" spans="2:8" x14ac:dyDescent="0.3">
      <c r="D7" s="3"/>
      <c r="E7" s="337"/>
      <c r="F7" s="97"/>
      <c r="G7" s="97"/>
    </row>
    <row r="8" spans="2:8" ht="51.75" x14ac:dyDescent="0.3">
      <c r="B8" s="335" t="s">
        <v>4</v>
      </c>
      <c r="C8" s="461" t="s">
        <v>5</v>
      </c>
      <c r="D8" s="461" t="s">
        <v>6</v>
      </c>
      <c r="E8" s="461" t="s">
        <v>7</v>
      </c>
      <c r="F8" s="98" t="s">
        <v>8</v>
      </c>
      <c r="G8" s="73" t="s">
        <v>9</v>
      </c>
      <c r="H8" s="339" t="s">
        <v>10</v>
      </c>
    </row>
    <row r="9" spans="2:8" ht="22.5" customHeight="1" x14ac:dyDescent="0.3">
      <c r="B9" s="336" t="s">
        <v>11</v>
      </c>
      <c r="C9" s="462"/>
      <c r="D9" s="462"/>
      <c r="E9" s="468"/>
      <c r="F9" s="73" t="s">
        <v>12</v>
      </c>
      <c r="G9" s="99" t="s">
        <v>12</v>
      </c>
      <c r="H9" s="31" t="s">
        <v>12</v>
      </c>
    </row>
    <row r="10" spans="2:8" ht="23.25" customHeight="1" x14ac:dyDescent="0.3">
      <c r="B10" s="31">
        <v>1</v>
      </c>
      <c r="C10" s="31">
        <v>2</v>
      </c>
      <c r="D10" s="31">
        <v>3</v>
      </c>
      <c r="E10" s="31">
        <v>4</v>
      </c>
      <c r="F10" s="108">
        <v>5</v>
      </c>
      <c r="G10" s="108">
        <v>6</v>
      </c>
      <c r="H10" s="31">
        <v>7</v>
      </c>
    </row>
    <row r="11" spans="2:8" ht="42.75" customHeight="1" x14ac:dyDescent="0.3">
      <c r="B11" s="469" t="s">
        <v>1226</v>
      </c>
      <c r="C11" s="470"/>
      <c r="D11" s="470"/>
      <c r="E11" s="470"/>
      <c r="F11" s="470"/>
      <c r="G11" s="470"/>
      <c r="H11" s="471"/>
    </row>
    <row r="12" spans="2:8" s="122" customFormat="1" ht="30.75" customHeight="1" x14ac:dyDescent="0.25">
      <c r="B12" s="31"/>
      <c r="C12" s="475" t="s">
        <v>131</v>
      </c>
      <c r="D12" s="476"/>
      <c r="E12" s="476"/>
      <c r="F12" s="476"/>
      <c r="G12" s="476"/>
      <c r="H12" s="477"/>
    </row>
    <row r="13" spans="2:8" ht="24" customHeight="1" x14ac:dyDescent="0.3">
      <c r="B13" s="340">
        <v>1</v>
      </c>
      <c r="C13" s="217" t="s">
        <v>444</v>
      </c>
      <c r="D13" s="116" t="s">
        <v>14</v>
      </c>
      <c r="E13" s="116">
        <v>11</v>
      </c>
      <c r="F13" s="117">
        <v>421511</v>
      </c>
      <c r="G13" s="279">
        <f>F13*E13</f>
        <v>4636621</v>
      </c>
      <c r="H13" s="117">
        <v>0</v>
      </c>
    </row>
    <row r="14" spans="2:8" ht="24" customHeight="1" x14ac:dyDescent="0.3">
      <c r="B14" s="340">
        <v>2</v>
      </c>
      <c r="C14" s="217" t="s">
        <v>445</v>
      </c>
      <c r="D14" s="116" t="s">
        <v>14</v>
      </c>
      <c r="E14" s="116">
        <v>1</v>
      </c>
      <c r="F14" s="117">
        <v>116780</v>
      </c>
      <c r="G14" s="279">
        <f t="shared" ref="G14:G60" si="0">F14*E14</f>
        <v>116780</v>
      </c>
      <c r="H14" s="117">
        <v>0</v>
      </c>
    </row>
    <row r="15" spans="2:8" ht="24" customHeight="1" x14ac:dyDescent="0.3">
      <c r="B15" s="340">
        <v>3</v>
      </c>
      <c r="C15" s="217" t="s">
        <v>446</v>
      </c>
      <c r="D15" s="116" t="s">
        <v>14</v>
      </c>
      <c r="E15" s="116">
        <v>1</v>
      </c>
      <c r="F15" s="117">
        <v>53000</v>
      </c>
      <c r="G15" s="279">
        <f t="shared" si="0"/>
        <v>53000</v>
      </c>
      <c r="H15" s="117">
        <v>0</v>
      </c>
    </row>
    <row r="16" spans="2:8" ht="24" customHeight="1" x14ac:dyDescent="0.3">
      <c r="B16" s="340">
        <v>4</v>
      </c>
      <c r="C16" s="217" t="s">
        <v>115</v>
      </c>
      <c r="D16" s="116" t="s">
        <v>14</v>
      </c>
      <c r="E16" s="116">
        <v>70</v>
      </c>
      <c r="F16" s="117">
        <v>47500</v>
      </c>
      <c r="G16" s="279">
        <f t="shared" si="0"/>
        <v>3325000</v>
      </c>
      <c r="H16" s="117">
        <v>0</v>
      </c>
    </row>
    <row r="17" spans="2:8" ht="24" customHeight="1" x14ac:dyDescent="0.3">
      <c r="B17" s="340">
        <v>5</v>
      </c>
      <c r="C17" s="218" t="s">
        <v>447</v>
      </c>
      <c r="D17" s="290" t="s">
        <v>14</v>
      </c>
      <c r="E17" s="290">
        <v>10</v>
      </c>
      <c r="F17" s="204">
        <v>40440</v>
      </c>
      <c r="G17" s="204">
        <f t="shared" si="0"/>
        <v>404400</v>
      </c>
      <c r="H17" s="204">
        <v>40440</v>
      </c>
    </row>
    <row r="18" spans="2:8" ht="24" customHeight="1" x14ac:dyDescent="0.3">
      <c r="B18" s="340">
        <v>6</v>
      </c>
      <c r="C18" s="218" t="s">
        <v>448</v>
      </c>
      <c r="D18" s="290" t="s">
        <v>14</v>
      </c>
      <c r="E18" s="290">
        <v>2</v>
      </c>
      <c r="F18" s="204">
        <v>120000</v>
      </c>
      <c r="G18" s="204">
        <f t="shared" si="0"/>
        <v>240000</v>
      </c>
      <c r="H18" s="204">
        <v>24000</v>
      </c>
    </row>
    <row r="19" spans="2:8" ht="24" customHeight="1" x14ac:dyDescent="0.3">
      <c r="B19" s="340">
        <v>7</v>
      </c>
      <c r="C19" s="217" t="s">
        <v>450</v>
      </c>
      <c r="D19" s="116" t="s">
        <v>14</v>
      </c>
      <c r="E19" s="116">
        <v>1</v>
      </c>
      <c r="F19" s="117">
        <v>72250</v>
      </c>
      <c r="G19" s="279">
        <f t="shared" si="0"/>
        <v>72250</v>
      </c>
      <c r="H19" s="117">
        <v>0</v>
      </c>
    </row>
    <row r="20" spans="2:8" ht="24" customHeight="1" x14ac:dyDescent="0.3">
      <c r="B20" s="340">
        <v>8</v>
      </c>
      <c r="C20" s="217" t="s">
        <v>451</v>
      </c>
      <c r="D20" s="116" t="s">
        <v>14</v>
      </c>
      <c r="E20" s="116">
        <v>2</v>
      </c>
      <c r="F20" s="117">
        <v>7500</v>
      </c>
      <c r="G20" s="279">
        <f t="shared" si="0"/>
        <v>15000</v>
      </c>
      <c r="H20" s="117">
        <v>0</v>
      </c>
    </row>
    <row r="21" spans="2:8" ht="24" customHeight="1" x14ac:dyDescent="0.3">
      <c r="B21" s="340">
        <v>9</v>
      </c>
      <c r="C21" s="217" t="s">
        <v>451</v>
      </c>
      <c r="D21" s="116" t="s">
        <v>14</v>
      </c>
      <c r="E21" s="116">
        <v>1</v>
      </c>
      <c r="F21" s="117">
        <v>183700</v>
      </c>
      <c r="G21" s="279">
        <f t="shared" si="0"/>
        <v>183700</v>
      </c>
      <c r="H21" s="117">
        <v>0</v>
      </c>
    </row>
    <row r="22" spans="2:8" ht="24" customHeight="1" x14ac:dyDescent="0.3">
      <c r="B22" s="340">
        <v>10</v>
      </c>
      <c r="C22" s="217" t="s">
        <v>450</v>
      </c>
      <c r="D22" s="116" t="s">
        <v>14</v>
      </c>
      <c r="E22" s="116">
        <v>1</v>
      </c>
      <c r="F22" s="117">
        <v>14000</v>
      </c>
      <c r="G22" s="279">
        <f t="shared" si="0"/>
        <v>14000</v>
      </c>
      <c r="H22" s="117">
        <v>0</v>
      </c>
    </row>
    <row r="23" spans="2:8" ht="24" customHeight="1" x14ac:dyDescent="0.3">
      <c r="B23" s="340">
        <v>11</v>
      </c>
      <c r="C23" s="217" t="s">
        <v>450</v>
      </c>
      <c r="D23" s="116" t="s">
        <v>14</v>
      </c>
      <c r="E23" s="116">
        <v>2</v>
      </c>
      <c r="F23" s="117">
        <v>40000</v>
      </c>
      <c r="G23" s="279">
        <f t="shared" si="0"/>
        <v>80000</v>
      </c>
      <c r="H23" s="117">
        <v>0</v>
      </c>
    </row>
    <row r="24" spans="2:8" ht="24" customHeight="1" x14ac:dyDescent="0.3">
      <c r="B24" s="340">
        <v>12</v>
      </c>
      <c r="C24" s="217" t="s">
        <v>452</v>
      </c>
      <c r="D24" s="116" t="s">
        <v>14</v>
      </c>
      <c r="E24" s="116">
        <v>1</v>
      </c>
      <c r="F24" s="117">
        <v>101010</v>
      </c>
      <c r="G24" s="279">
        <f t="shared" si="0"/>
        <v>101010</v>
      </c>
      <c r="H24" s="117">
        <v>0</v>
      </c>
    </row>
    <row r="25" spans="2:8" ht="24" customHeight="1" x14ac:dyDescent="0.3">
      <c r="B25" s="340">
        <v>13</v>
      </c>
      <c r="C25" s="217" t="s">
        <v>49</v>
      </c>
      <c r="D25" s="116" t="s">
        <v>14</v>
      </c>
      <c r="E25" s="116">
        <v>8</v>
      </c>
      <c r="F25" s="117">
        <v>13650</v>
      </c>
      <c r="G25" s="279">
        <f t="shared" si="0"/>
        <v>109200</v>
      </c>
      <c r="H25" s="117">
        <v>0</v>
      </c>
    </row>
    <row r="26" spans="2:8" ht="24" customHeight="1" x14ac:dyDescent="0.3">
      <c r="B26" s="340">
        <v>14</v>
      </c>
      <c r="C26" s="217" t="s">
        <v>453</v>
      </c>
      <c r="D26" s="116" t="s">
        <v>14</v>
      </c>
      <c r="E26" s="116">
        <v>7</v>
      </c>
      <c r="F26" s="117">
        <v>2500</v>
      </c>
      <c r="G26" s="279">
        <f t="shared" si="0"/>
        <v>17500</v>
      </c>
      <c r="H26" s="117">
        <v>0</v>
      </c>
    </row>
    <row r="27" spans="2:8" ht="24" customHeight="1" x14ac:dyDescent="0.3">
      <c r="B27" s="340">
        <v>15</v>
      </c>
      <c r="C27" s="217" t="s">
        <v>226</v>
      </c>
      <c r="D27" s="116" t="s">
        <v>14</v>
      </c>
      <c r="E27" s="116">
        <v>13</v>
      </c>
      <c r="F27" s="117">
        <v>25000</v>
      </c>
      <c r="G27" s="279">
        <f t="shared" si="0"/>
        <v>325000</v>
      </c>
      <c r="H27" s="117">
        <v>162500</v>
      </c>
    </row>
    <row r="28" spans="2:8" ht="24" customHeight="1" x14ac:dyDescent="0.3">
      <c r="B28" s="340">
        <v>16</v>
      </c>
      <c r="C28" s="217" t="s">
        <v>226</v>
      </c>
      <c r="D28" s="116" t="s">
        <v>14</v>
      </c>
      <c r="E28" s="116">
        <v>60</v>
      </c>
      <c r="F28" s="117">
        <v>15000</v>
      </c>
      <c r="G28" s="279">
        <f t="shared" si="0"/>
        <v>900000</v>
      </c>
      <c r="H28" s="117">
        <v>360000</v>
      </c>
    </row>
    <row r="29" spans="2:8" ht="24" customHeight="1" x14ac:dyDescent="0.3">
      <c r="B29" s="340">
        <v>17</v>
      </c>
      <c r="C29" s="217" t="s">
        <v>456</v>
      </c>
      <c r="D29" s="116" t="s">
        <v>14</v>
      </c>
      <c r="E29" s="116">
        <v>1</v>
      </c>
      <c r="F29" s="117">
        <v>97520</v>
      </c>
      <c r="G29" s="279">
        <f t="shared" si="0"/>
        <v>97520</v>
      </c>
      <c r="H29" s="117">
        <v>0</v>
      </c>
    </row>
    <row r="30" spans="2:8" ht="24" customHeight="1" x14ac:dyDescent="0.3">
      <c r="B30" s="340">
        <v>18</v>
      </c>
      <c r="C30" s="217" t="s">
        <v>457</v>
      </c>
      <c r="D30" s="116" t="s">
        <v>14</v>
      </c>
      <c r="E30" s="116">
        <v>1</v>
      </c>
      <c r="F30" s="117">
        <v>3000</v>
      </c>
      <c r="G30" s="279">
        <f t="shared" si="0"/>
        <v>3000</v>
      </c>
      <c r="H30" s="117">
        <v>0</v>
      </c>
    </row>
    <row r="31" spans="2:8" ht="24" customHeight="1" x14ac:dyDescent="0.3">
      <c r="B31" s="340">
        <v>19</v>
      </c>
      <c r="C31" s="217" t="s">
        <v>456</v>
      </c>
      <c r="D31" s="116" t="s">
        <v>14</v>
      </c>
      <c r="E31" s="116">
        <v>3</v>
      </c>
      <c r="F31" s="117">
        <v>61160</v>
      </c>
      <c r="G31" s="279">
        <f t="shared" si="0"/>
        <v>183480</v>
      </c>
      <c r="H31" s="117">
        <v>0</v>
      </c>
    </row>
    <row r="32" spans="2:8" ht="24" customHeight="1" x14ac:dyDescent="0.3">
      <c r="B32" s="340">
        <v>20</v>
      </c>
      <c r="C32" s="217" t="s">
        <v>49</v>
      </c>
      <c r="D32" s="116" t="s">
        <v>14</v>
      </c>
      <c r="E32" s="116">
        <v>60</v>
      </c>
      <c r="F32" s="117">
        <v>13000</v>
      </c>
      <c r="G32" s="279">
        <f t="shared" si="0"/>
        <v>780000</v>
      </c>
      <c r="H32" s="219">
        <v>390000</v>
      </c>
    </row>
    <row r="33" spans="2:8" ht="24" customHeight="1" x14ac:dyDescent="0.3">
      <c r="B33" s="340">
        <v>21</v>
      </c>
      <c r="C33" s="217" t="s">
        <v>49</v>
      </c>
      <c r="D33" s="116" t="s">
        <v>14</v>
      </c>
      <c r="E33" s="116">
        <v>70</v>
      </c>
      <c r="F33" s="117">
        <v>8500</v>
      </c>
      <c r="G33" s="279">
        <f t="shared" si="0"/>
        <v>595000</v>
      </c>
      <c r="H33" s="117">
        <v>297500</v>
      </c>
    </row>
    <row r="34" spans="2:8" ht="24" customHeight="1" x14ac:dyDescent="0.3">
      <c r="B34" s="340">
        <v>22</v>
      </c>
      <c r="C34" s="217" t="s">
        <v>49</v>
      </c>
      <c r="D34" s="116" t="s">
        <v>14</v>
      </c>
      <c r="E34" s="116">
        <v>75</v>
      </c>
      <c r="F34" s="117">
        <v>10000</v>
      </c>
      <c r="G34" s="279">
        <f t="shared" si="0"/>
        <v>750000</v>
      </c>
      <c r="H34" s="117">
        <v>375000</v>
      </c>
    </row>
    <row r="35" spans="2:8" ht="24" customHeight="1" x14ac:dyDescent="0.3">
      <c r="B35" s="340">
        <v>23</v>
      </c>
      <c r="C35" s="217" t="s">
        <v>459</v>
      </c>
      <c r="D35" s="116" t="s">
        <v>14</v>
      </c>
      <c r="E35" s="116">
        <v>2</v>
      </c>
      <c r="F35" s="117">
        <v>3000</v>
      </c>
      <c r="G35" s="279">
        <f t="shared" si="0"/>
        <v>6000</v>
      </c>
      <c r="H35" s="117">
        <v>0</v>
      </c>
    </row>
    <row r="36" spans="2:8" ht="24" customHeight="1" x14ac:dyDescent="0.3">
      <c r="B36" s="340">
        <v>24</v>
      </c>
      <c r="C36" s="217" t="s">
        <v>460</v>
      </c>
      <c r="D36" s="116" t="s">
        <v>14</v>
      </c>
      <c r="E36" s="116">
        <v>1</v>
      </c>
      <c r="F36" s="117">
        <v>10000</v>
      </c>
      <c r="G36" s="279">
        <f t="shared" si="0"/>
        <v>10000</v>
      </c>
      <c r="H36" s="117">
        <v>0</v>
      </c>
    </row>
    <row r="37" spans="2:8" ht="24" customHeight="1" x14ac:dyDescent="0.3">
      <c r="B37" s="340">
        <v>25</v>
      </c>
      <c r="C37" s="217" t="s">
        <v>461</v>
      </c>
      <c r="D37" s="116" t="s">
        <v>14</v>
      </c>
      <c r="E37" s="116">
        <v>2</v>
      </c>
      <c r="F37" s="117">
        <v>5000</v>
      </c>
      <c r="G37" s="279">
        <f t="shared" si="0"/>
        <v>10000</v>
      </c>
      <c r="H37" s="117">
        <v>0</v>
      </c>
    </row>
    <row r="38" spans="2:8" ht="24" customHeight="1" x14ac:dyDescent="0.3">
      <c r="B38" s="340">
        <v>26</v>
      </c>
      <c r="C38" s="217" t="s">
        <v>146</v>
      </c>
      <c r="D38" s="116" t="s">
        <v>14</v>
      </c>
      <c r="E38" s="116">
        <v>25</v>
      </c>
      <c r="F38" s="117">
        <v>32000</v>
      </c>
      <c r="G38" s="279">
        <f t="shared" si="0"/>
        <v>800000</v>
      </c>
      <c r="H38" s="117">
        <v>488000</v>
      </c>
    </row>
    <row r="39" spans="2:8" ht="24" customHeight="1" x14ac:dyDescent="0.3">
      <c r="B39" s="340">
        <v>27</v>
      </c>
      <c r="C39" s="217" t="s">
        <v>146</v>
      </c>
      <c r="D39" s="116" t="s">
        <v>14</v>
      </c>
      <c r="E39" s="116">
        <v>15</v>
      </c>
      <c r="F39" s="117">
        <v>46000</v>
      </c>
      <c r="G39" s="279">
        <f t="shared" si="0"/>
        <v>690000</v>
      </c>
      <c r="H39" s="117">
        <v>486500</v>
      </c>
    </row>
    <row r="40" spans="2:8" ht="24" customHeight="1" x14ac:dyDescent="0.3">
      <c r="B40" s="340">
        <v>28</v>
      </c>
      <c r="C40" s="217" t="s">
        <v>452</v>
      </c>
      <c r="D40" s="116" t="s">
        <v>14</v>
      </c>
      <c r="E40" s="116">
        <v>1</v>
      </c>
      <c r="F40" s="117">
        <v>24525</v>
      </c>
      <c r="G40" s="279">
        <f t="shared" si="0"/>
        <v>24525</v>
      </c>
      <c r="H40" s="117">
        <v>0</v>
      </c>
    </row>
    <row r="41" spans="2:8" ht="24" customHeight="1" x14ac:dyDescent="0.3">
      <c r="B41" s="340">
        <v>29</v>
      </c>
      <c r="C41" s="217" t="s">
        <v>146</v>
      </c>
      <c r="D41" s="116" t="s">
        <v>14</v>
      </c>
      <c r="E41" s="116">
        <v>15</v>
      </c>
      <c r="F41" s="117">
        <v>35000</v>
      </c>
      <c r="G41" s="279">
        <f t="shared" si="0"/>
        <v>525000</v>
      </c>
      <c r="H41" s="117">
        <v>210000</v>
      </c>
    </row>
    <row r="42" spans="2:8" ht="24" customHeight="1" x14ac:dyDescent="0.3">
      <c r="B42" s="340">
        <v>30</v>
      </c>
      <c r="C42" s="217" t="s">
        <v>465</v>
      </c>
      <c r="D42" s="116" t="s">
        <v>14</v>
      </c>
      <c r="E42" s="116">
        <v>1</v>
      </c>
      <c r="F42" s="117">
        <v>250000</v>
      </c>
      <c r="G42" s="279">
        <f t="shared" si="0"/>
        <v>250000</v>
      </c>
      <c r="H42" s="117">
        <v>125000</v>
      </c>
    </row>
    <row r="43" spans="2:8" ht="24" customHeight="1" x14ac:dyDescent="0.3">
      <c r="B43" s="340">
        <v>31</v>
      </c>
      <c r="C43" s="217" t="s">
        <v>112</v>
      </c>
      <c r="D43" s="116" t="s">
        <v>14</v>
      </c>
      <c r="E43" s="116">
        <v>1</v>
      </c>
      <c r="F43" s="117">
        <v>74360</v>
      </c>
      <c r="G43" s="279">
        <f t="shared" si="0"/>
        <v>74360</v>
      </c>
      <c r="H43" s="117">
        <v>0</v>
      </c>
    </row>
    <row r="44" spans="2:8" ht="24" customHeight="1" x14ac:dyDescent="0.3">
      <c r="B44" s="340">
        <v>32</v>
      </c>
      <c r="C44" s="217" t="s">
        <v>183</v>
      </c>
      <c r="D44" s="116" t="s">
        <v>14</v>
      </c>
      <c r="E44" s="116">
        <v>10</v>
      </c>
      <c r="F44" s="117">
        <v>5000</v>
      </c>
      <c r="G44" s="279">
        <f t="shared" si="0"/>
        <v>50000</v>
      </c>
      <c r="H44" s="117">
        <v>0</v>
      </c>
    </row>
    <row r="45" spans="2:8" ht="24" customHeight="1" x14ac:dyDescent="0.3">
      <c r="B45" s="340">
        <v>33</v>
      </c>
      <c r="C45" s="217" t="s">
        <v>111</v>
      </c>
      <c r="D45" s="116" t="s">
        <v>14</v>
      </c>
      <c r="E45" s="116">
        <v>4</v>
      </c>
      <c r="F45" s="117">
        <v>10000</v>
      </c>
      <c r="G45" s="279">
        <f t="shared" si="0"/>
        <v>40000</v>
      </c>
      <c r="H45" s="117">
        <v>0</v>
      </c>
    </row>
    <row r="46" spans="2:8" ht="24" customHeight="1" x14ac:dyDescent="0.3">
      <c r="B46" s="340">
        <v>34</v>
      </c>
      <c r="C46" s="217" t="s">
        <v>466</v>
      </c>
      <c r="D46" s="116" t="s">
        <v>14</v>
      </c>
      <c r="E46" s="116">
        <v>4</v>
      </c>
      <c r="F46" s="117">
        <v>320000</v>
      </c>
      <c r="G46" s="279">
        <f t="shared" si="0"/>
        <v>1280000</v>
      </c>
      <c r="H46" s="117">
        <v>0</v>
      </c>
    </row>
    <row r="47" spans="2:8" ht="24" customHeight="1" x14ac:dyDescent="0.3">
      <c r="B47" s="340">
        <v>35</v>
      </c>
      <c r="C47" s="217" t="s">
        <v>467</v>
      </c>
      <c r="D47" s="116" t="s">
        <v>14</v>
      </c>
      <c r="E47" s="116">
        <v>15</v>
      </c>
      <c r="F47" s="117">
        <v>75000</v>
      </c>
      <c r="G47" s="279">
        <f t="shared" si="0"/>
        <v>1125000</v>
      </c>
      <c r="H47" s="117">
        <v>0</v>
      </c>
    </row>
    <row r="48" spans="2:8" ht="24" customHeight="1" x14ac:dyDescent="0.3">
      <c r="B48" s="340">
        <v>36</v>
      </c>
      <c r="C48" s="217" t="s">
        <v>311</v>
      </c>
      <c r="D48" s="116" t="s">
        <v>14</v>
      </c>
      <c r="E48" s="116">
        <v>1</v>
      </c>
      <c r="F48" s="117">
        <v>27020</v>
      </c>
      <c r="G48" s="279">
        <f t="shared" si="0"/>
        <v>27020</v>
      </c>
      <c r="H48" s="117">
        <v>0</v>
      </c>
    </row>
    <row r="49" spans="2:8" ht="24" customHeight="1" x14ac:dyDescent="0.3">
      <c r="B49" s="340">
        <v>37</v>
      </c>
      <c r="C49" s="217" t="s">
        <v>468</v>
      </c>
      <c r="D49" s="116" t="s">
        <v>14</v>
      </c>
      <c r="E49" s="116">
        <v>1</v>
      </c>
      <c r="F49" s="117">
        <v>6140</v>
      </c>
      <c r="G49" s="279">
        <f t="shared" si="0"/>
        <v>6140</v>
      </c>
      <c r="H49" s="117">
        <v>0</v>
      </c>
    </row>
    <row r="50" spans="2:8" ht="24" customHeight="1" x14ac:dyDescent="0.3">
      <c r="B50" s="340">
        <v>38</v>
      </c>
      <c r="C50" s="217" t="s">
        <v>469</v>
      </c>
      <c r="D50" s="116" t="s">
        <v>14</v>
      </c>
      <c r="E50" s="116">
        <v>10</v>
      </c>
      <c r="F50" s="117">
        <v>30000</v>
      </c>
      <c r="G50" s="279">
        <f t="shared" si="0"/>
        <v>300000</v>
      </c>
      <c r="H50" s="117">
        <v>0</v>
      </c>
    </row>
    <row r="51" spans="2:8" ht="24" customHeight="1" x14ac:dyDescent="0.3">
      <c r="B51" s="340">
        <v>39</v>
      </c>
      <c r="C51" s="217" t="s">
        <v>528</v>
      </c>
      <c r="D51" s="116" t="s">
        <v>14</v>
      </c>
      <c r="E51" s="116">
        <v>1</v>
      </c>
      <c r="F51" s="117">
        <v>64800</v>
      </c>
      <c r="G51" s="279">
        <f t="shared" si="0"/>
        <v>64800</v>
      </c>
      <c r="H51" s="117">
        <v>0</v>
      </c>
    </row>
    <row r="52" spans="2:8" ht="24" customHeight="1" x14ac:dyDescent="0.3">
      <c r="B52" s="340">
        <v>40</v>
      </c>
      <c r="C52" s="217" t="s">
        <v>471</v>
      </c>
      <c r="D52" s="116" t="s">
        <v>14</v>
      </c>
      <c r="E52" s="116">
        <v>1</v>
      </c>
      <c r="F52" s="117">
        <v>217600</v>
      </c>
      <c r="G52" s="279">
        <f t="shared" si="0"/>
        <v>217600</v>
      </c>
      <c r="H52" s="117">
        <v>0</v>
      </c>
    </row>
    <row r="53" spans="2:8" ht="24" customHeight="1" x14ac:dyDescent="0.3">
      <c r="B53" s="340">
        <v>41</v>
      </c>
      <c r="C53" s="217" t="s">
        <v>472</v>
      </c>
      <c r="D53" s="116" t="s">
        <v>14</v>
      </c>
      <c r="E53" s="116">
        <v>1</v>
      </c>
      <c r="F53" s="117">
        <v>186500</v>
      </c>
      <c r="G53" s="279">
        <f t="shared" si="0"/>
        <v>186500</v>
      </c>
      <c r="H53" s="117">
        <v>0</v>
      </c>
    </row>
    <row r="54" spans="2:8" ht="24" customHeight="1" x14ac:dyDescent="0.3">
      <c r="B54" s="340">
        <v>42</v>
      </c>
      <c r="C54" s="217" t="s">
        <v>476</v>
      </c>
      <c r="D54" s="116" t="s">
        <v>14</v>
      </c>
      <c r="E54" s="116">
        <v>1</v>
      </c>
      <c r="F54" s="117">
        <v>53600</v>
      </c>
      <c r="G54" s="279">
        <f t="shared" si="0"/>
        <v>53600</v>
      </c>
      <c r="H54" s="117">
        <v>0</v>
      </c>
    </row>
    <row r="55" spans="2:8" ht="24" customHeight="1" x14ac:dyDescent="0.3">
      <c r="B55" s="340">
        <v>43</v>
      </c>
      <c r="C55" s="218" t="s">
        <v>477</v>
      </c>
      <c r="D55" s="290" t="s">
        <v>14</v>
      </c>
      <c r="E55" s="290">
        <v>1</v>
      </c>
      <c r="F55" s="204">
        <v>287000</v>
      </c>
      <c r="G55" s="204">
        <f t="shared" si="0"/>
        <v>287000</v>
      </c>
      <c r="H55" s="204">
        <v>28700</v>
      </c>
    </row>
    <row r="56" spans="2:8" ht="24" customHeight="1" x14ac:dyDescent="0.3">
      <c r="B56" s="340">
        <v>44</v>
      </c>
      <c r="C56" s="217" t="s">
        <v>478</v>
      </c>
      <c r="D56" s="116" t="s">
        <v>14</v>
      </c>
      <c r="E56" s="116">
        <v>1</v>
      </c>
      <c r="F56" s="117">
        <v>642000</v>
      </c>
      <c r="G56" s="279">
        <f t="shared" si="0"/>
        <v>642000</v>
      </c>
      <c r="H56" s="117">
        <v>0</v>
      </c>
    </row>
    <row r="57" spans="2:8" ht="24" customHeight="1" x14ac:dyDescent="0.3">
      <c r="B57" s="340">
        <v>45</v>
      </c>
      <c r="C57" s="217" t="s">
        <v>412</v>
      </c>
      <c r="D57" s="116" t="s">
        <v>14</v>
      </c>
      <c r="E57" s="116">
        <v>1</v>
      </c>
      <c r="F57" s="117">
        <v>50000</v>
      </c>
      <c r="G57" s="279">
        <f t="shared" si="0"/>
        <v>50000</v>
      </c>
      <c r="H57" s="117">
        <v>27500</v>
      </c>
    </row>
    <row r="58" spans="2:8" ht="24" customHeight="1" x14ac:dyDescent="0.3">
      <c r="B58" s="340">
        <v>46</v>
      </c>
      <c r="C58" s="217" t="s">
        <v>455</v>
      </c>
      <c r="D58" s="116" t="s">
        <v>14</v>
      </c>
      <c r="E58" s="116">
        <v>3</v>
      </c>
      <c r="F58" s="117">
        <v>80000</v>
      </c>
      <c r="G58" s="279">
        <f t="shared" si="0"/>
        <v>240000</v>
      </c>
      <c r="H58" s="117">
        <v>132000</v>
      </c>
    </row>
    <row r="59" spans="2:8" ht="24" customHeight="1" x14ac:dyDescent="0.3">
      <c r="B59" s="340">
        <v>47</v>
      </c>
      <c r="C59" s="217" t="s">
        <v>479</v>
      </c>
      <c r="D59" s="116" t="s">
        <v>14</v>
      </c>
      <c r="E59" s="116">
        <v>1</v>
      </c>
      <c r="F59" s="117">
        <v>50000</v>
      </c>
      <c r="G59" s="279">
        <f t="shared" si="0"/>
        <v>50000</v>
      </c>
      <c r="H59" s="117">
        <v>27500</v>
      </c>
    </row>
    <row r="60" spans="2:8" ht="24" customHeight="1" x14ac:dyDescent="0.3">
      <c r="B60" s="340">
        <v>48</v>
      </c>
      <c r="C60" s="217" t="s">
        <v>480</v>
      </c>
      <c r="D60" s="116" t="s">
        <v>14</v>
      </c>
      <c r="E60" s="116">
        <v>1</v>
      </c>
      <c r="F60" s="117">
        <v>4000</v>
      </c>
      <c r="G60" s="279">
        <f t="shared" si="0"/>
        <v>4000</v>
      </c>
      <c r="H60" s="117">
        <v>0</v>
      </c>
    </row>
    <row r="61" spans="2:8" ht="24" customHeight="1" x14ac:dyDescent="0.3">
      <c r="B61" s="340">
        <v>49</v>
      </c>
      <c r="C61" s="217" t="s">
        <v>462</v>
      </c>
      <c r="D61" s="116" t="s">
        <v>14</v>
      </c>
      <c r="E61" s="116">
        <v>4</v>
      </c>
      <c r="F61" s="117">
        <v>50000</v>
      </c>
      <c r="G61" s="279">
        <f t="shared" ref="G61:G104" si="1">F61*E61</f>
        <v>200000</v>
      </c>
      <c r="H61" s="117">
        <v>110000</v>
      </c>
    </row>
    <row r="62" spans="2:8" ht="24" customHeight="1" x14ac:dyDescent="0.3">
      <c r="B62" s="340">
        <v>50</v>
      </c>
      <c r="C62" s="217" t="s">
        <v>482</v>
      </c>
      <c r="D62" s="116" t="s">
        <v>14</v>
      </c>
      <c r="E62" s="116">
        <v>1</v>
      </c>
      <c r="F62" s="117">
        <v>630000</v>
      </c>
      <c r="G62" s="279">
        <f t="shared" si="1"/>
        <v>630000</v>
      </c>
      <c r="H62" s="117">
        <v>0</v>
      </c>
    </row>
    <row r="63" spans="2:8" ht="24" customHeight="1" x14ac:dyDescent="0.3">
      <c r="B63" s="340">
        <v>51</v>
      </c>
      <c r="C63" s="217" t="s">
        <v>483</v>
      </c>
      <c r="D63" s="116" t="s">
        <v>14</v>
      </c>
      <c r="E63" s="116">
        <v>1</v>
      </c>
      <c r="F63" s="117">
        <v>150000</v>
      </c>
      <c r="G63" s="279">
        <f t="shared" si="1"/>
        <v>150000</v>
      </c>
      <c r="H63" s="117">
        <v>0</v>
      </c>
    </row>
    <row r="64" spans="2:8" ht="24" customHeight="1" x14ac:dyDescent="0.3">
      <c r="B64" s="340">
        <v>52</v>
      </c>
      <c r="C64" s="217" t="s">
        <v>462</v>
      </c>
      <c r="D64" s="116" t="s">
        <v>14</v>
      </c>
      <c r="E64" s="116">
        <v>2</v>
      </c>
      <c r="F64" s="117">
        <v>15000</v>
      </c>
      <c r="G64" s="279">
        <f t="shared" si="1"/>
        <v>30000</v>
      </c>
      <c r="H64" s="117">
        <v>16500</v>
      </c>
    </row>
    <row r="65" spans="2:8" ht="24" customHeight="1" x14ac:dyDescent="0.3">
      <c r="B65" s="340">
        <v>53</v>
      </c>
      <c r="C65" s="217" t="s">
        <v>486</v>
      </c>
      <c r="D65" s="116" t="s">
        <v>14</v>
      </c>
      <c r="E65" s="116">
        <v>1</v>
      </c>
      <c r="F65" s="117">
        <v>230000</v>
      </c>
      <c r="G65" s="279">
        <f t="shared" si="1"/>
        <v>230000</v>
      </c>
      <c r="H65" s="117">
        <v>126500</v>
      </c>
    </row>
    <row r="66" spans="2:8" ht="24" customHeight="1" x14ac:dyDescent="0.3">
      <c r="B66" s="340">
        <v>54</v>
      </c>
      <c r="C66" s="218" t="s">
        <v>487</v>
      </c>
      <c r="D66" s="290" t="s">
        <v>14</v>
      </c>
      <c r="E66" s="290">
        <v>1</v>
      </c>
      <c r="F66" s="204">
        <v>200000</v>
      </c>
      <c r="G66" s="204">
        <f t="shared" si="1"/>
        <v>200000</v>
      </c>
      <c r="H66" s="204">
        <v>32000</v>
      </c>
    </row>
    <row r="67" spans="2:8" ht="24" customHeight="1" x14ac:dyDescent="0.3">
      <c r="B67" s="340">
        <v>55</v>
      </c>
      <c r="C67" s="217" t="s">
        <v>466</v>
      </c>
      <c r="D67" s="116" t="s">
        <v>14</v>
      </c>
      <c r="E67" s="116">
        <v>3</v>
      </c>
      <c r="F67" s="117">
        <v>180000</v>
      </c>
      <c r="G67" s="279">
        <f t="shared" si="1"/>
        <v>540000</v>
      </c>
      <c r="H67" s="117">
        <v>297000</v>
      </c>
    </row>
    <row r="68" spans="2:8" ht="24" customHeight="1" x14ac:dyDescent="0.3">
      <c r="B68" s="340">
        <v>56</v>
      </c>
      <c r="C68" s="217" t="s">
        <v>489</v>
      </c>
      <c r="D68" s="116" t="s">
        <v>14</v>
      </c>
      <c r="E68" s="116">
        <v>8</v>
      </c>
      <c r="F68" s="117">
        <v>25000</v>
      </c>
      <c r="G68" s="279">
        <f t="shared" si="1"/>
        <v>200000</v>
      </c>
      <c r="H68" s="117">
        <v>0</v>
      </c>
    </row>
    <row r="69" spans="2:8" ht="24" customHeight="1" x14ac:dyDescent="0.3">
      <c r="B69" s="340">
        <v>57</v>
      </c>
      <c r="C69" s="217" t="s">
        <v>490</v>
      </c>
      <c r="D69" s="116" t="s">
        <v>14</v>
      </c>
      <c r="E69" s="116">
        <v>1</v>
      </c>
      <c r="F69" s="117">
        <v>75088</v>
      </c>
      <c r="G69" s="279">
        <f t="shared" si="1"/>
        <v>75088</v>
      </c>
      <c r="H69" s="117">
        <f>45055+25</f>
        <v>45080</v>
      </c>
    </row>
    <row r="70" spans="2:8" ht="24" customHeight="1" x14ac:dyDescent="0.3">
      <c r="B70" s="340">
        <v>58</v>
      </c>
      <c r="C70" s="217" t="s">
        <v>491</v>
      </c>
      <c r="D70" s="116" t="s">
        <v>14</v>
      </c>
      <c r="E70" s="116">
        <v>3</v>
      </c>
      <c r="F70" s="117">
        <v>64516</v>
      </c>
      <c r="G70" s="279">
        <f t="shared" si="1"/>
        <v>193548</v>
      </c>
      <c r="H70" s="117">
        <v>116132</v>
      </c>
    </row>
    <row r="71" spans="2:8" ht="24" customHeight="1" x14ac:dyDescent="0.3">
      <c r="B71" s="340">
        <v>59</v>
      </c>
      <c r="C71" s="217" t="s">
        <v>492</v>
      </c>
      <c r="D71" s="116" t="s">
        <v>14</v>
      </c>
      <c r="E71" s="116">
        <v>1</v>
      </c>
      <c r="F71" s="117">
        <v>36773</v>
      </c>
      <c r="G71" s="279">
        <f t="shared" si="1"/>
        <v>36773</v>
      </c>
      <c r="H71" s="117">
        <v>22061</v>
      </c>
    </row>
    <row r="72" spans="2:8" ht="24" customHeight="1" x14ac:dyDescent="0.3">
      <c r="B72" s="340">
        <v>60</v>
      </c>
      <c r="C72" s="217" t="s">
        <v>493</v>
      </c>
      <c r="D72" s="116" t="s">
        <v>14</v>
      </c>
      <c r="E72" s="116">
        <v>10</v>
      </c>
      <c r="F72" s="117">
        <v>45000</v>
      </c>
      <c r="G72" s="279">
        <f t="shared" si="1"/>
        <v>450000</v>
      </c>
      <c r="H72" s="117">
        <v>339750</v>
      </c>
    </row>
    <row r="73" spans="2:8" ht="24" customHeight="1" x14ac:dyDescent="0.3">
      <c r="B73" s="340">
        <v>61</v>
      </c>
      <c r="C73" s="217" t="s">
        <v>494</v>
      </c>
      <c r="D73" s="116" t="s">
        <v>14</v>
      </c>
      <c r="E73" s="116">
        <v>10</v>
      </c>
      <c r="F73" s="117">
        <v>25000</v>
      </c>
      <c r="G73" s="279">
        <f t="shared" si="1"/>
        <v>250000</v>
      </c>
      <c r="H73" s="117">
        <v>227500</v>
      </c>
    </row>
    <row r="74" spans="2:8" ht="24" customHeight="1" x14ac:dyDescent="0.3">
      <c r="B74" s="340">
        <v>62</v>
      </c>
      <c r="C74" s="217" t="s">
        <v>239</v>
      </c>
      <c r="D74" s="116" t="s">
        <v>14</v>
      </c>
      <c r="E74" s="116">
        <v>1</v>
      </c>
      <c r="F74" s="117">
        <v>150000</v>
      </c>
      <c r="G74" s="279">
        <f t="shared" si="1"/>
        <v>150000</v>
      </c>
      <c r="H74" s="117">
        <v>97500</v>
      </c>
    </row>
    <row r="75" spans="2:8" ht="24" customHeight="1" x14ac:dyDescent="0.3">
      <c r="B75" s="340">
        <v>63</v>
      </c>
      <c r="C75" s="217" t="s">
        <v>495</v>
      </c>
      <c r="D75" s="116" t="s">
        <v>14</v>
      </c>
      <c r="E75" s="116">
        <v>1</v>
      </c>
      <c r="F75" s="117">
        <v>60000</v>
      </c>
      <c r="G75" s="279">
        <f t="shared" si="1"/>
        <v>60000</v>
      </c>
      <c r="H75" s="117">
        <v>39000</v>
      </c>
    </row>
    <row r="76" spans="2:8" ht="24" customHeight="1" x14ac:dyDescent="0.3">
      <c r="B76" s="340">
        <v>64</v>
      </c>
      <c r="C76" s="217" t="s">
        <v>495</v>
      </c>
      <c r="D76" s="116" t="s">
        <v>14</v>
      </c>
      <c r="E76" s="116">
        <v>80</v>
      </c>
      <c r="F76" s="117">
        <v>12400</v>
      </c>
      <c r="G76" s="279">
        <f t="shared" si="1"/>
        <v>992000</v>
      </c>
      <c r="H76" s="117">
        <v>0</v>
      </c>
    </row>
    <row r="77" spans="2:8" ht="24" customHeight="1" x14ac:dyDescent="0.3">
      <c r="B77" s="340">
        <v>65</v>
      </c>
      <c r="C77" s="217" t="s">
        <v>496</v>
      </c>
      <c r="D77" s="116" t="s">
        <v>14</v>
      </c>
      <c r="E77" s="116">
        <v>1</v>
      </c>
      <c r="F77" s="117">
        <v>190000</v>
      </c>
      <c r="G77" s="279">
        <f t="shared" si="1"/>
        <v>190000</v>
      </c>
      <c r="H77" s="117">
        <v>0</v>
      </c>
    </row>
    <row r="78" spans="2:8" ht="24" customHeight="1" x14ac:dyDescent="0.3">
      <c r="B78" s="340">
        <v>66</v>
      </c>
      <c r="C78" s="217" t="s">
        <v>497</v>
      </c>
      <c r="D78" s="116" t="s">
        <v>14</v>
      </c>
      <c r="E78" s="116">
        <v>1</v>
      </c>
      <c r="F78" s="117">
        <v>201114</v>
      </c>
      <c r="G78" s="279">
        <f t="shared" si="1"/>
        <v>201114</v>
      </c>
      <c r="H78" s="117">
        <v>0</v>
      </c>
    </row>
    <row r="79" spans="2:8" ht="24" customHeight="1" x14ac:dyDescent="0.3">
      <c r="B79" s="340">
        <v>67</v>
      </c>
      <c r="C79" s="217" t="s">
        <v>867</v>
      </c>
      <c r="D79" s="116" t="s">
        <v>14</v>
      </c>
      <c r="E79" s="116">
        <v>8</v>
      </c>
      <c r="F79" s="117">
        <v>30000</v>
      </c>
      <c r="G79" s="279">
        <f t="shared" si="1"/>
        <v>240000</v>
      </c>
      <c r="H79" s="117">
        <f>7500*8</f>
        <v>60000</v>
      </c>
    </row>
    <row r="80" spans="2:8" ht="24" customHeight="1" x14ac:dyDescent="0.3">
      <c r="B80" s="340">
        <v>68</v>
      </c>
      <c r="C80" s="217" t="s">
        <v>498</v>
      </c>
      <c r="D80" s="116" t="s">
        <v>14</v>
      </c>
      <c r="E80" s="116">
        <v>68</v>
      </c>
      <c r="F80" s="117">
        <v>42390</v>
      </c>
      <c r="G80" s="279">
        <f t="shared" si="1"/>
        <v>2882520</v>
      </c>
      <c r="H80" s="117">
        <v>2306016</v>
      </c>
    </row>
    <row r="81" spans="2:8" ht="24" customHeight="1" x14ac:dyDescent="0.3">
      <c r="B81" s="340">
        <v>69</v>
      </c>
      <c r="C81" s="217" t="s">
        <v>499</v>
      </c>
      <c r="D81" s="116" t="s">
        <v>14</v>
      </c>
      <c r="E81" s="116">
        <v>4</v>
      </c>
      <c r="F81" s="117">
        <v>98203.5</v>
      </c>
      <c r="G81" s="279">
        <f t="shared" si="1"/>
        <v>392814</v>
      </c>
      <c r="H81" s="117">
        <v>0</v>
      </c>
    </row>
    <row r="82" spans="2:8" ht="24" customHeight="1" x14ac:dyDescent="0.3">
      <c r="B82" s="340">
        <v>70</v>
      </c>
      <c r="C82" s="217" t="s">
        <v>499</v>
      </c>
      <c r="D82" s="116" t="s">
        <v>14</v>
      </c>
      <c r="E82" s="116">
        <v>2</v>
      </c>
      <c r="F82" s="117">
        <v>130938</v>
      </c>
      <c r="G82" s="279">
        <f t="shared" si="1"/>
        <v>261876</v>
      </c>
      <c r="H82" s="117">
        <v>0</v>
      </c>
    </row>
    <row r="83" spans="2:8" ht="24" customHeight="1" x14ac:dyDescent="0.3">
      <c r="B83" s="340">
        <v>71</v>
      </c>
      <c r="C83" s="217" t="s">
        <v>868</v>
      </c>
      <c r="D83" s="116" t="s">
        <v>14</v>
      </c>
      <c r="E83" s="116">
        <v>60</v>
      </c>
      <c r="F83" s="117">
        <v>56520</v>
      </c>
      <c r="G83" s="279">
        <f t="shared" si="1"/>
        <v>3391200</v>
      </c>
      <c r="H83" s="117">
        <f>30160*60</f>
        <v>1809600</v>
      </c>
    </row>
    <row r="84" spans="2:8" ht="24" customHeight="1" x14ac:dyDescent="0.3">
      <c r="B84" s="340">
        <v>72</v>
      </c>
      <c r="C84" s="217" t="s">
        <v>500</v>
      </c>
      <c r="D84" s="116" t="s">
        <v>14</v>
      </c>
      <c r="E84" s="116">
        <v>20</v>
      </c>
      <c r="F84" s="117">
        <v>70650</v>
      </c>
      <c r="G84" s="279">
        <f t="shared" si="1"/>
        <v>1413000</v>
      </c>
      <c r="H84" s="117">
        <v>1130400</v>
      </c>
    </row>
    <row r="85" spans="2:8" ht="24" customHeight="1" x14ac:dyDescent="0.3">
      <c r="B85" s="340">
        <v>73</v>
      </c>
      <c r="C85" s="217" t="s">
        <v>493</v>
      </c>
      <c r="D85" s="116" t="s">
        <v>14</v>
      </c>
      <c r="E85" s="116">
        <v>30</v>
      </c>
      <c r="F85" s="117">
        <v>47100</v>
      </c>
      <c r="G85" s="279">
        <f>F85*E85</f>
        <v>1413000</v>
      </c>
      <c r="H85" s="117">
        <v>1130400</v>
      </c>
    </row>
    <row r="86" spans="2:8" ht="24" customHeight="1" x14ac:dyDescent="0.3">
      <c r="B86" s="340">
        <v>74</v>
      </c>
      <c r="C86" s="217" t="s">
        <v>467</v>
      </c>
      <c r="D86" s="116" t="s">
        <v>14</v>
      </c>
      <c r="E86" s="116">
        <v>45</v>
      </c>
      <c r="F86" s="117">
        <v>188400</v>
      </c>
      <c r="G86" s="279">
        <f t="shared" si="1"/>
        <v>8478000</v>
      </c>
      <c r="H86" s="117">
        <f>45*150720</f>
        <v>6782400</v>
      </c>
    </row>
    <row r="87" spans="2:8" ht="24" customHeight="1" x14ac:dyDescent="0.3">
      <c r="B87" s="340">
        <v>75</v>
      </c>
      <c r="C87" s="217" t="s">
        <v>502</v>
      </c>
      <c r="D87" s="116" t="s">
        <v>14</v>
      </c>
      <c r="E87" s="116">
        <v>6</v>
      </c>
      <c r="F87" s="117">
        <v>56520</v>
      </c>
      <c r="G87" s="279">
        <f t="shared" si="1"/>
        <v>339120</v>
      </c>
      <c r="H87" s="117">
        <v>271296</v>
      </c>
    </row>
    <row r="88" spans="2:8" ht="24" customHeight="1" x14ac:dyDescent="0.3">
      <c r="B88" s="340">
        <v>76</v>
      </c>
      <c r="C88" s="217" t="s">
        <v>502</v>
      </c>
      <c r="D88" s="116" t="s">
        <v>14</v>
      </c>
      <c r="E88" s="116">
        <v>4</v>
      </c>
      <c r="F88" s="117">
        <v>27789</v>
      </c>
      <c r="G88" s="279">
        <f t="shared" si="1"/>
        <v>111156</v>
      </c>
      <c r="H88" s="117">
        <v>88924</v>
      </c>
    </row>
    <row r="89" spans="2:8" ht="24" customHeight="1" x14ac:dyDescent="0.3">
      <c r="B89" s="340">
        <v>77</v>
      </c>
      <c r="C89" s="217" t="s">
        <v>502</v>
      </c>
      <c r="D89" s="116" t="s">
        <v>14</v>
      </c>
      <c r="E89" s="116">
        <v>2</v>
      </c>
      <c r="F89" s="117">
        <v>43175</v>
      </c>
      <c r="G89" s="279">
        <f t="shared" si="1"/>
        <v>86350</v>
      </c>
      <c r="H89" s="117">
        <v>69078</v>
      </c>
    </row>
    <row r="90" spans="2:8" ht="24" customHeight="1" x14ac:dyDescent="0.3">
      <c r="B90" s="340">
        <v>78</v>
      </c>
      <c r="C90" s="217" t="s">
        <v>503</v>
      </c>
      <c r="D90" s="116" t="s">
        <v>14</v>
      </c>
      <c r="E90" s="116">
        <v>4</v>
      </c>
      <c r="F90" s="117">
        <v>43175</v>
      </c>
      <c r="G90" s="279">
        <f t="shared" si="1"/>
        <v>172700</v>
      </c>
      <c r="H90" s="117">
        <v>138160</v>
      </c>
    </row>
    <row r="91" spans="2:8" ht="24" customHeight="1" x14ac:dyDescent="0.3">
      <c r="B91" s="340">
        <v>79</v>
      </c>
      <c r="C91" s="217" t="s">
        <v>504</v>
      </c>
      <c r="D91" s="116" t="s">
        <v>14</v>
      </c>
      <c r="E91" s="116">
        <v>1</v>
      </c>
      <c r="F91" s="117">
        <v>85000</v>
      </c>
      <c r="G91" s="279">
        <f t="shared" si="1"/>
        <v>85000</v>
      </c>
      <c r="H91" s="117">
        <v>0</v>
      </c>
    </row>
    <row r="92" spans="2:8" ht="24" customHeight="1" x14ac:dyDescent="0.3">
      <c r="B92" s="340">
        <v>80</v>
      </c>
      <c r="C92" s="217" t="s">
        <v>505</v>
      </c>
      <c r="D92" s="116" t="s">
        <v>14</v>
      </c>
      <c r="E92" s="116">
        <v>1</v>
      </c>
      <c r="F92" s="117">
        <v>12500</v>
      </c>
      <c r="G92" s="279">
        <f t="shared" si="1"/>
        <v>12500</v>
      </c>
      <c r="H92" s="117">
        <v>3500</v>
      </c>
    </row>
    <row r="93" spans="2:8" ht="24" customHeight="1" x14ac:dyDescent="0.3">
      <c r="B93" s="340">
        <v>81</v>
      </c>
      <c r="C93" s="217" t="s">
        <v>506</v>
      </c>
      <c r="D93" s="116" t="s">
        <v>14</v>
      </c>
      <c r="E93" s="116">
        <v>1</v>
      </c>
      <c r="F93" s="117">
        <v>57500</v>
      </c>
      <c r="G93" s="279">
        <f t="shared" si="1"/>
        <v>57500</v>
      </c>
      <c r="H93" s="117">
        <v>43700</v>
      </c>
    </row>
    <row r="94" spans="2:8" ht="24" customHeight="1" x14ac:dyDescent="0.3">
      <c r="B94" s="340">
        <v>82</v>
      </c>
      <c r="C94" s="217" t="s">
        <v>507</v>
      </c>
      <c r="D94" s="116" t="s">
        <v>14</v>
      </c>
      <c r="E94" s="116">
        <v>1</v>
      </c>
      <c r="F94" s="117">
        <v>46500</v>
      </c>
      <c r="G94" s="279">
        <f t="shared" si="1"/>
        <v>46500</v>
      </c>
      <c r="H94" s="117">
        <v>35340</v>
      </c>
    </row>
    <row r="95" spans="2:8" ht="35.25" customHeight="1" x14ac:dyDescent="0.3">
      <c r="B95" s="340">
        <v>83</v>
      </c>
      <c r="C95" s="217" t="s">
        <v>508</v>
      </c>
      <c r="D95" s="116" t="s">
        <v>14</v>
      </c>
      <c r="E95" s="116">
        <v>1</v>
      </c>
      <c r="F95" s="117">
        <v>25000</v>
      </c>
      <c r="G95" s="279">
        <f t="shared" si="1"/>
        <v>25000</v>
      </c>
      <c r="H95" s="117">
        <v>10000</v>
      </c>
    </row>
    <row r="96" spans="2:8" ht="27" customHeight="1" x14ac:dyDescent="0.3">
      <c r="B96" s="340">
        <v>84</v>
      </c>
      <c r="C96" s="217" t="s">
        <v>373</v>
      </c>
      <c r="D96" s="116" t="s">
        <v>14</v>
      </c>
      <c r="E96" s="116">
        <v>3</v>
      </c>
      <c r="F96" s="117">
        <v>1</v>
      </c>
      <c r="G96" s="279">
        <f t="shared" si="1"/>
        <v>3</v>
      </c>
      <c r="H96" s="117">
        <v>0</v>
      </c>
    </row>
    <row r="97" spans="2:8" ht="35.25" customHeight="1" x14ac:dyDescent="0.3">
      <c r="B97" s="340">
        <v>85</v>
      </c>
      <c r="C97" s="217" t="s">
        <v>509</v>
      </c>
      <c r="D97" s="116" t="s">
        <v>14</v>
      </c>
      <c r="E97" s="340">
        <v>2</v>
      </c>
      <c r="F97" s="117">
        <v>65000</v>
      </c>
      <c r="G97" s="279">
        <f t="shared" si="1"/>
        <v>130000</v>
      </c>
      <c r="H97" s="117">
        <v>85047.2</v>
      </c>
    </row>
    <row r="98" spans="2:8" ht="35.25" customHeight="1" x14ac:dyDescent="0.3">
      <c r="B98" s="340">
        <v>86</v>
      </c>
      <c r="C98" s="217" t="s">
        <v>510</v>
      </c>
      <c r="D98" s="116" t="s">
        <v>14</v>
      </c>
      <c r="E98" s="340">
        <v>1</v>
      </c>
      <c r="F98" s="117">
        <v>70000</v>
      </c>
      <c r="G98" s="279">
        <f t="shared" si="1"/>
        <v>70000</v>
      </c>
      <c r="H98" s="117">
        <v>70000</v>
      </c>
    </row>
    <row r="99" spans="2:8" ht="24" customHeight="1" x14ac:dyDescent="0.3">
      <c r="B99" s="340">
        <v>87</v>
      </c>
      <c r="C99" s="217" t="s">
        <v>511</v>
      </c>
      <c r="D99" s="116" t="s">
        <v>14</v>
      </c>
      <c r="E99" s="340">
        <v>1</v>
      </c>
      <c r="F99" s="117">
        <v>85000</v>
      </c>
      <c r="G99" s="279">
        <f t="shared" si="1"/>
        <v>85000</v>
      </c>
      <c r="H99" s="117">
        <v>55608</v>
      </c>
    </row>
    <row r="100" spans="2:8" ht="24" customHeight="1" x14ac:dyDescent="0.3">
      <c r="B100" s="340">
        <v>88</v>
      </c>
      <c r="C100" s="217" t="s">
        <v>512</v>
      </c>
      <c r="D100" s="116" t="s">
        <v>14</v>
      </c>
      <c r="E100" s="340">
        <v>2</v>
      </c>
      <c r="F100" s="117">
        <v>210000</v>
      </c>
      <c r="G100" s="279">
        <f t="shared" si="1"/>
        <v>420000</v>
      </c>
      <c r="H100" s="117">
        <v>274770</v>
      </c>
    </row>
    <row r="101" spans="2:8" ht="24" customHeight="1" x14ac:dyDescent="0.3">
      <c r="B101" s="340">
        <v>89</v>
      </c>
      <c r="C101" s="217" t="s">
        <v>513</v>
      </c>
      <c r="D101" s="116" t="s">
        <v>14</v>
      </c>
      <c r="E101" s="340">
        <v>14</v>
      </c>
      <c r="F101" s="117">
        <v>15000</v>
      </c>
      <c r="G101" s="279">
        <f t="shared" si="1"/>
        <v>210000</v>
      </c>
      <c r="H101" s="117">
        <v>137384.79999999999</v>
      </c>
    </row>
    <row r="102" spans="2:8" ht="24" customHeight="1" x14ac:dyDescent="0.3">
      <c r="B102" s="340">
        <v>90</v>
      </c>
      <c r="C102" s="217" t="s">
        <v>516</v>
      </c>
      <c r="D102" s="116" t="s">
        <v>14</v>
      </c>
      <c r="E102" s="340">
        <v>1</v>
      </c>
      <c r="F102" s="117">
        <v>100000</v>
      </c>
      <c r="G102" s="279">
        <f t="shared" si="1"/>
        <v>100000</v>
      </c>
      <c r="H102" s="117">
        <v>65421</v>
      </c>
    </row>
    <row r="103" spans="2:8" ht="24" customHeight="1" x14ac:dyDescent="0.3">
      <c r="B103" s="340">
        <v>91</v>
      </c>
      <c r="C103" s="217" t="s">
        <v>517</v>
      </c>
      <c r="D103" s="116" t="s">
        <v>14</v>
      </c>
      <c r="E103" s="340">
        <v>2</v>
      </c>
      <c r="F103" s="117">
        <v>173400</v>
      </c>
      <c r="G103" s="279">
        <f t="shared" si="1"/>
        <v>346800</v>
      </c>
      <c r="H103" s="117">
        <v>252817</v>
      </c>
    </row>
    <row r="104" spans="2:8" ht="33.75" customHeight="1" x14ac:dyDescent="0.3">
      <c r="B104" s="340">
        <v>92</v>
      </c>
      <c r="C104" s="217" t="s">
        <v>518</v>
      </c>
      <c r="D104" s="116" t="s">
        <v>14</v>
      </c>
      <c r="E104" s="340">
        <v>1</v>
      </c>
      <c r="F104" s="117">
        <v>244800</v>
      </c>
      <c r="G104" s="279">
        <f t="shared" si="1"/>
        <v>244800</v>
      </c>
      <c r="H104" s="117">
        <v>178459</v>
      </c>
    </row>
    <row r="105" spans="2:8" ht="33.75" customHeight="1" x14ac:dyDescent="0.3">
      <c r="B105" s="340">
        <v>93</v>
      </c>
      <c r="C105" s="217" t="s">
        <v>519</v>
      </c>
      <c r="D105" s="116" t="s">
        <v>14</v>
      </c>
      <c r="E105" s="340">
        <v>1</v>
      </c>
      <c r="F105" s="117">
        <v>75480</v>
      </c>
      <c r="G105" s="279">
        <f t="shared" ref="G105:G112" si="2">F105*E105</f>
        <v>75480</v>
      </c>
      <c r="H105" s="117">
        <v>55025</v>
      </c>
    </row>
    <row r="106" spans="2:8" ht="24" customHeight="1" x14ac:dyDescent="0.3">
      <c r="B106" s="340">
        <v>94</v>
      </c>
      <c r="C106" s="217" t="s">
        <v>520</v>
      </c>
      <c r="D106" s="116" t="s">
        <v>14</v>
      </c>
      <c r="E106" s="340">
        <v>1</v>
      </c>
      <c r="F106" s="117">
        <v>73440</v>
      </c>
      <c r="G106" s="279">
        <f t="shared" si="2"/>
        <v>73440</v>
      </c>
      <c r="H106" s="117">
        <v>53528</v>
      </c>
    </row>
    <row r="107" spans="2:8" ht="33" customHeight="1" x14ac:dyDescent="0.3">
      <c r="B107" s="340">
        <v>95</v>
      </c>
      <c r="C107" s="217" t="s">
        <v>521</v>
      </c>
      <c r="D107" s="116" t="s">
        <v>14</v>
      </c>
      <c r="E107" s="340">
        <v>1</v>
      </c>
      <c r="F107" s="117">
        <v>1866600</v>
      </c>
      <c r="G107" s="279">
        <f t="shared" si="2"/>
        <v>1866600</v>
      </c>
      <c r="H107" s="117">
        <v>1360751</v>
      </c>
    </row>
    <row r="108" spans="2:8" ht="33" customHeight="1" x14ac:dyDescent="0.3">
      <c r="B108" s="340">
        <v>96</v>
      </c>
      <c r="C108" s="217" t="s">
        <v>522</v>
      </c>
      <c r="D108" s="116" t="s">
        <v>14</v>
      </c>
      <c r="E108" s="340">
        <v>1</v>
      </c>
      <c r="F108" s="117">
        <v>55080</v>
      </c>
      <c r="G108" s="279">
        <f t="shared" si="2"/>
        <v>55080</v>
      </c>
      <c r="H108" s="117">
        <v>16058</v>
      </c>
    </row>
    <row r="109" spans="2:8" ht="33" customHeight="1" x14ac:dyDescent="0.3">
      <c r="B109" s="340">
        <v>97</v>
      </c>
      <c r="C109" s="217" t="s">
        <v>523</v>
      </c>
      <c r="D109" s="116" t="s">
        <v>14</v>
      </c>
      <c r="E109" s="340">
        <v>1</v>
      </c>
      <c r="F109" s="117">
        <v>1112820</v>
      </c>
      <c r="G109" s="279">
        <f t="shared" si="2"/>
        <v>1112820</v>
      </c>
      <c r="H109" s="117">
        <v>324443</v>
      </c>
    </row>
    <row r="110" spans="2:8" ht="33" customHeight="1" x14ac:dyDescent="0.3">
      <c r="B110" s="340">
        <v>98</v>
      </c>
      <c r="C110" s="217" t="s">
        <v>524</v>
      </c>
      <c r="D110" s="116" t="s">
        <v>14</v>
      </c>
      <c r="E110" s="340">
        <v>1</v>
      </c>
      <c r="F110" s="117">
        <v>262140</v>
      </c>
      <c r="G110" s="279">
        <f t="shared" si="2"/>
        <v>262140</v>
      </c>
      <c r="H110" s="117">
        <v>76726.899999999994</v>
      </c>
    </row>
    <row r="111" spans="2:8" ht="33" customHeight="1" x14ac:dyDescent="0.3">
      <c r="B111" s="340">
        <v>99</v>
      </c>
      <c r="C111" s="217" t="s">
        <v>524</v>
      </c>
      <c r="D111" s="116" t="s">
        <v>14</v>
      </c>
      <c r="E111" s="340">
        <v>1</v>
      </c>
      <c r="F111" s="117">
        <v>262140</v>
      </c>
      <c r="G111" s="279">
        <f t="shared" si="2"/>
        <v>262140</v>
      </c>
      <c r="H111" s="117">
        <f>76426.9-299.95</f>
        <v>76126.95</v>
      </c>
    </row>
    <row r="112" spans="2:8" ht="24" customHeight="1" x14ac:dyDescent="0.3">
      <c r="B112" s="340">
        <v>100</v>
      </c>
      <c r="C112" s="217" t="s">
        <v>525</v>
      </c>
      <c r="D112" s="116" t="s">
        <v>14</v>
      </c>
      <c r="E112" s="340">
        <v>2</v>
      </c>
      <c r="F112" s="117">
        <v>49980</v>
      </c>
      <c r="G112" s="279">
        <f t="shared" si="2"/>
        <v>99960</v>
      </c>
      <c r="H112" s="117">
        <f>29143.38-0.18</f>
        <v>29143.200000000001</v>
      </c>
    </row>
    <row r="113" spans="2:8" ht="24" customHeight="1" x14ac:dyDescent="0.3">
      <c r="B113" s="93"/>
      <c r="C113" s="94" t="s">
        <v>39</v>
      </c>
      <c r="D113" s="93"/>
      <c r="E113" s="299">
        <f>SUM(E13:E112)</f>
        <v>945</v>
      </c>
      <c r="F113" s="284"/>
      <c r="G113" s="284">
        <f>SUM(G13:G112)</f>
        <v>49617028</v>
      </c>
      <c r="H113" s="284">
        <f>SUM(H13:H112)</f>
        <v>21633786.049999997</v>
      </c>
    </row>
    <row r="114" spans="2:8" ht="24" customHeight="1" thickBot="1" x14ac:dyDescent="0.35">
      <c r="B114" s="206"/>
      <c r="C114" s="472" t="s">
        <v>443</v>
      </c>
      <c r="D114" s="473"/>
      <c r="E114" s="473"/>
      <c r="F114" s="473"/>
      <c r="G114" s="473"/>
      <c r="H114" s="474"/>
    </row>
    <row r="115" spans="2:8" ht="24" customHeight="1" x14ac:dyDescent="0.3">
      <c r="B115" s="340">
        <v>1</v>
      </c>
      <c r="C115" s="111" t="s">
        <v>529</v>
      </c>
      <c r="D115" s="340" t="s">
        <v>14</v>
      </c>
      <c r="E115" s="14">
        <v>20</v>
      </c>
      <c r="F115" s="279">
        <v>212</v>
      </c>
      <c r="G115" s="279">
        <f>F115*E115</f>
        <v>4240</v>
      </c>
      <c r="H115" s="279">
        <v>0</v>
      </c>
    </row>
    <row r="116" spans="2:8" ht="24" customHeight="1" x14ac:dyDescent="0.3">
      <c r="B116" s="340">
        <v>2</v>
      </c>
      <c r="C116" s="112" t="s">
        <v>530</v>
      </c>
      <c r="D116" s="340" t="s">
        <v>14</v>
      </c>
      <c r="E116" s="14">
        <v>100</v>
      </c>
      <c r="F116" s="279">
        <v>1</v>
      </c>
      <c r="G116" s="279">
        <f t="shared" ref="G116:G136" si="3">F116*E116</f>
        <v>100</v>
      </c>
      <c r="H116" s="279">
        <v>0</v>
      </c>
    </row>
    <row r="117" spans="2:8" ht="24" customHeight="1" x14ac:dyDescent="0.3">
      <c r="B117" s="340">
        <v>3</v>
      </c>
      <c r="C117" s="112" t="s">
        <v>531</v>
      </c>
      <c r="D117" s="340" t="s">
        <v>14</v>
      </c>
      <c r="E117" s="14">
        <v>6</v>
      </c>
      <c r="F117" s="279">
        <v>1000</v>
      </c>
      <c r="G117" s="279">
        <f t="shared" si="3"/>
        <v>6000</v>
      </c>
      <c r="H117" s="279">
        <v>0</v>
      </c>
    </row>
    <row r="118" spans="2:8" ht="24" customHeight="1" x14ac:dyDescent="0.3">
      <c r="B118" s="340">
        <v>4</v>
      </c>
      <c r="C118" s="112" t="s">
        <v>532</v>
      </c>
      <c r="D118" s="340" t="s">
        <v>14</v>
      </c>
      <c r="E118" s="14">
        <v>6</v>
      </c>
      <c r="F118" s="279">
        <v>1000</v>
      </c>
      <c r="G118" s="279">
        <f t="shared" si="3"/>
        <v>6000</v>
      </c>
      <c r="H118" s="279">
        <v>0</v>
      </c>
    </row>
    <row r="119" spans="2:8" ht="24" customHeight="1" x14ac:dyDescent="0.3">
      <c r="B119" s="340">
        <v>5</v>
      </c>
      <c r="C119" s="112" t="s">
        <v>534</v>
      </c>
      <c r="D119" s="340" t="s">
        <v>14</v>
      </c>
      <c r="E119" s="14">
        <v>1</v>
      </c>
      <c r="F119" s="279">
        <v>18000</v>
      </c>
      <c r="G119" s="279">
        <f t="shared" si="3"/>
        <v>18000</v>
      </c>
      <c r="H119" s="279">
        <v>0</v>
      </c>
    </row>
    <row r="120" spans="2:8" ht="24" customHeight="1" x14ac:dyDescent="0.3">
      <c r="B120" s="340">
        <v>6</v>
      </c>
      <c r="C120" s="112" t="s">
        <v>534</v>
      </c>
      <c r="D120" s="340" t="s">
        <v>14</v>
      </c>
      <c r="E120" s="14">
        <v>1</v>
      </c>
      <c r="F120" s="279">
        <v>16000</v>
      </c>
      <c r="G120" s="279">
        <f t="shared" si="3"/>
        <v>16000</v>
      </c>
      <c r="H120" s="279">
        <v>0</v>
      </c>
    </row>
    <row r="121" spans="2:8" ht="24" customHeight="1" x14ac:dyDescent="0.3">
      <c r="B121" s="340">
        <v>7</v>
      </c>
      <c r="C121" s="112" t="s">
        <v>534</v>
      </c>
      <c r="D121" s="340" t="s">
        <v>14</v>
      </c>
      <c r="E121" s="14">
        <v>1</v>
      </c>
      <c r="F121" s="279">
        <v>23000</v>
      </c>
      <c r="G121" s="279">
        <f t="shared" si="3"/>
        <v>23000</v>
      </c>
      <c r="H121" s="279">
        <v>0</v>
      </c>
    </row>
    <row r="122" spans="2:8" ht="24" customHeight="1" x14ac:dyDescent="0.3">
      <c r="B122" s="340">
        <v>8</v>
      </c>
      <c r="C122" s="114" t="s">
        <v>537</v>
      </c>
      <c r="D122" s="340" t="s">
        <v>14</v>
      </c>
      <c r="E122" s="309">
        <v>1</v>
      </c>
      <c r="F122" s="279">
        <v>17678</v>
      </c>
      <c r="G122" s="279">
        <f t="shared" si="3"/>
        <v>17678</v>
      </c>
      <c r="H122" s="279">
        <v>0</v>
      </c>
    </row>
    <row r="123" spans="2:8" ht="24" customHeight="1" x14ac:dyDescent="0.3">
      <c r="B123" s="340">
        <v>9</v>
      </c>
      <c r="C123" s="114" t="s">
        <v>419</v>
      </c>
      <c r="D123" s="340" t="s">
        <v>14</v>
      </c>
      <c r="E123" s="309">
        <v>1</v>
      </c>
      <c r="F123" s="279">
        <v>4000</v>
      </c>
      <c r="G123" s="279">
        <f t="shared" si="3"/>
        <v>4000</v>
      </c>
      <c r="H123" s="279">
        <v>0</v>
      </c>
    </row>
    <row r="124" spans="2:8" ht="24" customHeight="1" x14ac:dyDescent="0.3">
      <c r="B124" s="340">
        <v>10</v>
      </c>
      <c r="C124" s="114" t="s">
        <v>538</v>
      </c>
      <c r="D124" s="340" t="s">
        <v>14</v>
      </c>
      <c r="E124" s="309">
        <v>1</v>
      </c>
      <c r="F124" s="279">
        <v>20000</v>
      </c>
      <c r="G124" s="279">
        <f t="shared" si="3"/>
        <v>20000</v>
      </c>
      <c r="H124" s="279">
        <v>0</v>
      </c>
    </row>
    <row r="125" spans="2:8" ht="24" customHeight="1" x14ac:dyDescent="0.3">
      <c r="B125" s="340">
        <v>11</v>
      </c>
      <c r="C125" s="114" t="s">
        <v>311</v>
      </c>
      <c r="D125" s="340" t="s">
        <v>14</v>
      </c>
      <c r="E125" s="309">
        <v>1</v>
      </c>
      <c r="F125" s="279">
        <v>18000</v>
      </c>
      <c r="G125" s="279">
        <f t="shared" si="3"/>
        <v>18000</v>
      </c>
      <c r="H125" s="279">
        <v>0</v>
      </c>
    </row>
    <row r="126" spans="2:8" ht="24" customHeight="1" x14ac:dyDescent="0.3">
      <c r="B126" s="340">
        <v>12</v>
      </c>
      <c r="C126" s="114" t="s">
        <v>419</v>
      </c>
      <c r="D126" s="340" t="s">
        <v>14</v>
      </c>
      <c r="E126" s="309">
        <v>1</v>
      </c>
      <c r="F126" s="279">
        <v>19250</v>
      </c>
      <c r="G126" s="279">
        <f t="shared" si="3"/>
        <v>19250</v>
      </c>
      <c r="H126" s="279">
        <v>0</v>
      </c>
    </row>
    <row r="127" spans="2:8" ht="24" customHeight="1" x14ac:dyDescent="0.3">
      <c r="B127" s="340">
        <v>13</v>
      </c>
      <c r="C127" s="114" t="s">
        <v>540</v>
      </c>
      <c r="D127" s="340" t="s">
        <v>14</v>
      </c>
      <c r="E127" s="309">
        <v>3</v>
      </c>
      <c r="F127" s="279">
        <v>5000</v>
      </c>
      <c r="G127" s="279">
        <f t="shared" si="3"/>
        <v>15000</v>
      </c>
      <c r="H127" s="279">
        <v>0</v>
      </c>
    </row>
    <row r="128" spans="2:8" ht="24" customHeight="1" x14ac:dyDescent="0.3">
      <c r="B128" s="340">
        <v>14</v>
      </c>
      <c r="C128" s="115" t="s">
        <v>1168</v>
      </c>
      <c r="D128" s="340" t="s">
        <v>14</v>
      </c>
      <c r="E128" s="309">
        <v>2</v>
      </c>
      <c r="F128" s="279">
        <v>1000</v>
      </c>
      <c r="G128" s="279">
        <f t="shared" si="3"/>
        <v>2000</v>
      </c>
      <c r="H128" s="279">
        <v>0</v>
      </c>
    </row>
    <row r="129" spans="2:8" ht="49.5" x14ac:dyDescent="0.3">
      <c r="B129" s="340">
        <v>15</v>
      </c>
      <c r="C129" s="278" t="s">
        <v>542</v>
      </c>
      <c r="D129" s="290" t="s">
        <v>14</v>
      </c>
      <c r="E129" s="291">
        <v>1210</v>
      </c>
      <c r="F129" s="279">
        <v>100</v>
      </c>
      <c r="G129" s="204">
        <f t="shared" si="3"/>
        <v>121000</v>
      </c>
      <c r="H129" s="279">
        <v>0</v>
      </c>
    </row>
    <row r="130" spans="2:8" ht="26.25" customHeight="1" x14ac:dyDescent="0.3">
      <c r="B130" s="340">
        <v>16</v>
      </c>
      <c r="C130" s="115" t="s">
        <v>545</v>
      </c>
      <c r="D130" s="340" t="s">
        <v>14</v>
      </c>
      <c r="E130" s="309">
        <v>2</v>
      </c>
      <c r="F130" s="279">
        <v>21000</v>
      </c>
      <c r="G130" s="279">
        <f t="shared" si="3"/>
        <v>42000</v>
      </c>
      <c r="H130" s="279">
        <v>0</v>
      </c>
    </row>
    <row r="131" spans="2:8" ht="26.25" customHeight="1" x14ac:dyDescent="0.3">
      <c r="B131" s="340">
        <v>17</v>
      </c>
      <c r="C131" s="115" t="s">
        <v>547</v>
      </c>
      <c r="D131" s="340" t="s">
        <v>14</v>
      </c>
      <c r="E131" s="309">
        <v>1</v>
      </c>
      <c r="F131" s="279">
        <v>20000</v>
      </c>
      <c r="G131" s="279">
        <f t="shared" si="3"/>
        <v>20000</v>
      </c>
      <c r="H131" s="279">
        <v>0</v>
      </c>
    </row>
    <row r="132" spans="2:8" ht="26.25" customHeight="1" x14ac:dyDescent="0.3">
      <c r="B132" s="340">
        <v>18</v>
      </c>
      <c r="C132" s="115" t="s">
        <v>325</v>
      </c>
      <c r="D132" s="340" t="s">
        <v>14</v>
      </c>
      <c r="E132" s="309">
        <v>6</v>
      </c>
      <c r="F132" s="279">
        <v>4500</v>
      </c>
      <c r="G132" s="279">
        <f t="shared" si="3"/>
        <v>27000</v>
      </c>
      <c r="H132" s="279">
        <v>0</v>
      </c>
    </row>
    <row r="133" spans="2:8" ht="33" x14ac:dyDescent="0.3">
      <c r="B133" s="340">
        <v>19</v>
      </c>
      <c r="C133" s="115" t="s">
        <v>530</v>
      </c>
      <c r="D133" s="340" t="s">
        <v>14</v>
      </c>
      <c r="E133" s="309">
        <v>300</v>
      </c>
      <c r="F133" s="279">
        <v>1</v>
      </c>
      <c r="G133" s="279">
        <f t="shared" si="3"/>
        <v>300</v>
      </c>
      <c r="H133" s="279">
        <v>0</v>
      </c>
    </row>
    <row r="134" spans="2:8" ht="26.25" customHeight="1" x14ac:dyDescent="0.3">
      <c r="B134" s="340">
        <v>20</v>
      </c>
      <c r="C134" s="115" t="s">
        <v>549</v>
      </c>
      <c r="D134" s="340" t="s">
        <v>14</v>
      </c>
      <c r="E134" s="309">
        <v>1</v>
      </c>
      <c r="F134" s="279">
        <v>25300</v>
      </c>
      <c r="G134" s="279">
        <f t="shared" si="3"/>
        <v>25300</v>
      </c>
      <c r="H134" s="279">
        <v>0</v>
      </c>
    </row>
    <row r="135" spans="2:8" ht="26.25" customHeight="1" x14ac:dyDescent="0.3">
      <c r="B135" s="340">
        <v>21</v>
      </c>
      <c r="C135" s="115" t="s">
        <v>869</v>
      </c>
      <c r="D135" s="340" t="s">
        <v>14</v>
      </c>
      <c r="E135" s="309">
        <v>1</v>
      </c>
      <c r="F135" s="279">
        <v>25000</v>
      </c>
      <c r="G135" s="279">
        <f t="shared" si="3"/>
        <v>25000</v>
      </c>
      <c r="H135" s="279">
        <v>0</v>
      </c>
    </row>
    <row r="136" spans="2:8" ht="38.25" customHeight="1" x14ac:dyDescent="0.3">
      <c r="B136" s="340">
        <v>22</v>
      </c>
      <c r="C136" s="115" t="s">
        <v>550</v>
      </c>
      <c r="D136" s="340" t="s">
        <v>14</v>
      </c>
      <c r="E136" s="283">
        <v>1</v>
      </c>
      <c r="F136" s="279">
        <v>20000</v>
      </c>
      <c r="G136" s="279">
        <f t="shared" si="3"/>
        <v>20000</v>
      </c>
      <c r="H136" s="279">
        <v>0</v>
      </c>
    </row>
    <row r="137" spans="2:8" ht="26.25" customHeight="1" x14ac:dyDescent="0.3">
      <c r="B137" s="92"/>
      <c r="C137" s="208" t="s">
        <v>39</v>
      </c>
      <c r="D137" s="168"/>
      <c r="E137" s="299">
        <f>SUM(E115:E136)</f>
        <v>1667</v>
      </c>
      <c r="F137" s="284"/>
      <c r="G137" s="284">
        <f>SUM(G115:G136)</f>
        <v>449868</v>
      </c>
      <c r="H137" s="284">
        <f>SUM(H115:H136)</f>
        <v>0</v>
      </c>
    </row>
    <row r="138" spans="2:8" ht="30.75" customHeight="1" x14ac:dyDescent="0.3">
      <c r="B138" s="168"/>
      <c r="C138" s="208" t="s">
        <v>552</v>
      </c>
      <c r="D138" s="168"/>
      <c r="E138" s="299">
        <f>E137+E113</f>
        <v>2612</v>
      </c>
      <c r="F138" s="348"/>
      <c r="G138" s="284">
        <f>G137+G113</f>
        <v>50066896</v>
      </c>
      <c r="H138" s="284">
        <f>H137+H113</f>
        <v>21633786.049999997</v>
      </c>
    </row>
  </sheetData>
  <mergeCells count="11">
    <mergeCell ref="B11:H11"/>
    <mergeCell ref="C12:H12"/>
    <mergeCell ref="C114:H114"/>
    <mergeCell ref="G1:H1"/>
    <mergeCell ref="E2:H2"/>
    <mergeCell ref="E3:H3"/>
    <mergeCell ref="B5:H5"/>
    <mergeCell ref="B6:H6"/>
    <mergeCell ref="C8:C9"/>
    <mergeCell ref="D8:D9"/>
    <mergeCell ref="E8:E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86"/>
  <sheetViews>
    <sheetView workbookViewId="0">
      <selection activeCell="F167" sqref="F167"/>
    </sheetView>
  </sheetViews>
  <sheetFormatPr defaultRowHeight="16.5" x14ac:dyDescent="0.3"/>
  <cols>
    <col min="1" max="1" width="5.140625" style="226" customWidth="1"/>
    <col min="2" max="2" width="35.140625" style="226" customWidth="1"/>
    <col min="3" max="3" width="6.5703125" style="226" customWidth="1"/>
    <col min="4" max="4" width="9.28515625" style="226" customWidth="1"/>
    <col min="5" max="5" width="16.140625" style="226" customWidth="1"/>
    <col min="6" max="6" width="18.28515625" style="399" customWidth="1"/>
    <col min="7" max="7" width="17.7109375" style="226" customWidth="1"/>
    <col min="8" max="16384" width="9.140625" style="226"/>
  </cols>
  <sheetData>
    <row r="1" spans="1:7" x14ac:dyDescent="0.3">
      <c r="D1" s="341"/>
      <c r="E1" s="341"/>
      <c r="F1" s="485" t="s">
        <v>73</v>
      </c>
      <c r="G1" s="485"/>
    </row>
    <row r="2" spans="1:7" x14ac:dyDescent="0.3">
      <c r="D2" s="465" t="s">
        <v>1</v>
      </c>
      <c r="E2" s="465"/>
      <c r="F2" s="465"/>
      <c r="G2" s="465"/>
    </row>
    <row r="3" spans="1:7" x14ac:dyDescent="0.3">
      <c r="D3" s="465" t="s">
        <v>2</v>
      </c>
      <c r="E3" s="465"/>
      <c r="F3" s="465"/>
      <c r="G3" s="465"/>
    </row>
    <row r="5" spans="1:7" x14ac:dyDescent="0.3">
      <c r="A5" s="489" t="s">
        <v>3</v>
      </c>
      <c r="B5" s="489"/>
      <c r="C5" s="489"/>
      <c r="D5" s="489"/>
      <c r="E5" s="489"/>
      <c r="F5" s="489"/>
      <c r="G5" s="489"/>
    </row>
    <row r="6" spans="1:7" ht="162.75" customHeight="1" x14ac:dyDescent="0.3">
      <c r="A6" s="490" t="s">
        <v>1242</v>
      </c>
      <c r="B6" s="490"/>
      <c r="C6" s="490"/>
      <c r="D6" s="490"/>
      <c r="E6" s="490"/>
      <c r="F6" s="490"/>
      <c r="G6" s="490"/>
    </row>
    <row r="7" spans="1:7" x14ac:dyDescent="0.3">
      <c r="D7" s="268"/>
      <c r="E7" s="268"/>
      <c r="F7" s="369"/>
    </row>
    <row r="8" spans="1:7" ht="49.5" customHeight="1" x14ac:dyDescent="0.3">
      <c r="A8" s="342" t="s">
        <v>4</v>
      </c>
      <c r="B8" s="481" t="s">
        <v>5</v>
      </c>
      <c r="C8" s="481" t="s">
        <v>6</v>
      </c>
      <c r="D8" s="483" t="s">
        <v>7</v>
      </c>
      <c r="E8" s="344" t="s">
        <v>1228</v>
      </c>
      <c r="F8" s="370" t="s">
        <v>9</v>
      </c>
      <c r="G8" s="344" t="s">
        <v>10</v>
      </c>
    </row>
    <row r="9" spans="1:7" ht="23.25" customHeight="1" x14ac:dyDescent="0.3">
      <c r="A9" s="343" t="s">
        <v>11</v>
      </c>
      <c r="B9" s="482"/>
      <c r="C9" s="482"/>
      <c r="D9" s="484"/>
      <c r="E9" s="370" t="s">
        <v>12</v>
      </c>
      <c r="F9" s="370" t="s">
        <v>12</v>
      </c>
      <c r="G9" s="84" t="s">
        <v>12</v>
      </c>
    </row>
    <row r="10" spans="1:7" ht="25.5" customHeight="1" x14ac:dyDescent="0.3">
      <c r="A10" s="84">
        <v>1</v>
      </c>
      <c r="B10" s="84">
        <v>2</v>
      </c>
      <c r="C10" s="84">
        <v>3</v>
      </c>
      <c r="D10" s="84">
        <v>4</v>
      </c>
      <c r="E10" s="84">
        <v>5</v>
      </c>
      <c r="F10" s="372">
        <v>6</v>
      </c>
      <c r="G10" s="84">
        <v>7</v>
      </c>
    </row>
    <row r="11" spans="1:7" s="176" customFormat="1" ht="42.75" customHeight="1" x14ac:dyDescent="0.25">
      <c r="A11" s="469" t="s">
        <v>1241</v>
      </c>
      <c r="B11" s="470"/>
      <c r="C11" s="470"/>
      <c r="D11" s="470"/>
      <c r="E11" s="470"/>
      <c r="F11" s="470"/>
      <c r="G11" s="471"/>
    </row>
    <row r="12" spans="1:7" s="176" customFormat="1" ht="21" customHeight="1" x14ac:dyDescent="0.25">
      <c r="A12" s="346"/>
      <c r="B12" s="470" t="s">
        <v>131</v>
      </c>
      <c r="C12" s="470"/>
      <c r="D12" s="470"/>
      <c r="E12" s="470"/>
      <c r="F12" s="470"/>
      <c r="G12" s="471"/>
    </row>
    <row r="13" spans="1:7" s="176" customFormat="1" ht="24" customHeight="1" x14ac:dyDescent="0.25">
      <c r="A13" s="345">
        <v>1</v>
      </c>
      <c r="B13" s="350" t="s">
        <v>165</v>
      </c>
      <c r="C13" s="345" t="s">
        <v>14</v>
      </c>
      <c r="D13" s="14">
        <v>1</v>
      </c>
      <c r="E13" s="279">
        <v>43500</v>
      </c>
      <c r="F13" s="279">
        <f t="shared" ref="F13:F49" si="0">D13*E13</f>
        <v>43500</v>
      </c>
      <c r="G13" s="280">
        <v>0</v>
      </c>
    </row>
    <row r="14" spans="1:7" s="176" customFormat="1" ht="24" customHeight="1" x14ac:dyDescent="0.25">
      <c r="A14" s="345">
        <v>2</v>
      </c>
      <c r="B14" s="350" t="s">
        <v>166</v>
      </c>
      <c r="C14" s="345" t="s">
        <v>14</v>
      </c>
      <c r="D14" s="14">
        <v>1</v>
      </c>
      <c r="E14" s="279">
        <v>14500</v>
      </c>
      <c r="F14" s="279">
        <f t="shared" si="0"/>
        <v>14500</v>
      </c>
      <c r="G14" s="280">
        <v>0</v>
      </c>
    </row>
    <row r="15" spans="1:7" s="176" customFormat="1" ht="24" customHeight="1" x14ac:dyDescent="0.25">
      <c r="A15" s="345">
        <v>3</v>
      </c>
      <c r="B15" s="350" t="s">
        <v>167</v>
      </c>
      <c r="C15" s="345" t="s">
        <v>14</v>
      </c>
      <c r="D15" s="14">
        <v>2</v>
      </c>
      <c r="E15" s="279">
        <v>36750</v>
      </c>
      <c r="F15" s="279">
        <f t="shared" si="0"/>
        <v>73500</v>
      </c>
      <c r="G15" s="280">
        <v>0</v>
      </c>
    </row>
    <row r="16" spans="1:7" s="176" customFormat="1" ht="24" customHeight="1" x14ac:dyDescent="0.25">
      <c r="A16" s="345">
        <v>4</v>
      </c>
      <c r="B16" s="350" t="s">
        <v>168</v>
      </c>
      <c r="C16" s="345" t="s">
        <v>14</v>
      </c>
      <c r="D16" s="14">
        <v>1</v>
      </c>
      <c r="E16" s="279">
        <v>15000</v>
      </c>
      <c r="F16" s="279">
        <f t="shared" si="0"/>
        <v>15000</v>
      </c>
      <c r="G16" s="280">
        <v>0</v>
      </c>
    </row>
    <row r="17" spans="1:7" s="374" customFormat="1" ht="24" customHeight="1" x14ac:dyDescent="0.25">
      <c r="A17" s="345">
        <v>5</v>
      </c>
      <c r="B17" s="350" t="s">
        <v>169</v>
      </c>
      <c r="C17" s="345" t="s">
        <v>14</v>
      </c>
      <c r="D17" s="14">
        <v>1</v>
      </c>
      <c r="E17" s="279">
        <v>18000</v>
      </c>
      <c r="F17" s="279">
        <f t="shared" si="0"/>
        <v>18000</v>
      </c>
      <c r="G17" s="280">
        <v>0</v>
      </c>
    </row>
    <row r="18" spans="1:7" s="176" customFormat="1" ht="24" customHeight="1" x14ac:dyDescent="0.25">
      <c r="A18" s="345">
        <v>6</v>
      </c>
      <c r="B18" s="350" t="s">
        <v>170</v>
      </c>
      <c r="C18" s="345" t="s">
        <v>14</v>
      </c>
      <c r="D18" s="14">
        <v>1</v>
      </c>
      <c r="E18" s="279">
        <v>13675</v>
      </c>
      <c r="F18" s="279">
        <f t="shared" si="0"/>
        <v>13675</v>
      </c>
      <c r="G18" s="280">
        <v>0</v>
      </c>
    </row>
    <row r="19" spans="1:7" s="176" customFormat="1" ht="24" customHeight="1" x14ac:dyDescent="0.25">
      <c r="A19" s="345">
        <v>7</v>
      </c>
      <c r="B19" s="350" t="s">
        <v>171</v>
      </c>
      <c r="C19" s="345" t="s">
        <v>14</v>
      </c>
      <c r="D19" s="14">
        <v>1</v>
      </c>
      <c r="E19" s="279">
        <v>15000</v>
      </c>
      <c r="F19" s="279">
        <f t="shared" si="0"/>
        <v>15000</v>
      </c>
      <c r="G19" s="280">
        <v>0</v>
      </c>
    </row>
    <row r="20" spans="1:7" s="176" customFormat="1" ht="24" customHeight="1" x14ac:dyDescent="0.25">
      <c r="A20" s="345">
        <v>8</v>
      </c>
      <c r="B20" s="350" t="s">
        <v>172</v>
      </c>
      <c r="C20" s="345" t="s">
        <v>14</v>
      </c>
      <c r="D20" s="14">
        <v>1</v>
      </c>
      <c r="E20" s="279">
        <v>15000</v>
      </c>
      <c r="F20" s="279">
        <f t="shared" si="0"/>
        <v>15000</v>
      </c>
      <c r="G20" s="280">
        <v>0</v>
      </c>
    </row>
    <row r="21" spans="1:7" s="176" customFormat="1" ht="24" customHeight="1" x14ac:dyDescent="0.25">
      <c r="A21" s="345">
        <v>9</v>
      </c>
      <c r="B21" s="350" t="s">
        <v>164</v>
      </c>
      <c r="C21" s="345" t="s">
        <v>14</v>
      </c>
      <c r="D21" s="14">
        <v>2</v>
      </c>
      <c r="E21" s="279">
        <v>24000</v>
      </c>
      <c r="F21" s="279">
        <f t="shared" si="0"/>
        <v>48000</v>
      </c>
      <c r="G21" s="280">
        <v>0</v>
      </c>
    </row>
    <row r="22" spans="1:7" s="176" customFormat="1" ht="24" customHeight="1" x14ac:dyDescent="0.25">
      <c r="A22" s="345">
        <v>10</v>
      </c>
      <c r="B22" s="350" t="s">
        <v>173</v>
      </c>
      <c r="C22" s="345" t="s">
        <v>14</v>
      </c>
      <c r="D22" s="14">
        <v>1</v>
      </c>
      <c r="E22" s="279">
        <v>5819</v>
      </c>
      <c r="F22" s="279">
        <f t="shared" si="0"/>
        <v>5819</v>
      </c>
      <c r="G22" s="280">
        <v>0</v>
      </c>
    </row>
    <row r="23" spans="1:7" s="176" customFormat="1" ht="24" customHeight="1" x14ac:dyDescent="0.25">
      <c r="A23" s="345">
        <v>11</v>
      </c>
      <c r="B23" s="350" t="s">
        <v>175</v>
      </c>
      <c r="C23" s="345" t="s">
        <v>14</v>
      </c>
      <c r="D23" s="14">
        <v>6</v>
      </c>
      <c r="E23" s="279">
        <v>11000</v>
      </c>
      <c r="F23" s="279">
        <f t="shared" si="0"/>
        <v>66000</v>
      </c>
      <c r="G23" s="280">
        <v>0</v>
      </c>
    </row>
    <row r="24" spans="1:7" s="176" customFormat="1" ht="24" customHeight="1" x14ac:dyDescent="0.25">
      <c r="A24" s="345">
        <v>12</v>
      </c>
      <c r="B24" s="350" t="s">
        <v>177</v>
      </c>
      <c r="C24" s="345" t="s">
        <v>14</v>
      </c>
      <c r="D24" s="14">
        <v>1</v>
      </c>
      <c r="E24" s="279">
        <v>8438</v>
      </c>
      <c r="F24" s="279">
        <f t="shared" si="0"/>
        <v>8438</v>
      </c>
      <c r="G24" s="280">
        <v>0</v>
      </c>
    </row>
    <row r="25" spans="1:7" s="176" customFormat="1" ht="24" customHeight="1" x14ac:dyDescent="0.25">
      <c r="A25" s="345">
        <v>13</v>
      </c>
      <c r="B25" s="350" t="s">
        <v>178</v>
      </c>
      <c r="C25" s="345" t="s">
        <v>14</v>
      </c>
      <c r="D25" s="14">
        <v>1</v>
      </c>
      <c r="E25" s="279">
        <v>10765</v>
      </c>
      <c r="F25" s="279">
        <f t="shared" si="0"/>
        <v>10765</v>
      </c>
      <c r="G25" s="280">
        <v>0</v>
      </c>
    </row>
    <row r="26" spans="1:7" s="176" customFormat="1" ht="24" customHeight="1" x14ac:dyDescent="0.25">
      <c r="A26" s="345">
        <v>14</v>
      </c>
      <c r="B26" s="350" t="s">
        <v>179</v>
      </c>
      <c r="C26" s="345" t="s">
        <v>14</v>
      </c>
      <c r="D26" s="14">
        <v>2</v>
      </c>
      <c r="E26" s="279">
        <v>47425</v>
      </c>
      <c r="F26" s="279">
        <f t="shared" si="0"/>
        <v>94850</v>
      </c>
      <c r="G26" s="280">
        <v>0</v>
      </c>
    </row>
    <row r="27" spans="1:7" s="176" customFormat="1" ht="24" customHeight="1" x14ac:dyDescent="0.25">
      <c r="A27" s="345">
        <v>15</v>
      </c>
      <c r="B27" s="350" t="s">
        <v>180</v>
      </c>
      <c r="C27" s="345" t="s">
        <v>14</v>
      </c>
      <c r="D27" s="14">
        <v>1</v>
      </c>
      <c r="E27" s="279">
        <v>30000</v>
      </c>
      <c r="F27" s="279">
        <f t="shared" si="0"/>
        <v>30000</v>
      </c>
      <c r="G27" s="280">
        <v>0</v>
      </c>
    </row>
    <row r="28" spans="1:7" s="176" customFormat="1" ht="24" customHeight="1" x14ac:dyDescent="0.25">
      <c r="A28" s="345">
        <v>16</v>
      </c>
      <c r="B28" s="350" t="s">
        <v>181</v>
      </c>
      <c r="C28" s="345" t="s">
        <v>14</v>
      </c>
      <c r="D28" s="14">
        <v>1</v>
      </c>
      <c r="E28" s="279">
        <v>39940</v>
      </c>
      <c r="F28" s="279">
        <f t="shared" si="0"/>
        <v>39940</v>
      </c>
      <c r="G28" s="280">
        <v>0</v>
      </c>
    </row>
    <row r="29" spans="1:7" s="176" customFormat="1" ht="24" customHeight="1" x14ac:dyDescent="0.25">
      <c r="A29" s="345">
        <v>17</v>
      </c>
      <c r="B29" s="350" t="s">
        <v>182</v>
      </c>
      <c r="C29" s="345" t="s">
        <v>14</v>
      </c>
      <c r="D29" s="14">
        <v>1</v>
      </c>
      <c r="E29" s="279">
        <v>10000</v>
      </c>
      <c r="F29" s="279">
        <f t="shared" si="0"/>
        <v>10000</v>
      </c>
      <c r="G29" s="96">
        <v>3333.34</v>
      </c>
    </row>
    <row r="30" spans="1:7" s="176" customFormat="1" ht="24" customHeight="1" x14ac:dyDescent="0.25">
      <c r="A30" s="345">
        <v>18</v>
      </c>
      <c r="B30" s="350" t="s">
        <v>183</v>
      </c>
      <c r="C30" s="345" t="s">
        <v>14</v>
      </c>
      <c r="D30" s="14">
        <v>1</v>
      </c>
      <c r="E30" s="279">
        <v>12220</v>
      </c>
      <c r="F30" s="279">
        <f t="shared" si="0"/>
        <v>12220</v>
      </c>
      <c r="G30" s="96">
        <v>6110</v>
      </c>
    </row>
    <row r="31" spans="1:7" s="176" customFormat="1" ht="24" customHeight="1" x14ac:dyDescent="0.25">
      <c r="A31" s="345">
        <v>19</v>
      </c>
      <c r="B31" s="350" t="s">
        <v>183</v>
      </c>
      <c r="C31" s="345" t="s">
        <v>14</v>
      </c>
      <c r="D31" s="14">
        <v>5</v>
      </c>
      <c r="E31" s="279">
        <v>5000</v>
      </c>
      <c r="F31" s="279">
        <f t="shared" si="0"/>
        <v>25000</v>
      </c>
      <c r="G31" s="280">
        <v>5000</v>
      </c>
    </row>
    <row r="32" spans="1:7" s="176" customFormat="1" ht="24" customHeight="1" x14ac:dyDescent="0.25">
      <c r="A32" s="345">
        <v>20</v>
      </c>
      <c r="B32" s="350" t="s">
        <v>184</v>
      </c>
      <c r="C32" s="345" t="s">
        <v>14</v>
      </c>
      <c r="D32" s="14">
        <v>10</v>
      </c>
      <c r="E32" s="279">
        <v>2000</v>
      </c>
      <c r="F32" s="279">
        <f t="shared" si="0"/>
        <v>20000</v>
      </c>
      <c r="G32" s="280">
        <v>0</v>
      </c>
    </row>
    <row r="33" spans="1:7" s="176" customFormat="1" ht="24" customHeight="1" x14ac:dyDescent="0.25">
      <c r="A33" s="345">
        <v>21</v>
      </c>
      <c r="B33" s="350" t="s">
        <v>185</v>
      </c>
      <c r="C33" s="345" t="s">
        <v>14</v>
      </c>
      <c r="D33" s="14">
        <v>1</v>
      </c>
      <c r="E33" s="279">
        <v>3000</v>
      </c>
      <c r="F33" s="279">
        <f t="shared" si="0"/>
        <v>3000</v>
      </c>
      <c r="G33" s="96">
        <v>600</v>
      </c>
    </row>
    <row r="34" spans="1:7" s="176" customFormat="1" ht="24" customHeight="1" x14ac:dyDescent="0.25">
      <c r="A34" s="345">
        <v>22</v>
      </c>
      <c r="B34" s="350" t="s">
        <v>186</v>
      </c>
      <c r="C34" s="345" t="s">
        <v>14</v>
      </c>
      <c r="D34" s="14">
        <v>1</v>
      </c>
      <c r="E34" s="279">
        <v>5000</v>
      </c>
      <c r="F34" s="279">
        <f t="shared" si="0"/>
        <v>5000</v>
      </c>
      <c r="G34" s="96">
        <v>1666.66</v>
      </c>
    </row>
    <row r="35" spans="1:7" s="176" customFormat="1" ht="24" customHeight="1" x14ac:dyDescent="0.25">
      <c r="A35" s="345">
        <v>23</v>
      </c>
      <c r="B35" s="350" t="s">
        <v>187</v>
      </c>
      <c r="C35" s="345" t="s">
        <v>14</v>
      </c>
      <c r="D35" s="14">
        <v>1</v>
      </c>
      <c r="E35" s="279">
        <v>9929</v>
      </c>
      <c r="F35" s="279">
        <f t="shared" si="0"/>
        <v>9929</v>
      </c>
      <c r="G35" s="96">
        <f>11914.8/2</f>
        <v>5957.4</v>
      </c>
    </row>
    <row r="36" spans="1:7" s="176" customFormat="1" ht="24" customHeight="1" x14ac:dyDescent="0.25">
      <c r="A36" s="345">
        <v>24</v>
      </c>
      <c r="B36" s="350" t="s">
        <v>188</v>
      </c>
      <c r="C36" s="345" t="s">
        <v>14</v>
      </c>
      <c r="D36" s="14">
        <v>3</v>
      </c>
      <c r="E36" s="279">
        <v>4400</v>
      </c>
      <c r="F36" s="279">
        <f t="shared" si="0"/>
        <v>13200</v>
      </c>
      <c r="G36" s="96">
        <v>0</v>
      </c>
    </row>
    <row r="37" spans="1:7" s="176" customFormat="1" ht="24" customHeight="1" x14ac:dyDescent="0.25">
      <c r="A37" s="345">
        <v>25</v>
      </c>
      <c r="B37" s="350" t="s">
        <v>189</v>
      </c>
      <c r="C37" s="345" t="s">
        <v>14</v>
      </c>
      <c r="D37" s="14">
        <v>1</v>
      </c>
      <c r="E37" s="279">
        <v>20367</v>
      </c>
      <c r="F37" s="279">
        <f t="shared" si="0"/>
        <v>20367</v>
      </c>
      <c r="G37" s="96">
        <v>10183.5</v>
      </c>
    </row>
    <row r="38" spans="1:7" s="176" customFormat="1" ht="24" customHeight="1" x14ac:dyDescent="0.25">
      <c r="A38" s="345">
        <v>26</v>
      </c>
      <c r="B38" s="350" t="s">
        <v>190</v>
      </c>
      <c r="C38" s="345" t="s">
        <v>14</v>
      </c>
      <c r="D38" s="14">
        <v>1</v>
      </c>
      <c r="E38" s="279">
        <v>16293</v>
      </c>
      <c r="F38" s="279">
        <f t="shared" si="0"/>
        <v>16293</v>
      </c>
      <c r="G38" s="96">
        <v>8146.5</v>
      </c>
    </row>
    <row r="39" spans="1:7" s="176" customFormat="1" ht="24" customHeight="1" x14ac:dyDescent="0.25">
      <c r="A39" s="345">
        <v>27</v>
      </c>
      <c r="B39" s="350" t="s">
        <v>191</v>
      </c>
      <c r="C39" s="345" t="s">
        <v>14</v>
      </c>
      <c r="D39" s="14">
        <v>1</v>
      </c>
      <c r="E39" s="279">
        <v>29328</v>
      </c>
      <c r="F39" s="279">
        <f t="shared" si="0"/>
        <v>29328</v>
      </c>
      <c r="G39" s="96">
        <v>19552</v>
      </c>
    </row>
    <row r="40" spans="1:7" s="176" customFormat="1" ht="24" customHeight="1" x14ac:dyDescent="0.25">
      <c r="A40" s="345">
        <v>28</v>
      </c>
      <c r="B40" s="350" t="s">
        <v>192</v>
      </c>
      <c r="C40" s="345" t="s">
        <v>14</v>
      </c>
      <c r="D40" s="14">
        <v>1</v>
      </c>
      <c r="E40" s="279">
        <v>62322</v>
      </c>
      <c r="F40" s="279">
        <f t="shared" si="0"/>
        <v>62322</v>
      </c>
      <c r="G40" s="96">
        <v>41548</v>
      </c>
    </row>
    <row r="41" spans="1:7" s="176" customFormat="1" ht="24" customHeight="1" x14ac:dyDescent="0.25">
      <c r="A41" s="345">
        <v>29</v>
      </c>
      <c r="B41" s="350" t="s">
        <v>193</v>
      </c>
      <c r="C41" s="345" t="s">
        <v>14</v>
      </c>
      <c r="D41" s="14">
        <v>1</v>
      </c>
      <c r="E41" s="279">
        <v>38126</v>
      </c>
      <c r="F41" s="279">
        <f t="shared" si="0"/>
        <v>38126</v>
      </c>
      <c r="G41" s="96">
        <v>25417.34</v>
      </c>
    </row>
    <row r="42" spans="1:7" s="176" customFormat="1" ht="24" customHeight="1" x14ac:dyDescent="0.25">
      <c r="A42" s="345">
        <v>30</v>
      </c>
      <c r="B42" s="350" t="s">
        <v>195</v>
      </c>
      <c r="C42" s="345" t="s">
        <v>14</v>
      </c>
      <c r="D42" s="14">
        <v>1</v>
      </c>
      <c r="E42" s="279">
        <v>12000</v>
      </c>
      <c r="F42" s="279">
        <f t="shared" si="0"/>
        <v>12000</v>
      </c>
      <c r="G42" s="96">
        <v>4000</v>
      </c>
    </row>
    <row r="43" spans="1:7" s="176" customFormat="1" ht="24" customHeight="1" x14ac:dyDescent="0.25">
      <c r="A43" s="345">
        <v>31</v>
      </c>
      <c r="B43" s="350" t="s">
        <v>196</v>
      </c>
      <c r="C43" s="345" t="s">
        <v>14</v>
      </c>
      <c r="D43" s="14">
        <v>1</v>
      </c>
      <c r="E43" s="279">
        <v>2700</v>
      </c>
      <c r="F43" s="279">
        <f t="shared" si="0"/>
        <v>2700</v>
      </c>
      <c r="G43" s="96">
        <v>0</v>
      </c>
    </row>
    <row r="44" spans="1:7" s="176" customFormat="1" ht="24" customHeight="1" x14ac:dyDescent="0.25">
      <c r="A44" s="345">
        <v>32</v>
      </c>
      <c r="B44" s="350" t="s">
        <v>197</v>
      </c>
      <c r="C44" s="345" t="s">
        <v>14</v>
      </c>
      <c r="D44" s="14">
        <v>1</v>
      </c>
      <c r="E44" s="279">
        <v>12000</v>
      </c>
      <c r="F44" s="279">
        <f t="shared" si="0"/>
        <v>12000</v>
      </c>
      <c r="G44" s="96">
        <v>6000</v>
      </c>
    </row>
    <row r="45" spans="1:7" s="176" customFormat="1" ht="24" customHeight="1" x14ac:dyDescent="0.25">
      <c r="A45" s="345">
        <v>33</v>
      </c>
      <c r="B45" s="350" t="s">
        <v>206</v>
      </c>
      <c r="C45" s="345" t="s">
        <v>14</v>
      </c>
      <c r="D45" s="14">
        <v>1</v>
      </c>
      <c r="E45" s="279">
        <v>42000</v>
      </c>
      <c r="F45" s="279">
        <f t="shared" si="0"/>
        <v>42000</v>
      </c>
      <c r="G45" s="96">
        <v>14000</v>
      </c>
    </row>
    <row r="46" spans="1:7" s="176" customFormat="1" ht="24" customHeight="1" x14ac:dyDescent="0.25">
      <c r="A46" s="345">
        <v>34</v>
      </c>
      <c r="B46" s="350" t="s">
        <v>209</v>
      </c>
      <c r="C46" s="345" t="s">
        <v>14</v>
      </c>
      <c r="D46" s="14">
        <v>2</v>
      </c>
      <c r="E46" s="279">
        <v>87500</v>
      </c>
      <c r="F46" s="279">
        <f t="shared" si="0"/>
        <v>175000</v>
      </c>
      <c r="G46" s="96">
        <f>250000/4*2</f>
        <v>125000</v>
      </c>
    </row>
    <row r="47" spans="1:7" s="375" customFormat="1" ht="24" customHeight="1" x14ac:dyDescent="0.25">
      <c r="A47" s="345">
        <v>35</v>
      </c>
      <c r="B47" s="351" t="s">
        <v>212</v>
      </c>
      <c r="C47" s="290" t="s">
        <v>14</v>
      </c>
      <c r="D47" s="40">
        <v>5</v>
      </c>
      <c r="E47" s="279">
        <v>32078</v>
      </c>
      <c r="F47" s="279">
        <f t="shared" si="0"/>
        <v>160390</v>
      </c>
      <c r="G47" s="352">
        <f>128312/8*5</f>
        <v>80195</v>
      </c>
    </row>
    <row r="48" spans="1:7" s="176" customFormat="1" ht="24" customHeight="1" x14ac:dyDescent="0.25">
      <c r="A48" s="345">
        <v>36</v>
      </c>
      <c r="B48" s="350" t="s">
        <v>218</v>
      </c>
      <c r="C48" s="345" t="s">
        <v>14</v>
      </c>
      <c r="D48" s="14">
        <v>2</v>
      </c>
      <c r="E48" s="279">
        <v>203518</v>
      </c>
      <c r="F48" s="279">
        <f t="shared" si="0"/>
        <v>407036</v>
      </c>
      <c r="G48" s="96">
        <v>222717.8</v>
      </c>
    </row>
    <row r="49" spans="1:7" s="176" customFormat="1" ht="24" customHeight="1" x14ac:dyDescent="0.25">
      <c r="A49" s="345">
        <v>37</v>
      </c>
      <c r="B49" s="350" t="s">
        <v>219</v>
      </c>
      <c r="C49" s="345" t="s">
        <v>14</v>
      </c>
      <c r="D49" s="14">
        <v>2</v>
      </c>
      <c r="E49" s="279">
        <v>26918</v>
      </c>
      <c r="F49" s="279">
        <f t="shared" si="0"/>
        <v>53836</v>
      </c>
      <c r="G49" s="96">
        <v>29457.439999999999</v>
      </c>
    </row>
    <row r="50" spans="1:7" s="176" customFormat="1" ht="24" customHeight="1" x14ac:dyDescent="0.25">
      <c r="A50" s="345">
        <v>38</v>
      </c>
      <c r="B50" s="350" t="s">
        <v>184</v>
      </c>
      <c r="C50" s="345" t="s">
        <v>14</v>
      </c>
      <c r="D50" s="14">
        <v>20</v>
      </c>
      <c r="E50" s="279">
        <v>5000</v>
      </c>
      <c r="F50" s="279">
        <f t="shared" ref="F50:F71" si="1">D50*E50</f>
        <v>100000</v>
      </c>
      <c r="G50" s="96">
        <v>60000</v>
      </c>
    </row>
    <row r="51" spans="1:7" s="176" customFormat="1" ht="24" customHeight="1" x14ac:dyDescent="0.25">
      <c r="A51" s="345">
        <v>39</v>
      </c>
      <c r="B51" s="350" t="s">
        <v>221</v>
      </c>
      <c r="C51" s="345" t="s">
        <v>14</v>
      </c>
      <c r="D51" s="14">
        <v>1</v>
      </c>
      <c r="E51" s="279">
        <v>17184</v>
      </c>
      <c r="F51" s="279">
        <f t="shared" si="1"/>
        <v>17184</v>
      </c>
      <c r="G51" s="96">
        <v>9546.66</v>
      </c>
    </row>
    <row r="52" spans="1:7" s="176" customFormat="1" ht="24" customHeight="1" x14ac:dyDescent="0.25">
      <c r="A52" s="345">
        <v>40</v>
      </c>
      <c r="B52" s="350" t="s">
        <v>223</v>
      </c>
      <c r="C52" s="345" t="s">
        <v>14</v>
      </c>
      <c r="D52" s="14">
        <v>5</v>
      </c>
      <c r="E52" s="279">
        <v>13000</v>
      </c>
      <c r="F52" s="279">
        <f t="shared" si="1"/>
        <v>65000</v>
      </c>
      <c r="G52" s="96">
        <v>39000</v>
      </c>
    </row>
    <row r="53" spans="1:7" s="176" customFormat="1" ht="24" customHeight="1" x14ac:dyDescent="0.25">
      <c r="A53" s="345">
        <v>41</v>
      </c>
      <c r="B53" s="350" t="s">
        <v>112</v>
      </c>
      <c r="C53" s="345" t="s">
        <v>14</v>
      </c>
      <c r="D53" s="14">
        <v>6</v>
      </c>
      <c r="E53" s="279">
        <v>34929</v>
      </c>
      <c r="F53" s="279">
        <f t="shared" si="1"/>
        <v>209574</v>
      </c>
      <c r="G53" s="96">
        <v>125744.4</v>
      </c>
    </row>
    <row r="54" spans="1:7" s="176" customFormat="1" ht="24" customHeight="1" x14ac:dyDescent="0.25">
      <c r="A54" s="345">
        <v>42</v>
      </c>
      <c r="B54" s="350" t="s">
        <v>48</v>
      </c>
      <c r="C54" s="345" t="s">
        <v>14</v>
      </c>
      <c r="D54" s="14">
        <v>2</v>
      </c>
      <c r="E54" s="279">
        <v>10183</v>
      </c>
      <c r="F54" s="279">
        <f t="shared" si="1"/>
        <v>20366</v>
      </c>
      <c r="G54" s="96">
        <v>0</v>
      </c>
    </row>
    <row r="55" spans="1:7" s="176" customFormat="1" ht="24" customHeight="1" x14ac:dyDescent="0.25">
      <c r="A55" s="345">
        <v>43</v>
      </c>
      <c r="B55" s="350" t="s">
        <v>229</v>
      </c>
      <c r="C55" s="345" t="s">
        <v>14</v>
      </c>
      <c r="D55" s="14">
        <v>2</v>
      </c>
      <c r="E55" s="279">
        <v>7000</v>
      </c>
      <c r="F55" s="279">
        <f t="shared" si="1"/>
        <v>14000</v>
      </c>
      <c r="G55" s="96">
        <v>4666.68</v>
      </c>
    </row>
    <row r="56" spans="1:7" s="176" customFormat="1" ht="24" customHeight="1" x14ac:dyDescent="0.25">
      <c r="A56" s="345">
        <v>44</v>
      </c>
      <c r="B56" s="350" t="s">
        <v>229</v>
      </c>
      <c r="C56" s="345" t="s">
        <v>14</v>
      </c>
      <c r="D56" s="14">
        <v>3</v>
      </c>
      <c r="E56" s="279">
        <v>10500</v>
      </c>
      <c r="F56" s="279">
        <f t="shared" si="1"/>
        <v>31500</v>
      </c>
      <c r="G56" s="96">
        <v>15750</v>
      </c>
    </row>
    <row r="57" spans="1:7" s="176" customFormat="1" ht="24" customHeight="1" x14ac:dyDescent="0.25">
      <c r="A57" s="345">
        <v>45</v>
      </c>
      <c r="B57" s="350" t="s">
        <v>230</v>
      </c>
      <c r="C57" s="345" t="s">
        <v>14</v>
      </c>
      <c r="D57" s="14">
        <v>60</v>
      </c>
      <c r="E57" s="279">
        <v>6782</v>
      </c>
      <c r="F57" s="279">
        <f t="shared" si="1"/>
        <v>406920</v>
      </c>
      <c r="G57" s="96">
        <v>226066.8</v>
      </c>
    </row>
    <row r="58" spans="1:7" s="176" customFormat="1" ht="24" customHeight="1" x14ac:dyDescent="0.25">
      <c r="A58" s="345">
        <v>46</v>
      </c>
      <c r="B58" s="350" t="s">
        <v>231</v>
      </c>
      <c r="C58" s="345" t="s">
        <v>14</v>
      </c>
      <c r="D58" s="14">
        <v>5</v>
      </c>
      <c r="E58" s="279">
        <v>19939</v>
      </c>
      <c r="F58" s="279">
        <f t="shared" si="1"/>
        <v>99695</v>
      </c>
      <c r="G58" s="96">
        <v>63442.25</v>
      </c>
    </row>
    <row r="59" spans="1:7" s="176" customFormat="1" ht="24" customHeight="1" x14ac:dyDescent="0.25">
      <c r="A59" s="345">
        <v>47</v>
      </c>
      <c r="B59" s="350" t="s">
        <v>232</v>
      </c>
      <c r="C59" s="345" t="s">
        <v>14</v>
      </c>
      <c r="D59" s="14">
        <v>15</v>
      </c>
      <c r="E59" s="279">
        <v>2000</v>
      </c>
      <c r="F59" s="279">
        <f t="shared" si="1"/>
        <v>30000</v>
      </c>
      <c r="G59" s="96">
        <v>10000.049999999999</v>
      </c>
    </row>
    <row r="60" spans="1:7" s="176" customFormat="1" ht="24" customHeight="1" x14ac:dyDescent="0.25">
      <c r="A60" s="345">
        <v>48</v>
      </c>
      <c r="B60" s="350" t="s">
        <v>239</v>
      </c>
      <c r="C60" s="345" t="s">
        <v>14</v>
      </c>
      <c r="D60" s="14">
        <v>2</v>
      </c>
      <c r="E60" s="279">
        <v>8000</v>
      </c>
      <c r="F60" s="279">
        <f t="shared" si="1"/>
        <v>16000</v>
      </c>
      <c r="G60" s="96">
        <f>24000/6*2</f>
        <v>8000</v>
      </c>
    </row>
    <row r="61" spans="1:7" s="176" customFormat="1" ht="24" customHeight="1" x14ac:dyDescent="0.25">
      <c r="A61" s="345">
        <v>49</v>
      </c>
      <c r="B61" s="350" t="s">
        <v>244</v>
      </c>
      <c r="C61" s="345" t="s">
        <v>14</v>
      </c>
      <c r="D61" s="14">
        <v>1</v>
      </c>
      <c r="E61" s="279">
        <v>3000</v>
      </c>
      <c r="F61" s="279">
        <f t="shared" si="1"/>
        <v>3000</v>
      </c>
      <c r="G61" s="96">
        <v>0</v>
      </c>
    </row>
    <row r="62" spans="1:7" s="176" customFormat="1" ht="24" customHeight="1" x14ac:dyDescent="0.25">
      <c r="A62" s="345">
        <v>50</v>
      </c>
      <c r="B62" s="350" t="s">
        <v>246</v>
      </c>
      <c r="C62" s="345" t="s">
        <v>14</v>
      </c>
      <c r="D62" s="14">
        <v>6</v>
      </c>
      <c r="E62" s="279">
        <v>800</v>
      </c>
      <c r="F62" s="279">
        <f t="shared" si="1"/>
        <v>4800</v>
      </c>
      <c r="G62" s="96">
        <v>0</v>
      </c>
    </row>
    <row r="63" spans="1:7" s="176" customFormat="1" ht="24" customHeight="1" x14ac:dyDescent="0.25">
      <c r="A63" s="345">
        <v>51</v>
      </c>
      <c r="B63" s="350" t="s">
        <v>182</v>
      </c>
      <c r="C63" s="345" t="s">
        <v>14</v>
      </c>
      <c r="D63" s="14">
        <v>2</v>
      </c>
      <c r="E63" s="279">
        <v>41242</v>
      </c>
      <c r="F63" s="279">
        <f t="shared" si="1"/>
        <v>82484</v>
      </c>
      <c r="G63" s="96">
        <v>45824.44</v>
      </c>
    </row>
    <row r="64" spans="1:7" s="176" customFormat="1" ht="24" customHeight="1" x14ac:dyDescent="0.25">
      <c r="A64" s="345">
        <v>52</v>
      </c>
      <c r="B64" s="350" t="s">
        <v>248</v>
      </c>
      <c r="C64" s="345" t="s">
        <v>14</v>
      </c>
      <c r="D64" s="14">
        <v>2</v>
      </c>
      <c r="E64" s="279">
        <v>13117</v>
      </c>
      <c r="F64" s="279">
        <f t="shared" si="1"/>
        <v>26234</v>
      </c>
      <c r="G64" s="96">
        <v>13117</v>
      </c>
    </row>
    <row r="65" spans="1:7" s="176" customFormat="1" ht="24" customHeight="1" x14ac:dyDescent="0.25">
      <c r="A65" s="345">
        <v>53</v>
      </c>
      <c r="B65" s="350" t="s">
        <v>249</v>
      </c>
      <c r="C65" s="345" t="s">
        <v>14</v>
      </c>
      <c r="D65" s="14">
        <v>1</v>
      </c>
      <c r="E65" s="279">
        <v>82718</v>
      </c>
      <c r="F65" s="279">
        <f t="shared" si="1"/>
        <v>82718</v>
      </c>
      <c r="G65" s="96">
        <v>41359</v>
      </c>
    </row>
    <row r="66" spans="1:7" s="176" customFormat="1" ht="24" customHeight="1" x14ac:dyDescent="0.25">
      <c r="A66" s="345">
        <v>54</v>
      </c>
      <c r="B66" s="350" t="s">
        <v>184</v>
      </c>
      <c r="C66" s="345" t="s">
        <v>14</v>
      </c>
      <c r="D66" s="14">
        <v>2</v>
      </c>
      <c r="E66" s="279">
        <v>7867</v>
      </c>
      <c r="F66" s="279">
        <f t="shared" si="1"/>
        <v>15734</v>
      </c>
      <c r="G66" s="96">
        <v>5244.68</v>
      </c>
    </row>
    <row r="67" spans="1:7" s="176" customFormat="1" ht="24" customHeight="1" x14ac:dyDescent="0.25">
      <c r="A67" s="345">
        <v>55</v>
      </c>
      <c r="B67" s="350" t="s">
        <v>253</v>
      </c>
      <c r="C67" s="345" t="s">
        <v>14</v>
      </c>
      <c r="D67" s="14">
        <v>2</v>
      </c>
      <c r="E67" s="279">
        <v>9776</v>
      </c>
      <c r="F67" s="279">
        <f t="shared" si="1"/>
        <v>19552</v>
      </c>
      <c r="G67" s="280">
        <v>6517.32</v>
      </c>
    </row>
    <row r="68" spans="1:7" s="176" customFormat="1" ht="24" customHeight="1" x14ac:dyDescent="0.25">
      <c r="A68" s="345">
        <v>56</v>
      </c>
      <c r="B68" s="350" t="s">
        <v>254</v>
      </c>
      <c r="C68" s="345" t="s">
        <v>14</v>
      </c>
      <c r="D68" s="14">
        <v>2</v>
      </c>
      <c r="E68" s="279">
        <v>2000</v>
      </c>
      <c r="F68" s="279">
        <f t="shared" si="1"/>
        <v>4000</v>
      </c>
      <c r="G68" s="280">
        <v>0</v>
      </c>
    </row>
    <row r="69" spans="1:7" s="176" customFormat="1" ht="24" customHeight="1" x14ac:dyDescent="0.25">
      <c r="A69" s="345">
        <v>57</v>
      </c>
      <c r="B69" s="350" t="s">
        <v>112</v>
      </c>
      <c r="C69" s="345" t="s">
        <v>14</v>
      </c>
      <c r="D69" s="14">
        <v>1</v>
      </c>
      <c r="E69" s="279">
        <v>6500</v>
      </c>
      <c r="F69" s="279">
        <f t="shared" si="1"/>
        <v>6500</v>
      </c>
      <c r="G69" s="96">
        <v>2166.67</v>
      </c>
    </row>
    <row r="70" spans="1:7" s="176" customFormat="1" ht="24" customHeight="1" x14ac:dyDescent="0.25">
      <c r="A70" s="345">
        <v>58</v>
      </c>
      <c r="B70" s="350" t="s">
        <v>263</v>
      </c>
      <c r="C70" s="345" t="s">
        <v>14</v>
      </c>
      <c r="D70" s="14">
        <v>2</v>
      </c>
      <c r="E70" s="279">
        <v>7638</v>
      </c>
      <c r="F70" s="279">
        <f t="shared" si="1"/>
        <v>15276</v>
      </c>
      <c r="G70" s="96">
        <v>9165.6</v>
      </c>
    </row>
    <row r="71" spans="1:7" s="176" customFormat="1" ht="24" customHeight="1" x14ac:dyDescent="0.25">
      <c r="A71" s="345">
        <v>59</v>
      </c>
      <c r="B71" s="350" t="s">
        <v>267</v>
      </c>
      <c r="C71" s="345" t="s">
        <v>14</v>
      </c>
      <c r="D71" s="14">
        <v>2</v>
      </c>
      <c r="E71" s="279">
        <v>3000</v>
      </c>
      <c r="F71" s="279">
        <f t="shared" si="1"/>
        <v>6000</v>
      </c>
      <c r="G71" s="96">
        <v>0</v>
      </c>
    </row>
    <row r="72" spans="1:7" s="176" customFormat="1" ht="24" customHeight="1" x14ac:dyDescent="0.25">
      <c r="A72" s="345">
        <v>60</v>
      </c>
      <c r="B72" s="350" t="s">
        <v>269</v>
      </c>
      <c r="C72" s="345" t="s">
        <v>14</v>
      </c>
      <c r="D72" s="14">
        <v>1</v>
      </c>
      <c r="E72" s="279">
        <v>3000</v>
      </c>
      <c r="F72" s="279">
        <f t="shared" ref="F72:F82" si="2">D72*E72</f>
        <v>3000</v>
      </c>
      <c r="G72" s="96">
        <v>0</v>
      </c>
    </row>
    <row r="73" spans="1:7" s="176" customFormat="1" ht="24" customHeight="1" x14ac:dyDescent="0.25">
      <c r="A73" s="345">
        <v>61</v>
      </c>
      <c r="B73" s="350" t="s">
        <v>267</v>
      </c>
      <c r="C73" s="345" t="s">
        <v>14</v>
      </c>
      <c r="D73" s="14">
        <v>1</v>
      </c>
      <c r="E73" s="279">
        <v>8000</v>
      </c>
      <c r="F73" s="279">
        <f t="shared" si="2"/>
        <v>8000</v>
      </c>
      <c r="G73" s="96">
        <v>2666.66</v>
      </c>
    </row>
    <row r="74" spans="1:7" s="176" customFormat="1" ht="24" customHeight="1" x14ac:dyDescent="0.25">
      <c r="A74" s="345">
        <v>62</v>
      </c>
      <c r="B74" s="350" t="s">
        <v>278</v>
      </c>
      <c r="C74" s="345" t="s">
        <v>14</v>
      </c>
      <c r="D74" s="14">
        <v>3</v>
      </c>
      <c r="E74" s="279">
        <v>3500</v>
      </c>
      <c r="F74" s="279">
        <f t="shared" si="2"/>
        <v>10500</v>
      </c>
      <c r="G74" s="96">
        <v>5250</v>
      </c>
    </row>
    <row r="75" spans="1:7" s="176" customFormat="1" ht="24" customHeight="1" x14ac:dyDescent="0.25">
      <c r="A75" s="345">
        <v>63</v>
      </c>
      <c r="B75" s="350" t="s">
        <v>280</v>
      </c>
      <c r="C75" s="345" t="s">
        <v>14</v>
      </c>
      <c r="D75" s="14">
        <v>2</v>
      </c>
      <c r="E75" s="279">
        <v>18000</v>
      </c>
      <c r="F75" s="279">
        <f t="shared" si="2"/>
        <v>36000</v>
      </c>
      <c r="G75" s="96">
        <v>7200</v>
      </c>
    </row>
    <row r="76" spans="1:7" s="176" customFormat="1" ht="24" customHeight="1" x14ac:dyDescent="0.25">
      <c r="A76" s="345">
        <v>64</v>
      </c>
      <c r="B76" s="350" t="s">
        <v>281</v>
      </c>
      <c r="C76" s="345" t="s">
        <v>14</v>
      </c>
      <c r="D76" s="14">
        <v>1</v>
      </c>
      <c r="E76" s="279">
        <v>33000</v>
      </c>
      <c r="F76" s="279">
        <f t="shared" si="2"/>
        <v>33000</v>
      </c>
      <c r="G76" s="96">
        <v>0</v>
      </c>
    </row>
    <row r="77" spans="1:7" s="176" customFormat="1" ht="24" customHeight="1" x14ac:dyDescent="0.25">
      <c r="A77" s="345">
        <v>65</v>
      </c>
      <c r="B77" s="350" t="s">
        <v>184</v>
      </c>
      <c r="C77" s="345" t="s">
        <v>14</v>
      </c>
      <c r="D77" s="14">
        <v>4</v>
      </c>
      <c r="E77" s="279">
        <v>5499</v>
      </c>
      <c r="F77" s="279">
        <f t="shared" si="2"/>
        <v>21996</v>
      </c>
      <c r="G77" s="280">
        <v>12220</v>
      </c>
    </row>
    <row r="78" spans="1:7" s="176" customFormat="1" ht="24" customHeight="1" x14ac:dyDescent="0.25">
      <c r="A78" s="345">
        <v>66</v>
      </c>
      <c r="B78" s="350" t="s">
        <v>287</v>
      </c>
      <c r="C78" s="345" t="s">
        <v>14</v>
      </c>
      <c r="D78" s="14">
        <v>1</v>
      </c>
      <c r="E78" s="279">
        <v>3000</v>
      </c>
      <c r="F78" s="279">
        <f t="shared" si="2"/>
        <v>3000</v>
      </c>
      <c r="G78" s="280">
        <v>0</v>
      </c>
    </row>
    <row r="79" spans="1:7" s="176" customFormat="1" ht="24" customHeight="1" x14ac:dyDescent="0.25">
      <c r="A79" s="345">
        <v>67</v>
      </c>
      <c r="B79" s="350" t="s">
        <v>293</v>
      </c>
      <c r="C79" s="345" t="s">
        <v>14</v>
      </c>
      <c r="D79" s="14">
        <v>3</v>
      </c>
      <c r="E79" s="279">
        <v>17057</v>
      </c>
      <c r="F79" s="279">
        <f t="shared" si="2"/>
        <v>51171</v>
      </c>
      <c r="G79" s="280">
        <v>17057.009999999998</v>
      </c>
    </row>
    <row r="80" spans="1:7" s="176" customFormat="1" ht="24" customHeight="1" x14ac:dyDescent="0.25">
      <c r="A80" s="345">
        <v>68</v>
      </c>
      <c r="B80" s="350" t="s">
        <v>302</v>
      </c>
      <c r="C80" s="345" t="s">
        <v>14</v>
      </c>
      <c r="D80" s="14">
        <v>1</v>
      </c>
      <c r="E80" s="279">
        <v>25614</v>
      </c>
      <c r="F80" s="279">
        <f t="shared" si="2"/>
        <v>25614</v>
      </c>
      <c r="G80" s="96">
        <v>12807</v>
      </c>
    </row>
    <row r="81" spans="1:7" s="176" customFormat="1" ht="24" customHeight="1" x14ac:dyDescent="0.25">
      <c r="A81" s="345">
        <v>69</v>
      </c>
      <c r="B81" s="350" t="s">
        <v>307</v>
      </c>
      <c r="C81" s="345" t="s">
        <v>14</v>
      </c>
      <c r="D81" s="14">
        <v>1</v>
      </c>
      <c r="E81" s="279">
        <v>125458</v>
      </c>
      <c r="F81" s="279">
        <f t="shared" si="2"/>
        <v>125458</v>
      </c>
      <c r="G81" s="96">
        <v>71690.28</v>
      </c>
    </row>
    <row r="82" spans="1:7" s="176" customFormat="1" ht="24" customHeight="1" x14ac:dyDescent="0.25">
      <c r="A82" s="345">
        <v>70</v>
      </c>
      <c r="B82" s="350" t="s">
        <v>309</v>
      </c>
      <c r="C82" s="345" t="s">
        <v>14</v>
      </c>
      <c r="D82" s="14">
        <v>4</v>
      </c>
      <c r="E82" s="279">
        <v>14880</v>
      </c>
      <c r="F82" s="279">
        <f t="shared" si="2"/>
        <v>59520</v>
      </c>
      <c r="G82" s="280">
        <v>34458.959999999999</v>
      </c>
    </row>
    <row r="83" spans="1:7" s="176" customFormat="1" ht="24" customHeight="1" x14ac:dyDescent="0.25">
      <c r="A83" s="93"/>
      <c r="B83" s="94" t="s">
        <v>39</v>
      </c>
      <c r="C83" s="93"/>
      <c r="D83" s="344">
        <f>SUM(D13:D82)</f>
        <v>233</v>
      </c>
      <c r="E83" s="344"/>
      <c r="F83" s="100">
        <f>SUM(F13:F82)</f>
        <v>3295530</v>
      </c>
      <c r="G83" s="284">
        <f>SUM(G13:G82)</f>
        <v>1457846.44</v>
      </c>
    </row>
    <row r="84" spans="1:7" s="176" customFormat="1" ht="24" customHeight="1" x14ac:dyDescent="0.25">
      <c r="A84" s="163"/>
      <c r="B84" s="486" t="s">
        <v>132</v>
      </c>
      <c r="C84" s="487"/>
      <c r="D84" s="487"/>
      <c r="E84" s="487"/>
      <c r="F84" s="487"/>
      <c r="G84" s="488"/>
    </row>
    <row r="85" spans="1:7" s="176" customFormat="1" ht="24" customHeight="1" x14ac:dyDescent="0.25">
      <c r="A85" s="345">
        <v>1</v>
      </c>
      <c r="B85" s="353" t="s">
        <v>318</v>
      </c>
      <c r="C85" s="354" t="s">
        <v>314</v>
      </c>
      <c r="D85" s="355">
        <v>2</v>
      </c>
      <c r="E85" s="279">
        <v>3600</v>
      </c>
      <c r="F85" s="279">
        <f t="shared" ref="F85:F92" si="3">D85*E85</f>
        <v>7200</v>
      </c>
      <c r="G85" s="163"/>
    </row>
    <row r="86" spans="1:7" s="176" customFormat="1" ht="24" customHeight="1" x14ac:dyDescent="0.25">
      <c r="A86" s="345">
        <v>2</v>
      </c>
      <c r="B86" s="353" t="s">
        <v>319</v>
      </c>
      <c r="C86" s="354" t="s">
        <v>314</v>
      </c>
      <c r="D86" s="355">
        <v>2</v>
      </c>
      <c r="E86" s="279">
        <v>5400</v>
      </c>
      <c r="F86" s="279">
        <f t="shared" si="3"/>
        <v>10800</v>
      </c>
      <c r="G86" s="163"/>
    </row>
    <row r="87" spans="1:7" s="176" customFormat="1" ht="24" customHeight="1" x14ac:dyDescent="0.25">
      <c r="A87" s="345">
        <v>3</v>
      </c>
      <c r="B87" s="353" t="s">
        <v>321</v>
      </c>
      <c r="C87" s="354" t="s">
        <v>314</v>
      </c>
      <c r="D87" s="355">
        <v>3</v>
      </c>
      <c r="E87" s="279">
        <v>4666.67</v>
      </c>
      <c r="F87" s="279">
        <f t="shared" si="3"/>
        <v>14000.01</v>
      </c>
      <c r="G87" s="163"/>
    </row>
    <row r="88" spans="1:7" s="176" customFormat="1" ht="24" customHeight="1" x14ac:dyDescent="0.25">
      <c r="A88" s="345">
        <v>4</v>
      </c>
      <c r="B88" s="353" t="s">
        <v>322</v>
      </c>
      <c r="C88" s="354" t="s">
        <v>314</v>
      </c>
      <c r="D88" s="355">
        <v>5</v>
      </c>
      <c r="E88" s="279">
        <v>2600</v>
      </c>
      <c r="F88" s="279">
        <f t="shared" si="3"/>
        <v>13000</v>
      </c>
      <c r="G88" s="163"/>
    </row>
    <row r="89" spans="1:7" s="176" customFormat="1" ht="24" customHeight="1" x14ac:dyDescent="0.25">
      <c r="A89" s="345">
        <v>5</v>
      </c>
      <c r="B89" s="353" t="s">
        <v>324</v>
      </c>
      <c r="C89" s="354" t="s">
        <v>314</v>
      </c>
      <c r="D89" s="355">
        <v>1</v>
      </c>
      <c r="E89" s="279">
        <v>5000</v>
      </c>
      <c r="F89" s="279">
        <f t="shared" si="3"/>
        <v>5000</v>
      </c>
      <c r="G89" s="163"/>
    </row>
    <row r="90" spans="1:7" s="176" customFormat="1" ht="24" customHeight="1" x14ac:dyDescent="0.25">
      <c r="A90" s="345">
        <v>6</v>
      </c>
      <c r="B90" s="353" t="s">
        <v>325</v>
      </c>
      <c r="C90" s="354" t="s">
        <v>314</v>
      </c>
      <c r="D90" s="355">
        <v>2</v>
      </c>
      <c r="E90" s="279">
        <v>3500</v>
      </c>
      <c r="F90" s="279">
        <f t="shared" si="3"/>
        <v>7000</v>
      </c>
      <c r="G90" s="163"/>
    </row>
    <row r="91" spans="1:7" s="176" customFormat="1" ht="24" customHeight="1" x14ac:dyDescent="0.25">
      <c r="A91" s="345">
        <v>7</v>
      </c>
      <c r="B91" s="353" t="s">
        <v>329</v>
      </c>
      <c r="C91" s="354" t="s">
        <v>314</v>
      </c>
      <c r="D91" s="355">
        <v>1</v>
      </c>
      <c r="E91" s="279">
        <v>2000</v>
      </c>
      <c r="F91" s="279">
        <f t="shared" si="3"/>
        <v>2000</v>
      </c>
      <c r="G91" s="163"/>
    </row>
    <row r="92" spans="1:7" s="375" customFormat="1" ht="24" customHeight="1" x14ac:dyDescent="0.25">
      <c r="A92" s="345">
        <v>8</v>
      </c>
      <c r="B92" s="351" t="s">
        <v>346</v>
      </c>
      <c r="C92" s="356" t="s">
        <v>314</v>
      </c>
      <c r="D92" s="357">
        <v>1</v>
      </c>
      <c r="E92" s="279">
        <v>96512</v>
      </c>
      <c r="F92" s="279">
        <f t="shared" si="3"/>
        <v>96512</v>
      </c>
      <c r="G92" s="153"/>
    </row>
    <row r="93" spans="1:7" s="176" customFormat="1" ht="24" customHeight="1" x14ac:dyDescent="0.25">
      <c r="A93" s="93"/>
      <c r="B93" s="94" t="s">
        <v>39</v>
      </c>
      <c r="C93" s="93"/>
      <c r="D93" s="299">
        <f>SUM(D85:D92)</f>
        <v>17</v>
      </c>
      <c r="E93" s="279"/>
      <c r="F93" s="284">
        <f>SUM(F85:F92)</f>
        <v>155512.01</v>
      </c>
      <c r="G93" s="163"/>
    </row>
    <row r="94" spans="1:7" s="374" customFormat="1" ht="24" customHeight="1" x14ac:dyDescent="0.25">
      <c r="A94" s="168"/>
      <c r="B94" s="208" t="s">
        <v>133</v>
      </c>
      <c r="C94" s="168"/>
      <c r="D94" s="299">
        <f>D93+D83</f>
        <v>250</v>
      </c>
      <c r="E94" s="299"/>
      <c r="F94" s="284">
        <f t="shared" ref="F94:G94" si="4">F93+F83</f>
        <v>3451042.01</v>
      </c>
      <c r="G94" s="284">
        <f t="shared" si="4"/>
        <v>1457846.44</v>
      </c>
    </row>
    <row r="95" spans="1:7" s="176" customFormat="1" ht="24" customHeight="1" x14ac:dyDescent="0.25">
      <c r="A95" s="469" t="s">
        <v>1240</v>
      </c>
      <c r="B95" s="470"/>
      <c r="C95" s="470"/>
      <c r="D95" s="470"/>
      <c r="E95" s="470"/>
      <c r="F95" s="470"/>
      <c r="G95" s="471"/>
    </row>
    <row r="96" spans="1:7" s="176" customFormat="1" ht="24" customHeight="1" x14ac:dyDescent="0.25">
      <c r="A96" s="163"/>
      <c r="B96" s="475" t="s">
        <v>131</v>
      </c>
      <c r="C96" s="476"/>
      <c r="D96" s="476"/>
      <c r="E96" s="476"/>
      <c r="F96" s="476"/>
      <c r="G96" s="477"/>
    </row>
    <row r="97" spans="1:7" s="176" customFormat="1" ht="24" customHeight="1" x14ac:dyDescent="0.25">
      <c r="A97" s="345">
        <v>1</v>
      </c>
      <c r="B97" s="217" t="s">
        <v>527</v>
      </c>
      <c r="C97" s="116" t="s">
        <v>14</v>
      </c>
      <c r="D97" s="116">
        <v>2</v>
      </c>
      <c r="E97" s="117">
        <v>2145</v>
      </c>
      <c r="F97" s="117">
        <f t="shared" ref="F97:F105" si="5">D97*E97</f>
        <v>4290</v>
      </c>
      <c r="G97" s="117">
        <v>0</v>
      </c>
    </row>
    <row r="98" spans="1:7" s="176" customFormat="1" ht="24" customHeight="1" x14ac:dyDescent="0.25">
      <c r="A98" s="345">
        <v>2</v>
      </c>
      <c r="B98" s="217" t="s">
        <v>146</v>
      </c>
      <c r="C98" s="116" t="s">
        <v>14</v>
      </c>
      <c r="D98" s="116">
        <v>3</v>
      </c>
      <c r="E98" s="117">
        <v>1430</v>
      </c>
      <c r="F98" s="117">
        <f t="shared" si="5"/>
        <v>4290</v>
      </c>
      <c r="G98" s="117">
        <v>0</v>
      </c>
    </row>
    <row r="99" spans="1:7" s="176" customFormat="1" ht="24" customHeight="1" x14ac:dyDescent="0.25">
      <c r="A99" s="345">
        <v>3</v>
      </c>
      <c r="B99" s="217" t="s">
        <v>292</v>
      </c>
      <c r="C99" s="116" t="s">
        <v>14</v>
      </c>
      <c r="D99" s="116">
        <v>1</v>
      </c>
      <c r="E99" s="117">
        <v>51981</v>
      </c>
      <c r="F99" s="117">
        <f t="shared" si="5"/>
        <v>51981</v>
      </c>
      <c r="G99" s="117">
        <v>0</v>
      </c>
    </row>
    <row r="100" spans="1:7" s="176" customFormat="1" ht="24" customHeight="1" x14ac:dyDescent="0.25">
      <c r="A100" s="345">
        <v>4</v>
      </c>
      <c r="B100" s="217" t="s">
        <v>484</v>
      </c>
      <c r="C100" s="116" t="s">
        <v>14</v>
      </c>
      <c r="D100" s="116">
        <v>4</v>
      </c>
      <c r="E100" s="117">
        <v>1200</v>
      </c>
      <c r="F100" s="117">
        <f t="shared" si="5"/>
        <v>4800</v>
      </c>
      <c r="G100" s="117">
        <v>2640</v>
      </c>
    </row>
    <row r="101" spans="1:7" s="176" customFormat="1" ht="24" customHeight="1" x14ac:dyDescent="0.25">
      <c r="A101" s="345">
        <v>5</v>
      </c>
      <c r="B101" s="217" t="s">
        <v>146</v>
      </c>
      <c r="C101" s="116" t="s">
        <v>14</v>
      </c>
      <c r="D101" s="116">
        <v>1</v>
      </c>
      <c r="E101" s="117">
        <v>6000</v>
      </c>
      <c r="F101" s="117">
        <f t="shared" si="5"/>
        <v>6000</v>
      </c>
      <c r="G101" s="117">
        <v>3300</v>
      </c>
    </row>
    <row r="102" spans="1:7" s="176" customFormat="1" ht="24" customHeight="1" x14ac:dyDescent="0.25">
      <c r="A102" s="345">
        <v>6</v>
      </c>
      <c r="B102" s="217" t="s">
        <v>501</v>
      </c>
      <c r="C102" s="116" t="s">
        <v>14</v>
      </c>
      <c r="D102" s="116">
        <v>2</v>
      </c>
      <c r="E102" s="117">
        <v>47100</v>
      </c>
      <c r="F102" s="117">
        <f t="shared" si="5"/>
        <v>94200</v>
      </c>
      <c r="G102" s="117">
        <f>56520/3*2</f>
        <v>37680</v>
      </c>
    </row>
    <row r="103" spans="1:7" s="176" customFormat="1" ht="24" customHeight="1" x14ac:dyDescent="0.25">
      <c r="A103" s="345">
        <v>7</v>
      </c>
      <c r="B103" s="217" t="s">
        <v>514</v>
      </c>
      <c r="C103" s="116" t="s">
        <v>14</v>
      </c>
      <c r="D103" s="345">
        <v>2</v>
      </c>
      <c r="E103" s="117">
        <v>50000</v>
      </c>
      <c r="F103" s="117">
        <f t="shared" si="5"/>
        <v>100000</v>
      </c>
      <c r="G103" s="117">
        <v>65421</v>
      </c>
    </row>
    <row r="104" spans="1:7" s="176" customFormat="1" ht="24" customHeight="1" x14ac:dyDescent="0.25">
      <c r="A104" s="345">
        <v>8</v>
      </c>
      <c r="B104" s="217" t="s">
        <v>515</v>
      </c>
      <c r="C104" s="116" t="s">
        <v>14</v>
      </c>
      <c r="D104" s="345">
        <v>2</v>
      </c>
      <c r="E104" s="117">
        <v>20000</v>
      </c>
      <c r="F104" s="117">
        <f t="shared" si="5"/>
        <v>40000</v>
      </c>
      <c r="G104" s="117">
        <v>23987.8</v>
      </c>
    </row>
    <row r="105" spans="1:7" s="176" customFormat="1" ht="24" customHeight="1" x14ac:dyDescent="0.25">
      <c r="A105" s="345">
        <v>9</v>
      </c>
      <c r="B105" s="217" t="s">
        <v>526</v>
      </c>
      <c r="C105" s="116" t="s">
        <v>14</v>
      </c>
      <c r="D105" s="345">
        <v>1</v>
      </c>
      <c r="E105" s="117">
        <v>41837</v>
      </c>
      <c r="F105" s="117">
        <f t="shared" si="5"/>
        <v>41837</v>
      </c>
      <c r="G105" s="117">
        <f>20090.15/2</f>
        <v>10045.075000000001</v>
      </c>
    </row>
    <row r="106" spans="1:7" s="374" customFormat="1" ht="24" customHeight="1" x14ac:dyDescent="0.25">
      <c r="A106" s="93"/>
      <c r="B106" s="94" t="s">
        <v>39</v>
      </c>
      <c r="C106" s="93"/>
      <c r="D106" s="299">
        <f>SUM(D97:D105)</f>
        <v>18</v>
      </c>
      <c r="E106" s="110"/>
      <c r="F106" s="284">
        <f>SUM(F97:F105)</f>
        <v>347398</v>
      </c>
      <c r="G106" s="284">
        <f>SUM(G97:G105)</f>
        <v>143073.875</v>
      </c>
    </row>
    <row r="107" spans="1:7" s="176" customFormat="1" ht="24" customHeight="1" x14ac:dyDescent="0.25">
      <c r="A107" s="163"/>
      <c r="B107" s="478" t="s">
        <v>443</v>
      </c>
      <c r="C107" s="479"/>
      <c r="D107" s="479"/>
      <c r="E107" s="479"/>
      <c r="F107" s="479"/>
      <c r="G107" s="480"/>
    </row>
    <row r="108" spans="1:7" s="176" customFormat="1" ht="24" customHeight="1" x14ac:dyDescent="0.25">
      <c r="A108" s="345">
        <v>1</v>
      </c>
      <c r="B108" s="112" t="s">
        <v>536</v>
      </c>
      <c r="C108" s="345" t="s">
        <v>14</v>
      </c>
      <c r="D108" s="14">
        <v>1</v>
      </c>
      <c r="E108" s="204">
        <f>24381+6</f>
        <v>24387</v>
      </c>
      <c r="F108" s="279">
        <f t="shared" ref="F108:F115" si="6">D108*E108</f>
        <v>24387</v>
      </c>
      <c r="G108" s="163"/>
    </row>
    <row r="109" spans="1:7" s="176" customFormat="1" ht="24" customHeight="1" x14ac:dyDescent="0.25">
      <c r="A109" s="345">
        <v>2</v>
      </c>
      <c r="B109" s="115" t="s">
        <v>1169</v>
      </c>
      <c r="C109" s="116" t="s">
        <v>14</v>
      </c>
      <c r="D109" s="393">
        <v>1</v>
      </c>
      <c r="E109" s="204">
        <f>800+799.5</f>
        <v>1599.5</v>
      </c>
      <c r="F109" s="279">
        <f t="shared" si="6"/>
        <v>1599.5</v>
      </c>
      <c r="G109" s="163"/>
    </row>
    <row r="110" spans="1:7" s="375" customFormat="1" ht="24" customHeight="1" x14ac:dyDescent="0.25">
      <c r="A110" s="290">
        <v>3</v>
      </c>
      <c r="B110" s="278" t="s">
        <v>1169</v>
      </c>
      <c r="C110" s="290"/>
      <c r="D110" s="291">
        <v>7</v>
      </c>
      <c r="E110" s="204">
        <v>1371.5</v>
      </c>
      <c r="F110" s="279">
        <f t="shared" si="6"/>
        <v>9600.5</v>
      </c>
      <c r="G110" s="153"/>
    </row>
    <row r="111" spans="1:7" s="375" customFormat="1" ht="24" customHeight="1" x14ac:dyDescent="0.25">
      <c r="A111" s="345">
        <v>4</v>
      </c>
      <c r="B111" s="278" t="s">
        <v>541</v>
      </c>
      <c r="C111" s="290" t="s">
        <v>14</v>
      </c>
      <c r="D111" s="291">
        <v>2</v>
      </c>
      <c r="E111" s="204">
        <v>4800</v>
      </c>
      <c r="F111" s="279">
        <f t="shared" si="6"/>
        <v>9600</v>
      </c>
      <c r="G111" s="153"/>
    </row>
    <row r="112" spans="1:7" s="176" customFormat="1" ht="24" customHeight="1" x14ac:dyDescent="0.25">
      <c r="A112" s="345">
        <v>5</v>
      </c>
      <c r="B112" s="115" t="s">
        <v>543</v>
      </c>
      <c r="C112" s="345" t="s">
        <v>14</v>
      </c>
      <c r="D112" s="283">
        <v>5</v>
      </c>
      <c r="E112" s="204">
        <v>800</v>
      </c>
      <c r="F112" s="279">
        <f t="shared" si="6"/>
        <v>4000</v>
      </c>
      <c r="G112" s="163"/>
    </row>
    <row r="113" spans="1:7" s="176" customFormat="1" ht="24" customHeight="1" x14ac:dyDescent="0.25">
      <c r="A113" s="290">
        <v>6</v>
      </c>
      <c r="B113" s="115" t="s">
        <v>544</v>
      </c>
      <c r="C113" s="345" t="s">
        <v>14</v>
      </c>
      <c r="D113" s="283">
        <v>2</v>
      </c>
      <c r="E113" s="204">
        <v>1000</v>
      </c>
      <c r="F113" s="279">
        <f t="shared" si="6"/>
        <v>2000</v>
      </c>
      <c r="G113" s="163"/>
    </row>
    <row r="114" spans="1:7" s="176" customFormat="1" ht="24" customHeight="1" x14ac:dyDescent="0.25">
      <c r="A114" s="345">
        <v>7</v>
      </c>
      <c r="B114" s="115" t="s">
        <v>546</v>
      </c>
      <c r="C114" s="345" t="s">
        <v>14</v>
      </c>
      <c r="D114" s="283">
        <v>5</v>
      </c>
      <c r="E114" s="204">
        <v>4000</v>
      </c>
      <c r="F114" s="279">
        <f t="shared" si="6"/>
        <v>20000</v>
      </c>
      <c r="G114" s="163"/>
    </row>
    <row r="115" spans="1:7" s="176" customFormat="1" ht="24" customHeight="1" x14ac:dyDescent="0.25">
      <c r="A115" s="345">
        <v>8</v>
      </c>
      <c r="B115" s="115" t="s">
        <v>548</v>
      </c>
      <c r="C115" s="345" t="s">
        <v>14</v>
      </c>
      <c r="D115" s="283">
        <v>5</v>
      </c>
      <c r="E115" s="204">
        <v>1900</v>
      </c>
      <c r="F115" s="279">
        <f t="shared" si="6"/>
        <v>9500</v>
      </c>
      <c r="G115" s="163"/>
    </row>
    <row r="116" spans="1:7" s="374" customFormat="1" ht="24" customHeight="1" x14ac:dyDescent="0.25">
      <c r="A116" s="349"/>
      <c r="B116" s="208" t="s">
        <v>39</v>
      </c>
      <c r="C116" s="168"/>
      <c r="D116" s="299">
        <f>SUM(D108:D115)</f>
        <v>28</v>
      </c>
      <c r="E116" s="348"/>
      <c r="F116" s="284">
        <f>SUM(F108:F115)</f>
        <v>80687</v>
      </c>
      <c r="G116" s="349"/>
    </row>
    <row r="117" spans="1:7" s="374" customFormat="1" ht="24" customHeight="1" x14ac:dyDescent="0.25">
      <c r="A117" s="168"/>
      <c r="B117" s="208" t="s">
        <v>552</v>
      </c>
      <c r="C117" s="168"/>
      <c r="D117" s="299">
        <f>D116+D106</f>
        <v>46</v>
      </c>
      <c r="E117" s="299"/>
      <c r="F117" s="284">
        <f t="shared" ref="F117:G117" si="7">F116+F106</f>
        <v>428085</v>
      </c>
      <c r="G117" s="284">
        <f t="shared" si="7"/>
        <v>143073.875</v>
      </c>
    </row>
    <row r="118" spans="1:7" s="176" customFormat="1" ht="24" customHeight="1" x14ac:dyDescent="0.25">
      <c r="A118" s="469" t="s">
        <v>1224</v>
      </c>
      <c r="B118" s="470"/>
      <c r="C118" s="470"/>
      <c r="D118" s="470"/>
      <c r="E118" s="470"/>
      <c r="F118" s="470"/>
      <c r="G118" s="471"/>
    </row>
    <row r="119" spans="1:7" s="176" customFormat="1" ht="24" customHeight="1" x14ac:dyDescent="0.25">
      <c r="A119" s="346"/>
      <c r="B119" s="470" t="s">
        <v>131</v>
      </c>
      <c r="C119" s="470"/>
      <c r="D119" s="470"/>
      <c r="E119" s="470"/>
      <c r="F119" s="470"/>
      <c r="G119" s="471"/>
    </row>
    <row r="120" spans="1:7" s="176" customFormat="1" ht="24" customHeight="1" x14ac:dyDescent="0.25">
      <c r="A120" s="345">
        <v>1</v>
      </c>
      <c r="B120" s="285" t="s">
        <v>954</v>
      </c>
      <c r="C120" s="283" t="s">
        <v>14</v>
      </c>
      <c r="D120" s="368">
        <v>1</v>
      </c>
      <c r="E120" s="302">
        <v>1</v>
      </c>
      <c r="F120" s="288">
        <f t="shared" ref="F120:F123" si="8">D120*E120</f>
        <v>1</v>
      </c>
      <c r="G120" s="288">
        <v>0</v>
      </c>
    </row>
    <row r="121" spans="1:7" s="176" customFormat="1" ht="24" customHeight="1" x14ac:dyDescent="0.25">
      <c r="A121" s="345">
        <v>2</v>
      </c>
      <c r="B121" s="285" t="s">
        <v>971</v>
      </c>
      <c r="C121" s="283" t="s">
        <v>14</v>
      </c>
      <c r="D121" s="368">
        <v>2</v>
      </c>
      <c r="E121" s="302">
        <v>1</v>
      </c>
      <c r="F121" s="288">
        <f t="shared" si="8"/>
        <v>2</v>
      </c>
      <c r="G121" s="288">
        <f>+D121*0.75</f>
        <v>1.5</v>
      </c>
    </row>
    <row r="122" spans="1:7" s="176" customFormat="1" ht="24" customHeight="1" x14ac:dyDescent="0.25">
      <c r="A122" s="345">
        <v>3</v>
      </c>
      <c r="B122" s="285" t="s">
        <v>972</v>
      </c>
      <c r="C122" s="283" t="s">
        <v>14</v>
      </c>
      <c r="D122" s="368">
        <v>1</v>
      </c>
      <c r="E122" s="302">
        <v>4200</v>
      </c>
      <c r="F122" s="288">
        <f t="shared" si="8"/>
        <v>4200</v>
      </c>
      <c r="G122" s="288">
        <v>3151.41</v>
      </c>
    </row>
    <row r="123" spans="1:7" s="375" customFormat="1" ht="24" customHeight="1" x14ac:dyDescent="0.25">
      <c r="A123" s="345">
        <v>4</v>
      </c>
      <c r="B123" s="285" t="s">
        <v>973</v>
      </c>
      <c r="C123" s="283" t="s">
        <v>14</v>
      </c>
      <c r="D123" s="368">
        <v>2</v>
      </c>
      <c r="E123" s="302">
        <v>24200</v>
      </c>
      <c r="F123" s="288">
        <f t="shared" si="8"/>
        <v>48400</v>
      </c>
      <c r="G123" s="288">
        <f>+D123*18158.13</f>
        <v>36316.26</v>
      </c>
    </row>
    <row r="124" spans="1:7" s="176" customFormat="1" ht="24" customHeight="1" x14ac:dyDescent="0.25">
      <c r="A124" s="345">
        <v>5</v>
      </c>
      <c r="B124" s="285" t="s">
        <v>983</v>
      </c>
      <c r="C124" s="283" t="s">
        <v>14</v>
      </c>
      <c r="D124" s="368">
        <v>1</v>
      </c>
      <c r="E124" s="302">
        <v>1</v>
      </c>
      <c r="F124" s="288">
        <f t="shared" ref="F124:F135" si="9">D124*E124</f>
        <v>1</v>
      </c>
      <c r="G124" s="288">
        <v>0</v>
      </c>
    </row>
    <row r="125" spans="1:7" s="176" customFormat="1" ht="24" customHeight="1" x14ac:dyDescent="0.25">
      <c r="A125" s="345">
        <v>6</v>
      </c>
      <c r="B125" s="285" t="s">
        <v>987</v>
      </c>
      <c r="C125" s="283" t="s">
        <v>14</v>
      </c>
      <c r="D125" s="368">
        <v>1</v>
      </c>
      <c r="E125" s="302">
        <v>3720</v>
      </c>
      <c r="F125" s="288">
        <f t="shared" si="9"/>
        <v>3720</v>
      </c>
      <c r="G125" s="288">
        <v>843.87</v>
      </c>
    </row>
    <row r="126" spans="1:7" s="176" customFormat="1" ht="24" customHeight="1" x14ac:dyDescent="0.25">
      <c r="A126" s="345">
        <v>7</v>
      </c>
      <c r="B126" s="285" t="s">
        <v>1005</v>
      </c>
      <c r="C126" s="283" t="s">
        <v>14</v>
      </c>
      <c r="D126" s="368">
        <v>1</v>
      </c>
      <c r="E126" s="302">
        <v>25000</v>
      </c>
      <c r="F126" s="288">
        <f t="shared" si="9"/>
        <v>25000</v>
      </c>
      <c r="G126" s="288">
        <v>17010.75</v>
      </c>
    </row>
    <row r="127" spans="1:7" s="176" customFormat="1" ht="24" customHeight="1" x14ac:dyDescent="0.25">
      <c r="A127" s="345">
        <v>8</v>
      </c>
      <c r="B127" s="285" t="s">
        <v>1007</v>
      </c>
      <c r="C127" s="283" t="s">
        <v>14</v>
      </c>
      <c r="D127" s="368">
        <v>2</v>
      </c>
      <c r="E127" s="302">
        <v>4650</v>
      </c>
      <c r="F127" s="288">
        <f t="shared" si="9"/>
        <v>9300</v>
      </c>
      <c r="G127" s="288">
        <f>+D127*1931.7</f>
        <v>3863.4</v>
      </c>
    </row>
    <row r="128" spans="1:7" s="176" customFormat="1" ht="24" customHeight="1" x14ac:dyDescent="0.25">
      <c r="A128" s="345">
        <v>9</v>
      </c>
      <c r="B128" s="285" t="s">
        <v>1008</v>
      </c>
      <c r="C128" s="283" t="s">
        <v>14</v>
      </c>
      <c r="D128" s="368">
        <v>2</v>
      </c>
      <c r="E128" s="302">
        <v>4650</v>
      </c>
      <c r="F128" s="288">
        <f t="shared" si="9"/>
        <v>9300</v>
      </c>
      <c r="G128" s="288">
        <f>+D128*1931.7</f>
        <v>3863.4</v>
      </c>
    </row>
    <row r="129" spans="1:7" s="176" customFormat="1" ht="24" customHeight="1" x14ac:dyDescent="0.25">
      <c r="A129" s="345">
        <v>10</v>
      </c>
      <c r="B129" s="285" t="s">
        <v>1009</v>
      </c>
      <c r="C129" s="283" t="s">
        <v>14</v>
      </c>
      <c r="D129" s="368">
        <v>1</v>
      </c>
      <c r="E129" s="302">
        <v>700</v>
      </c>
      <c r="F129" s="288">
        <f t="shared" si="9"/>
        <v>700</v>
      </c>
      <c r="G129" s="288">
        <v>0</v>
      </c>
    </row>
    <row r="130" spans="1:7" s="176" customFormat="1" ht="24" customHeight="1" x14ac:dyDescent="0.25">
      <c r="A130" s="345">
        <v>11</v>
      </c>
      <c r="B130" s="285" t="s">
        <v>1012</v>
      </c>
      <c r="C130" s="283" t="s">
        <v>14</v>
      </c>
      <c r="D130" s="368">
        <v>1</v>
      </c>
      <c r="E130" s="302">
        <v>18600</v>
      </c>
      <c r="F130" s="288">
        <f t="shared" si="9"/>
        <v>18600</v>
      </c>
      <c r="G130" s="288">
        <v>7726.83</v>
      </c>
    </row>
    <row r="131" spans="1:7" s="176" customFormat="1" ht="24" customHeight="1" x14ac:dyDescent="0.25">
      <c r="A131" s="345">
        <v>12</v>
      </c>
      <c r="B131" s="285" t="s">
        <v>1013</v>
      </c>
      <c r="C131" s="283" t="s">
        <v>14</v>
      </c>
      <c r="D131" s="368">
        <v>3</v>
      </c>
      <c r="E131" s="302">
        <v>23436</v>
      </c>
      <c r="F131" s="288">
        <f t="shared" si="9"/>
        <v>70308</v>
      </c>
      <c r="G131" s="288">
        <f>+D131*17124.67</f>
        <v>51374.009999999995</v>
      </c>
    </row>
    <row r="132" spans="1:7" s="176" customFormat="1" ht="24" customHeight="1" x14ac:dyDescent="0.25">
      <c r="A132" s="345">
        <v>13</v>
      </c>
      <c r="B132" s="285" t="s">
        <v>1028</v>
      </c>
      <c r="C132" s="283" t="s">
        <v>14</v>
      </c>
      <c r="D132" s="368">
        <v>1</v>
      </c>
      <c r="E132" s="302">
        <v>1</v>
      </c>
      <c r="F132" s="288">
        <f t="shared" si="9"/>
        <v>1</v>
      </c>
      <c r="G132" s="288">
        <v>0</v>
      </c>
    </row>
    <row r="133" spans="1:7" s="176" customFormat="1" ht="24" customHeight="1" x14ac:dyDescent="0.25">
      <c r="A133" s="345">
        <v>14</v>
      </c>
      <c r="B133" s="285" t="s">
        <v>1029</v>
      </c>
      <c r="C133" s="283" t="s">
        <v>14</v>
      </c>
      <c r="D133" s="368">
        <v>1</v>
      </c>
      <c r="E133" s="302">
        <v>1</v>
      </c>
      <c r="F133" s="288">
        <f t="shared" si="9"/>
        <v>1</v>
      </c>
      <c r="G133" s="288">
        <v>0</v>
      </c>
    </row>
    <row r="134" spans="1:7" s="176" customFormat="1" ht="24" customHeight="1" x14ac:dyDescent="0.25">
      <c r="A134" s="345">
        <v>15</v>
      </c>
      <c r="B134" s="285" t="s">
        <v>1030</v>
      </c>
      <c r="C134" s="283" t="s">
        <v>14</v>
      </c>
      <c r="D134" s="368">
        <v>1</v>
      </c>
      <c r="E134" s="302">
        <v>1</v>
      </c>
      <c r="F134" s="288">
        <f t="shared" si="9"/>
        <v>1</v>
      </c>
      <c r="G134" s="288">
        <v>0</v>
      </c>
    </row>
    <row r="135" spans="1:7" s="176" customFormat="1" ht="24" customHeight="1" x14ac:dyDescent="0.25">
      <c r="A135" s="345">
        <v>16</v>
      </c>
      <c r="B135" s="285" t="s">
        <v>1031</v>
      </c>
      <c r="C135" s="283" t="s">
        <v>14</v>
      </c>
      <c r="D135" s="368">
        <v>15</v>
      </c>
      <c r="E135" s="302">
        <v>1</v>
      </c>
      <c r="F135" s="288">
        <f t="shared" si="9"/>
        <v>15</v>
      </c>
      <c r="G135" s="288">
        <v>0</v>
      </c>
    </row>
    <row r="136" spans="1:7" s="176" customFormat="1" ht="24" customHeight="1" x14ac:dyDescent="0.25">
      <c r="A136" s="345">
        <v>17</v>
      </c>
      <c r="B136" s="285" t="s">
        <v>1062</v>
      </c>
      <c r="C136" s="283" t="s">
        <v>14</v>
      </c>
      <c r="D136" s="368">
        <v>1</v>
      </c>
      <c r="E136" s="302">
        <v>31000</v>
      </c>
      <c r="F136" s="288">
        <f t="shared" ref="F136" si="10">D136*E136</f>
        <v>31000</v>
      </c>
      <c r="G136" s="288">
        <v>12878</v>
      </c>
    </row>
    <row r="137" spans="1:7" s="374" customFormat="1" ht="24" customHeight="1" x14ac:dyDescent="0.25">
      <c r="A137" s="168"/>
      <c r="B137" s="208" t="s">
        <v>39</v>
      </c>
      <c r="C137" s="349"/>
      <c r="D137" s="299">
        <f>SUM(D120:D136)</f>
        <v>37</v>
      </c>
      <c r="E137" s="299"/>
      <c r="F137" s="284">
        <f>SUM(F120:F136)</f>
        <v>220550</v>
      </c>
      <c r="G137" s="284">
        <f>SUM(G120:G136)</f>
        <v>137029.43</v>
      </c>
    </row>
    <row r="138" spans="1:7" s="176" customFormat="1" ht="24.75" customHeight="1" x14ac:dyDescent="0.25">
      <c r="A138" s="163"/>
      <c r="B138" s="475" t="s">
        <v>443</v>
      </c>
      <c r="C138" s="476"/>
      <c r="D138" s="476"/>
      <c r="E138" s="476"/>
      <c r="F138" s="476"/>
      <c r="G138" s="477"/>
    </row>
    <row r="139" spans="1:7" s="375" customFormat="1" ht="23.25" customHeight="1" x14ac:dyDescent="0.25">
      <c r="A139" s="233">
        <v>1</v>
      </c>
      <c r="B139" s="261" t="s">
        <v>1083</v>
      </c>
      <c r="C139" s="363" t="s">
        <v>314</v>
      </c>
      <c r="D139" s="362">
        <v>8</v>
      </c>
      <c r="E139" s="302">
        <v>1533</v>
      </c>
      <c r="F139" s="364">
        <f t="shared" ref="F139:F155" si="11">D139*E139</f>
        <v>12264</v>
      </c>
      <c r="G139" s="205">
        <v>0</v>
      </c>
    </row>
    <row r="140" spans="1:7" s="375" customFormat="1" ht="23.25" customHeight="1" x14ac:dyDescent="0.25">
      <c r="A140" s="233">
        <v>2</v>
      </c>
      <c r="B140" s="261" t="s">
        <v>1092</v>
      </c>
      <c r="C140" s="363" t="s">
        <v>314</v>
      </c>
      <c r="D140" s="362">
        <v>4</v>
      </c>
      <c r="E140" s="302">
        <v>11900</v>
      </c>
      <c r="F140" s="364">
        <f t="shared" si="11"/>
        <v>47600</v>
      </c>
      <c r="G140" s="205">
        <v>0</v>
      </c>
    </row>
    <row r="141" spans="1:7" s="176" customFormat="1" ht="23.25" customHeight="1" x14ac:dyDescent="0.25">
      <c r="A141" s="233">
        <v>3</v>
      </c>
      <c r="B141" s="261" t="s">
        <v>1094</v>
      </c>
      <c r="C141" s="363" t="s">
        <v>314</v>
      </c>
      <c r="D141" s="362">
        <v>2</v>
      </c>
      <c r="E141" s="302">
        <v>6500</v>
      </c>
      <c r="F141" s="364">
        <f t="shared" si="11"/>
        <v>13000</v>
      </c>
      <c r="G141" s="205">
        <v>0</v>
      </c>
    </row>
    <row r="142" spans="1:7" s="176" customFormat="1" ht="23.25" customHeight="1" x14ac:dyDescent="0.25">
      <c r="A142" s="233">
        <v>4</v>
      </c>
      <c r="B142" s="261" t="s">
        <v>1098</v>
      </c>
      <c r="C142" s="363" t="s">
        <v>314</v>
      </c>
      <c r="D142" s="362">
        <v>2</v>
      </c>
      <c r="E142" s="302">
        <v>200</v>
      </c>
      <c r="F142" s="364">
        <f t="shared" si="11"/>
        <v>400</v>
      </c>
      <c r="G142" s="205">
        <v>0</v>
      </c>
    </row>
    <row r="143" spans="1:7" s="176" customFormat="1" ht="23.25" customHeight="1" x14ac:dyDescent="0.25">
      <c r="A143" s="233">
        <v>5</v>
      </c>
      <c r="B143" s="261" t="s">
        <v>1099</v>
      </c>
      <c r="C143" s="363" t="s">
        <v>314</v>
      </c>
      <c r="D143" s="362">
        <v>1</v>
      </c>
      <c r="E143" s="302">
        <v>6000</v>
      </c>
      <c r="F143" s="364">
        <f t="shared" si="11"/>
        <v>6000</v>
      </c>
      <c r="G143" s="205">
        <v>0</v>
      </c>
    </row>
    <row r="144" spans="1:7" s="176" customFormat="1" ht="23.25" customHeight="1" x14ac:dyDescent="0.25">
      <c r="A144" s="233">
        <v>6</v>
      </c>
      <c r="B144" s="261" t="s">
        <v>1100</v>
      </c>
      <c r="C144" s="363" t="s">
        <v>314</v>
      </c>
      <c r="D144" s="362">
        <v>20</v>
      </c>
      <c r="E144" s="302">
        <v>550</v>
      </c>
      <c r="F144" s="364">
        <f t="shared" si="11"/>
        <v>11000</v>
      </c>
      <c r="G144" s="205">
        <v>0</v>
      </c>
    </row>
    <row r="145" spans="1:7" s="176" customFormat="1" ht="23.25" customHeight="1" x14ac:dyDescent="0.25">
      <c r="A145" s="233">
        <v>7</v>
      </c>
      <c r="B145" s="261" t="s">
        <v>1101</v>
      </c>
      <c r="C145" s="363" t="s">
        <v>314</v>
      </c>
      <c r="D145" s="362">
        <v>3</v>
      </c>
      <c r="E145" s="302">
        <v>2500</v>
      </c>
      <c r="F145" s="364">
        <f t="shared" si="11"/>
        <v>7500</v>
      </c>
      <c r="G145" s="205">
        <v>0</v>
      </c>
    </row>
    <row r="146" spans="1:7" s="176" customFormat="1" ht="23.25" customHeight="1" x14ac:dyDescent="0.25">
      <c r="A146" s="233">
        <v>8</v>
      </c>
      <c r="B146" s="261" t="s">
        <v>1102</v>
      </c>
      <c r="C146" s="363" t="s">
        <v>314</v>
      </c>
      <c r="D146" s="362">
        <v>2</v>
      </c>
      <c r="E146" s="302">
        <v>5000</v>
      </c>
      <c r="F146" s="364">
        <f t="shared" si="11"/>
        <v>10000</v>
      </c>
      <c r="G146" s="205">
        <v>0</v>
      </c>
    </row>
    <row r="147" spans="1:7" s="176" customFormat="1" ht="23.25" customHeight="1" x14ac:dyDescent="0.25">
      <c r="A147" s="233">
        <v>9</v>
      </c>
      <c r="B147" s="261" t="s">
        <v>1103</v>
      </c>
      <c r="C147" s="363" t="s">
        <v>314</v>
      </c>
      <c r="D147" s="362">
        <v>1</v>
      </c>
      <c r="E147" s="302">
        <v>10000</v>
      </c>
      <c r="F147" s="364">
        <f t="shared" si="11"/>
        <v>10000</v>
      </c>
      <c r="G147" s="205">
        <v>0</v>
      </c>
    </row>
    <row r="148" spans="1:7" s="176" customFormat="1" ht="23.25" customHeight="1" x14ac:dyDescent="0.25">
      <c r="A148" s="233">
        <v>10</v>
      </c>
      <c r="B148" s="261" t="s">
        <v>1104</v>
      </c>
      <c r="C148" s="363" t="s">
        <v>314</v>
      </c>
      <c r="D148" s="362">
        <v>4</v>
      </c>
      <c r="E148" s="302">
        <v>1000</v>
      </c>
      <c r="F148" s="364">
        <f t="shared" si="11"/>
        <v>4000</v>
      </c>
      <c r="G148" s="205">
        <v>0</v>
      </c>
    </row>
    <row r="149" spans="1:7" s="176" customFormat="1" ht="23.25" customHeight="1" x14ac:dyDescent="0.25">
      <c r="A149" s="233">
        <v>11</v>
      </c>
      <c r="B149" s="261" t="s">
        <v>1105</v>
      </c>
      <c r="C149" s="363" t="s">
        <v>314</v>
      </c>
      <c r="D149" s="362">
        <v>2</v>
      </c>
      <c r="E149" s="302">
        <v>4000</v>
      </c>
      <c r="F149" s="364">
        <f t="shared" si="11"/>
        <v>8000</v>
      </c>
      <c r="G149" s="205">
        <v>0</v>
      </c>
    </row>
    <row r="150" spans="1:7" s="176" customFormat="1" ht="23.25" customHeight="1" x14ac:dyDescent="0.25">
      <c r="A150" s="233">
        <v>12</v>
      </c>
      <c r="B150" s="261" t="s">
        <v>1106</v>
      </c>
      <c r="C150" s="363" t="s">
        <v>314</v>
      </c>
      <c r="D150" s="362">
        <v>4</v>
      </c>
      <c r="E150" s="302">
        <v>1000</v>
      </c>
      <c r="F150" s="364">
        <f t="shared" si="11"/>
        <v>4000</v>
      </c>
      <c r="G150" s="205">
        <v>0</v>
      </c>
    </row>
    <row r="151" spans="1:7" s="176" customFormat="1" ht="23.25" customHeight="1" x14ac:dyDescent="0.25">
      <c r="A151" s="233">
        <v>13</v>
      </c>
      <c r="B151" s="261" t="s">
        <v>1108</v>
      </c>
      <c r="C151" s="363" t="s">
        <v>314</v>
      </c>
      <c r="D151" s="362">
        <v>1</v>
      </c>
      <c r="E151" s="302">
        <v>10000</v>
      </c>
      <c r="F151" s="364">
        <f t="shared" si="11"/>
        <v>10000</v>
      </c>
      <c r="G151" s="205">
        <v>0</v>
      </c>
    </row>
    <row r="152" spans="1:7" s="176" customFormat="1" ht="23.25" customHeight="1" x14ac:dyDescent="0.25">
      <c r="A152" s="233">
        <v>14</v>
      </c>
      <c r="B152" s="261" t="s">
        <v>1111</v>
      </c>
      <c r="C152" s="363" t="s">
        <v>314</v>
      </c>
      <c r="D152" s="362">
        <v>2</v>
      </c>
      <c r="E152" s="302">
        <v>5000</v>
      </c>
      <c r="F152" s="364">
        <f t="shared" si="11"/>
        <v>10000</v>
      </c>
      <c r="G152" s="205">
        <v>0</v>
      </c>
    </row>
    <row r="153" spans="1:7" s="176" customFormat="1" ht="23.25" customHeight="1" x14ac:dyDescent="0.25">
      <c r="A153" s="233">
        <v>15</v>
      </c>
      <c r="B153" s="261" t="s">
        <v>1112</v>
      </c>
      <c r="C153" s="363" t="s">
        <v>314</v>
      </c>
      <c r="D153" s="362">
        <v>4</v>
      </c>
      <c r="E153" s="302">
        <v>15000</v>
      </c>
      <c r="F153" s="364">
        <f t="shared" si="11"/>
        <v>60000</v>
      </c>
      <c r="G153" s="205">
        <v>0</v>
      </c>
    </row>
    <row r="154" spans="1:7" s="176" customFormat="1" ht="23.25" customHeight="1" x14ac:dyDescent="0.25">
      <c r="A154" s="233">
        <v>16</v>
      </c>
      <c r="B154" s="261" t="s">
        <v>1116</v>
      </c>
      <c r="C154" s="363" t="s">
        <v>554</v>
      </c>
      <c r="D154" s="362">
        <v>100</v>
      </c>
      <c r="E154" s="302">
        <v>64.8</v>
      </c>
      <c r="F154" s="364">
        <f t="shared" si="11"/>
        <v>6480</v>
      </c>
      <c r="G154" s="205">
        <v>0</v>
      </c>
    </row>
    <row r="155" spans="1:7" s="176" customFormat="1" ht="23.25" customHeight="1" x14ac:dyDescent="0.25">
      <c r="A155" s="233">
        <v>17</v>
      </c>
      <c r="B155" s="285" t="s">
        <v>1119</v>
      </c>
      <c r="C155" s="365" t="s">
        <v>556</v>
      </c>
      <c r="D155" s="366">
        <v>6</v>
      </c>
      <c r="E155" s="302">
        <v>800</v>
      </c>
      <c r="F155" s="364">
        <f t="shared" si="11"/>
        <v>4800</v>
      </c>
      <c r="G155" s="205">
        <v>0</v>
      </c>
    </row>
    <row r="156" spans="1:7" s="374" customFormat="1" ht="23.25" customHeight="1" x14ac:dyDescent="0.25">
      <c r="A156" s="168"/>
      <c r="B156" s="208" t="s">
        <v>39</v>
      </c>
      <c r="C156" s="168"/>
      <c r="D156" s="299">
        <f>SUM(D139:D155)</f>
        <v>166</v>
      </c>
      <c r="E156" s="395"/>
      <c r="F156" s="284">
        <f>SUM(F139:F155)</f>
        <v>225044</v>
      </c>
      <c r="G156" s="284">
        <f>SUM(G139:G155)</f>
        <v>0</v>
      </c>
    </row>
    <row r="157" spans="1:7" s="374" customFormat="1" ht="23.25" customHeight="1" x14ac:dyDescent="0.25">
      <c r="A157" s="168"/>
      <c r="B157" s="208" t="s">
        <v>552</v>
      </c>
      <c r="C157" s="168"/>
      <c r="D157" s="299">
        <f>D156+D137</f>
        <v>203</v>
      </c>
      <c r="E157" s="359"/>
      <c r="F157" s="284">
        <f>F156+F137</f>
        <v>445594</v>
      </c>
      <c r="G157" s="284">
        <f>G156+G137</f>
        <v>137029.43</v>
      </c>
    </row>
    <row r="158" spans="1:7" s="176" customFormat="1" ht="23.25" customHeight="1" x14ac:dyDescent="0.25">
      <c r="A158" s="168"/>
      <c r="B158" s="208" t="s">
        <v>558</v>
      </c>
      <c r="C158" s="168"/>
      <c r="D158" s="299">
        <f>D157+D117+D94</f>
        <v>499</v>
      </c>
      <c r="E158" s="299"/>
      <c r="F158" s="284">
        <f t="shared" ref="F158:G158" si="12">F157+F117+F94</f>
        <v>4324721.01</v>
      </c>
      <c r="G158" s="284">
        <f t="shared" si="12"/>
        <v>1737949.7449999999</v>
      </c>
    </row>
    <row r="159" spans="1:7" s="176" customFormat="1" x14ac:dyDescent="0.25">
      <c r="F159" s="369"/>
    </row>
    <row r="160" spans="1:7" s="176" customFormat="1" x14ac:dyDescent="0.25">
      <c r="F160" s="369"/>
    </row>
    <row r="161" spans="4:6" x14ac:dyDescent="0.3">
      <c r="D161" s="398"/>
    </row>
    <row r="175" spans="4:6" x14ac:dyDescent="0.3">
      <c r="F175" s="226"/>
    </row>
    <row r="176" spans="4:6" x14ac:dyDescent="0.3">
      <c r="F176" s="226"/>
    </row>
    <row r="177" spans="6:6" x14ac:dyDescent="0.3">
      <c r="F177" s="226"/>
    </row>
    <row r="178" spans="6:6" x14ac:dyDescent="0.3">
      <c r="F178" s="226"/>
    </row>
    <row r="179" spans="6:6" x14ac:dyDescent="0.3">
      <c r="F179" s="226"/>
    </row>
    <row r="180" spans="6:6" x14ac:dyDescent="0.3">
      <c r="F180" s="226"/>
    </row>
    <row r="181" spans="6:6" x14ac:dyDescent="0.3">
      <c r="F181" s="226"/>
    </row>
    <row r="182" spans="6:6" x14ac:dyDescent="0.3">
      <c r="F182" s="226"/>
    </row>
    <row r="183" spans="6:6" x14ac:dyDescent="0.3">
      <c r="F183" s="226"/>
    </row>
    <row r="184" spans="6:6" x14ac:dyDescent="0.3">
      <c r="F184" s="226"/>
    </row>
    <row r="185" spans="6:6" x14ac:dyDescent="0.3">
      <c r="F185" s="226"/>
    </row>
    <row r="186" spans="6:6" x14ac:dyDescent="0.3">
      <c r="F186" s="226"/>
    </row>
  </sheetData>
  <mergeCells count="17">
    <mergeCell ref="F1:G1"/>
    <mergeCell ref="A95:G95"/>
    <mergeCell ref="B96:G96"/>
    <mergeCell ref="B107:G107"/>
    <mergeCell ref="A11:G11"/>
    <mergeCell ref="B12:G12"/>
    <mergeCell ref="B84:G84"/>
    <mergeCell ref="D2:G2"/>
    <mergeCell ref="D3:G3"/>
    <mergeCell ref="A5:G5"/>
    <mergeCell ref="A6:G6"/>
    <mergeCell ref="B8:B9"/>
    <mergeCell ref="C8:C9"/>
    <mergeCell ref="D8:D9"/>
    <mergeCell ref="A118:G118"/>
    <mergeCell ref="B119:G119"/>
    <mergeCell ref="B138:G138"/>
  </mergeCells>
  <pageMargins left="0" right="0" top="0" bottom="0" header="0" footer="0"/>
  <pageSetup paperSize="9" scale="90"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7"/>
  <sheetViews>
    <sheetView workbookViewId="0">
      <selection activeCell="F276" sqref="F276"/>
    </sheetView>
  </sheetViews>
  <sheetFormatPr defaultRowHeight="16.5" x14ac:dyDescent="0.3"/>
  <cols>
    <col min="1" max="1" width="5.140625" style="226" customWidth="1"/>
    <col min="2" max="2" width="33.85546875" style="226" customWidth="1"/>
    <col min="3" max="3" width="6.5703125" style="226" customWidth="1"/>
    <col min="4" max="4" width="9.28515625" style="226" customWidth="1"/>
    <col min="5" max="5" width="16.140625" style="226" customWidth="1"/>
    <col min="6" max="6" width="18.28515625" style="399" customWidth="1"/>
    <col min="7" max="7" width="17.7109375" style="226" customWidth="1"/>
    <col min="8" max="16384" width="9.140625" style="226"/>
  </cols>
  <sheetData>
    <row r="1" spans="1:7" x14ac:dyDescent="0.3">
      <c r="D1" s="367"/>
      <c r="E1" s="367"/>
      <c r="F1" s="485" t="s">
        <v>74</v>
      </c>
      <c r="G1" s="485"/>
    </row>
    <row r="2" spans="1:7" x14ac:dyDescent="0.3">
      <c r="D2" s="465" t="s">
        <v>1</v>
      </c>
      <c r="E2" s="465"/>
      <c r="F2" s="465"/>
      <c r="G2" s="465"/>
    </row>
    <row r="3" spans="1:7" x14ac:dyDescent="0.3">
      <c r="D3" s="465" t="s">
        <v>2</v>
      </c>
      <c r="E3" s="465"/>
      <c r="F3" s="465"/>
      <c r="G3" s="465"/>
    </row>
    <row r="5" spans="1:7" x14ac:dyDescent="0.3">
      <c r="A5" s="489" t="s">
        <v>3</v>
      </c>
      <c r="B5" s="489"/>
      <c r="C5" s="489"/>
      <c r="D5" s="489"/>
      <c r="E5" s="489"/>
      <c r="F5" s="489"/>
      <c r="G5" s="489"/>
    </row>
    <row r="6" spans="1:7" ht="156" customHeight="1" x14ac:dyDescent="0.3">
      <c r="A6" s="490" t="s">
        <v>1225</v>
      </c>
      <c r="B6" s="490"/>
      <c r="C6" s="490"/>
      <c r="D6" s="490"/>
      <c r="E6" s="490"/>
      <c r="F6" s="490"/>
      <c r="G6" s="490"/>
    </row>
    <row r="7" spans="1:7" x14ac:dyDescent="0.3">
      <c r="D7" s="268"/>
      <c r="E7" s="268"/>
      <c r="F7" s="369"/>
    </row>
    <row r="8" spans="1:7" ht="49.5" customHeight="1" x14ac:dyDescent="0.3">
      <c r="A8" s="342" t="s">
        <v>4</v>
      </c>
      <c r="B8" s="481" t="s">
        <v>5</v>
      </c>
      <c r="C8" s="481" t="s">
        <v>6</v>
      </c>
      <c r="D8" s="483" t="s">
        <v>7</v>
      </c>
      <c r="E8" s="344" t="s">
        <v>1228</v>
      </c>
      <c r="F8" s="370" t="s">
        <v>9</v>
      </c>
      <c r="G8" s="344" t="s">
        <v>10</v>
      </c>
    </row>
    <row r="9" spans="1:7" ht="22.5" customHeight="1" x14ac:dyDescent="0.3">
      <c r="A9" s="343" t="s">
        <v>11</v>
      </c>
      <c r="B9" s="482"/>
      <c r="C9" s="482"/>
      <c r="D9" s="484"/>
      <c r="E9" s="370" t="s">
        <v>12</v>
      </c>
      <c r="F9" s="370" t="s">
        <v>12</v>
      </c>
      <c r="G9" s="84" t="s">
        <v>12</v>
      </c>
    </row>
    <row r="10" spans="1:7" ht="24.75" customHeight="1" x14ac:dyDescent="0.3">
      <c r="A10" s="84">
        <v>1</v>
      </c>
      <c r="B10" s="84">
        <v>2</v>
      </c>
      <c r="C10" s="84">
        <v>3</v>
      </c>
      <c r="D10" s="84">
        <v>4</v>
      </c>
      <c r="E10" s="84">
        <v>5</v>
      </c>
      <c r="F10" s="372">
        <v>6</v>
      </c>
      <c r="G10" s="84">
        <v>7</v>
      </c>
    </row>
    <row r="11" spans="1:7" s="176" customFormat="1" ht="42.75" customHeight="1" x14ac:dyDescent="0.25">
      <c r="A11" s="469" t="s">
        <v>1239</v>
      </c>
      <c r="B11" s="470"/>
      <c r="C11" s="470"/>
      <c r="D11" s="470"/>
      <c r="E11" s="470"/>
      <c r="F11" s="470"/>
      <c r="G11" s="471"/>
    </row>
    <row r="12" spans="1:7" s="176" customFormat="1" ht="22.5" customHeight="1" x14ac:dyDescent="0.25">
      <c r="A12" s="163"/>
      <c r="B12" s="475" t="s">
        <v>131</v>
      </c>
      <c r="C12" s="476"/>
      <c r="D12" s="476"/>
      <c r="E12" s="476"/>
      <c r="F12" s="476"/>
      <c r="G12" s="477"/>
    </row>
    <row r="13" spans="1:7" s="176" customFormat="1" ht="22.5" customHeight="1" x14ac:dyDescent="0.25">
      <c r="A13" s="345">
        <v>1</v>
      </c>
      <c r="B13" s="400" t="s">
        <v>135</v>
      </c>
      <c r="C13" s="345" t="s">
        <v>14</v>
      </c>
      <c r="D13" s="267">
        <v>1</v>
      </c>
      <c r="E13" s="386">
        <v>32000</v>
      </c>
      <c r="F13" s="387">
        <f t="shared" ref="F13:F76" si="0">D13*E13</f>
        <v>32000</v>
      </c>
      <c r="G13" s="280">
        <v>0</v>
      </c>
    </row>
    <row r="14" spans="1:7" s="176" customFormat="1" ht="22.5" customHeight="1" x14ac:dyDescent="0.25">
      <c r="A14" s="345">
        <v>2</v>
      </c>
      <c r="B14" s="400" t="s">
        <v>135</v>
      </c>
      <c r="C14" s="345" t="s">
        <v>14</v>
      </c>
      <c r="D14" s="267">
        <v>1</v>
      </c>
      <c r="E14" s="386">
        <v>70000</v>
      </c>
      <c r="F14" s="387">
        <f t="shared" si="0"/>
        <v>70000</v>
      </c>
      <c r="G14" s="280">
        <v>0</v>
      </c>
    </row>
    <row r="15" spans="1:7" s="176" customFormat="1" ht="22.5" customHeight="1" x14ac:dyDescent="0.25">
      <c r="A15" s="345">
        <v>3</v>
      </c>
      <c r="B15" s="400" t="s">
        <v>347</v>
      </c>
      <c r="C15" s="345" t="s">
        <v>14</v>
      </c>
      <c r="D15" s="267">
        <v>1</v>
      </c>
      <c r="E15" s="386">
        <v>177000</v>
      </c>
      <c r="F15" s="387">
        <f t="shared" si="0"/>
        <v>177000</v>
      </c>
      <c r="G15" s="280">
        <v>0</v>
      </c>
    </row>
    <row r="16" spans="1:7" s="176" customFormat="1" ht="22.5" customHeight="1" x14ac:dyDescent="0.25">
      <c r="A16" s="345">
        <v>4</v>
      </c>
      <c r="B16" s="400" t="s">
        <v>348</v>
      </c>
      <c r="C16" s="345" t="s">
        <v>14</v>
      </c>
      <c r="D16" s="267">
        <v>1</v>
      </c>
      <c r="E16" s="388">
        <v>130000</v>
      </c>
      <c r="F16" s="387">
        <f t="shared" si="0"/>
        <v>130000</v>
      </c>
      <c r="G16" s="280">
        <v>0</v>
      </c>
    </row>
    <row r="17" spans="1:7" s="176" customFormat="1" ht="22.5" customHeight="1" x14ac:dyDescent="0.25">
      <c r="A17" s="345">
        <v>5</v>
      </c>
      <c r="B17" s="401" t="s">
        <v>349</v>
      </c>
      <c r="C17" s="345" t="s">
        <v>14</v>
      </c>
      <c r="D17" s="14">
        <v>1</v>
      </c>
      <c r="E17" s="389">
        <v>258000</v>
      </c>
      <c r="F17" s="387">
        <f t="shared" si="0"/>
        <v>258000</v>
      </c>
      <c r="G17" s="280">
        <v>0</v>
      </c>
    </row>
    <row r="18" spans="1:7" s="176" customFormat="1" ht="22.5" customHeight="1" x14ac:dyDescent="0.25">
      <c r="A18" s="345">
        <v>6</v>
      </c>
      <c r="B18" s="401" t="s">
        <v>350</v>
      </c>
      <c r="C18" s="345" t="s">
        <v>14</v>
      </c>
      <c r="D18" s="14">
        <v>1</v>
      </c>
      <c r="E18" s="389">
        <v>220000</v>
      </c>
      <c r="F18" s="387">
        <f t="shared" si="0"/>
        <v>220000</v>
      </c>
      <c r="G18" s="280">
        <v>0</v>
      </c>
    </row>
    <row r="19" spans="1:7" s="375" customFormat="1" ht="22.5" customHeight="1" x14ac:dyDescent="0.25">
      <c r="A19" s="345">
        <v>7</v>
      </c>
      <c r="B19" s="401" t="s">
        <v>351</v>
      </c>
      <c r="C19" s="345" t="s">
        <v>14</v>
      </c>
      <c r="D19" s="14">
        <v>1</v>
      </c>
      <c r="E19" s="389">
        <v>200000</v>
      </c>
      <c r="F19" s="387">
        <f t="shared" si="0"/>
        <v>200000</v>
      </c>
      <c r="G19" s="280">
        <v>0</v>
      </c>
    </row>
    <row r="20" spans="1:7" s="176" customFormat="1" ht="22.5" customHeight="1" x14ac:dyDescent="0.25">
      <c r="A20" s="345">
        <v>8</v>
      </c>
      <c r="B20" s="33" t="s">
        <v>352</v>
      </c>
      <c r="C20" s="345" t="s">
        <v>14</v>
      </c>
      <c r="D20" s="14">
        <v>1</v>
      </c>
      <c r="E20" s="389">
        <v>181000</v>
      </c>
      <c r="F20" s="387">
        <f t="shared" si="0"/>
        <v>181000</v>
      </c>
      <c r="G20" s="280">
        <v>0</v>
      </c>
    </row>
    <row r="21" spans="1:7" s="176" customFormat="1" ht="22.5" customHeight="1" x14ac:dyDescent="0.25">
      <c r="A21" s="345">
        <v>9</v>
      </c>
      <c r="B21" s="33" t="s">
        <v>352</v>
      </c>
      <c r="C21" s="345" t="s">
        <v>14</v>
      </c>
      <c r="D21" s="14">
        <v>1</v>
      </c>
      <c r="E21" s="389">
        <v>181000</v>
      </c>
      <c r="F21" s="387">
        <f t="shared" si="0"/>
        <v>181000</v>
      </c>
      <c r="G21" s="280">
        <v>0</v>
      </c>
    </row>
    <row r="22" spans="1:7" s="176" customFormat="1" ht="22.5" customHeight="1" x14ac:dyDescent="0.25">
      <c r="A22" s="345">
        <v>10</v>
      </c>
      <c r="B22" s="33" t="s">
        <v>353</v>
      </c>
      <c r="C22" s="345" t="s">
        <v>14</v>
      </c>
      <c r="D22" s="14">
        <v>1</v>
      </c>
      <c r="E22" s="389">
        <v>162000</v>
      </c>
      <c r="F22" s="387">
        <f t="shared" si="0"/>
        <v>162000</v>
      </c>
      <c r="G22" s="280">
        <v>0</v>
      </c>
    </row>
    <row r="23" spans="1:7" s="176" customFormat="1" ht="22.5" customHeight="1" x14ac:dyDescent="0.25">
      <c r="A23" s="345">
        <v>11</v>
      </c>
      <c r="B23" s="33" t="s">
        <v>354</v>
      </c>
      <c r="C23" s="345" t="s">
        <v>14</v>
      </c>
      <c r="D23" s="14">
        <v>1</v>
      </c>
      <c r="E23" s="389">
        <v>80000</v>
      </c>
      <c r="F23" s="387">
        <f t="shared" si="0"/>
        <v>80000</v>
      </c>
      <c r="G23" s="280">
        <v>0</v>
      </c>
    </row>
    <row r="24" spans="1:7" s="176" customFormat="1" ht="22.5" customHeight="1" x14ac:dyDescent="0.25">
      <c r="A24" s="345">
        <v>12</v>
      </c>
      <c r="B24" s="400" t="s">
        <v>355</v>
      </c>
      <c r="C24" s="345" t="s">
        <v>14</v>
      </c>
      <c r="D24" s="14">
        <v>1</v>
      </c>
      <c r="E24" s="389">
        <v>41400</v>
      </c>
      <c r="F24" s="387">
        <f t="shared" si="0"/>
        <v>41400</v>
      </c>
      <c r="G24" s="280">
        <v>10732</v>
      </c>
    </row>
    <row r="25" spans="1:7" s="176" customFormat="1" ht="22.5" customHeight="1" x14ac:dyDescent="0.25">
      <c r="A25" s="345">
        <v>13</v>
      </c>
      <c r="B25" s="33" t="s">
        <v>356</v>
      </c>
      <c r="C25" s="345" t="s">
        <v>14</v>
      </c>
      <c r="D25" s="14">
        <v>1</v>
      </c>
      <c r="E25" s="389">
        <v>5000</v>
      </c>
      <c r="F25" s="387">
        <f t="shared" si="0"/>
        <v>5000</v>
      </c>
      <c r="G25" s="280">
        <v>0</v>
      </c>
    </row>
    <row r="26" spans="1:7" s="176" customFormat="1" ht="22.5" customHeight="1" x14ac:dyDescent="0.25">
      <c r="A26" s="345">
        <v>14</v>
      </c>
      <c r="B26" s="400" t="s">
        <v>357</v>
      </c>
      <c r="C26" s="345" t="s">
        <v>14</v>
      </c>
      <c r="D26" s="14">
        <v>1</v>
      </c>
      <c r="E26" s="389">
        <v>90000</v>
      </c>
      <c r="F26" s="387">
        <f t="shared" si="0"/>
        <v>90000</v>
      </c>
      <c r="G26" s="280">
        <v>87187.5</v>
      </c>
    </row>
    <row r="27" spans="1:7" s="176" customFormat="1" ht="22.5" customHeight="1" x14ac:dyDescent="0.25">
      <c r="A27" s="345">
        <v>15</v>
      </c>
      <c r="B27" s="33" t="s">
        <v>358</v>
      </c>
      <c r="C27" s="345" t="s">
        <v>14</v>
      </c>
      <c r="D27" s="14">
        <v>1</v>
      </c>
      <c r="E27" s="389">
        <v>389000</v>
      </c>
      <c r="F27" s="387">
        <f t="shared" si="0"/>
        <v>389000</v>
      </c>
      <c r="G27" s="280">
        <v>0</v>
      </c>
    </row>
    <row r="28" spans="1:7" s="176" customFormat="1" ht="36.75" customHeight="1" x14ac:dyDescent="0.25">
      <c r="A28" s="345">
        <v>16</v>
      </c>
      <c r="B28" s="33" t="s">
        <v>359</v>
      </c>
      <c r="C28" s="345" t="s">
        <v>14</v>
      </c>
      <c r="D28" s="14">
        <v>1</v>
      </c>
      <c r="E28" s="389">
        <v>115000</v>
      </c>
      <c r="F28" s="387">
        <f t="shared" si="0"/>
        <v>115000</v>
      </c>
      <c r="G28" s="280">
        <v>0</v>
      </c>
    </row>
    <row r="29" spans="1:7" s="176" customFormat="1" ht="22.5" customHeight="1" x14ac:dyDescent="0.25">
      <c r="A29" s="345">
        <v>17</v>
      </c>
      <c r="B29" s="33" t="s">
        <v>360</v>
      </c>
      <c r="C29" s="345" t="s">
        <v>14</v>
      </c>
      <c r="D29" s="14">
        <v>1</v>
      </c>
      <c r="E29" s="389">
        <v>48000</v>
      </c>
      <c r="F29" s="387">
        <f t="shared" si="0"/>
        <v>48000</v>
      </c>
      <c r="G29" s="280">
        <v>0</v>
      </c>
    </row>
    <row r="30" spans="1:7" s="176" customFormat="1" ht="22.5" customHeight="1" x14ac:dyDescent="0.25">
      <c r="A30" s="345">
        <v>18</v>
      </c>
      <c r="B30" s="33" t="s">
        <v>361</v>
      </c>
      <c r="C30" s="345" t="s">
        <v>14</v>
      </c>
      <c r="D30" s="14">
        <v>1</v>
      </c>
      <c r="E30" s="389">
        <v>65000</v>
      </c>
      <c r="F30" s="387">
        <f t="shared" si="0"/>
        <v>65000</v>
      </c>
      <c r="G30" s="280">
        <v>0</v>
      </c>
    </row>
    <row r="31" spans="1:7" s="176" customFormat="1" ht="22.5" customHeight="1" x14ac:dyDescent="0.25">
      <c r="A31" s="345">
        <v>19</v>
      </c>
      <c r="B31" s="33" t="s">
        <v>362</v>
      </c>
      <c r="C31" s="345" t="s">
        <v>14</v>
      </c>
      <c r="D31" s="14">
        <v>1</v>
      </c>
      <c r="E31" s="389">
        <v>173000</v>
      </c>
      <c r="F31" s="387">
        <f t="shared" si="0"/>
        <v>173000</v>
      </c>
      <c r="G31" s="280">
        <v>0</v>
      </c>
    </row>
    <row r="32" spans="1:7" s="176" customFormat="1" ht="22.5" customHeight="1" x14ac:dyDescent="0.25">
      <c r="A32" s="345">
        <v>20</v>
      </c>
      <c r="B32" s="33" t="s">
        <v>363</v>
      </c>
      <c r="C32" s="345" t="s">
        <v>14</v>
      </c>
      <c r="D32" s="14">
        <v>1</v>
      </c>
      <c r="E32" s="389">
        <v>45000</v>
      </c>
      <c r="F32" s="387">
        <f t="shared" si="0"/>
        <v>45000</v>
      </c>
      <c r="G32" s="280">
        <v>0</v>
      </c>
    </row>
    <row r="33" spans="1:7" s="176" customFormat="1" ht="35.25" customHeight="1" x14ac:dyDescent="0.25">
      <c r="A33" s="345">
        <v>21</v>
      </c>
      <c r="B33" s="33" t="s">
        <v>364</v>
      </c>
      <c r="C33" s="345" t="s">
        <v>14</v>
      </c>
      <c r="D33" s="14">
        <v>1</v>
      </c>
      <c r="E33" s="389">
        <v>32000</v>
      </c>
      <c r="F33" s="387">
        <f t="shared" si="0"/>
        <v>32000</v>
      </c>
      <c r="G33" s="280">
        <v>0</v>
      </c>
    </row>
    <row r="34" spans="1:7" s="176" customFormat="1" ht="22.5" customHeight="1" x14ac:dyDescent="0.25">
      <c r="A34" s="345">
        <v>22</v>
      </c>
      <c r="B34" s="33" t="s">
        <v>365</v>
      </c>
      <c r="C34" s="345" t="s">
        <v>14</v>
      </c>
      <c r="D34" s="14">
        <v>1</v>
      </c>
      <c r="E34" s="389">
        <v>40000</v>
      </c>
      <c r="F34" s="387">
        <f t="shared" si="0"/>
        <v>40000</v>
      </c>
      <c r="G34" s="280">
        <v>0</v>
      </c>
    </row>
    <row r="35" spans="1:7" s="176" customFormat="1" ht="22.5" customHeight="1" x14ac:dyDescent="0.25">
      <c r="A35" s="345">
        <v>23</v>
      </c>
      <c r="B35" s="33" t="s">
        <v>48</v>
      </c>
      <c r="C35" s="345" t="s">
        <v>14</v>
      </c>
      <c r="D35" s="14">
        <v>1</v>
      </c>
      <c r="E35" s="389">
        <v>0</v>
      </c>
      <c r="F35" s="387">
        <f t="shared" si="0"/>
        <v>0</v>
      </c>
      <c r="G35" s="280">
        <v>0</v>
      </c>
    </row>
    <row r="36" spans="1:7" s="176" customFormat="1" ht="22.5" customHeight="1" x14ac:dyDescent="0.25">
      <c r="A36" s="345">
        <v>24</v>
      </c>
      <c r="B36" s="33" t="s">
        <v>366</v>
      </c>
      <c r="C36" s="345" t="s">
        <v>14</v>
      </c>
      <c r="D36" s="14">
        <v>1</v>
      </c>
      <c r="E36" s="389">
        <v>75000</v>
      </c>
      <c r="F36" s="387">
        <f t="shared" si="0"/>
        <v>75000</v>
      </c>
      <c r="G36" s="280">
        <v>0</v>
      </c>
    </row>
    <row r="37" spans="1:7" s="176" customFormat="1" ht="22.5" customHeight="1" x14ac:dyDescent="0.25">
      <c r="A37" s="345">
        <v>25</v>
      </c>
      <c r="B37" s="33" t="s">
        <v>367</v>
      </c>
      <c r="C37" s="345" t="s">
        <v>14</v>
      </c>
      <c r="D37" s="14">
        <v>1</v>
      </c>
      <c r="E37" s="389">
        <v>42500</v>
      </c>
      <c r="F37" s="387">
        <f t="shared" si="0"/>
        <v>42500</v>
      </c>
      <c r="G37" s="280">
        <v>0</v>
      </c>
    </row>
    <row r="38" spans="1:7" s="176" customFormat="1" ht="22.5" customHeight="1" x14ac:dyDescent="0.25">
      <c r="A38" s="345">
        <v>26</v>
      </c>
      <c r="B38" s="33" t="s">
        <v>368</v>
      </c>
      <c r="C38" s="345" t="s">
        <v>14</v>
      </c>
      <c r="D38" s="14">
        <v>1</v>
      </c>
      <c r="E38" s="389">
        <v>129669.5</v>
      </c>
      <c r="F38" s="387">
        <f t="shared" si="0"/>
        <v>129669.5</v>
      </c>
      <c r="G38" s="280">
        <v>0</v>
      </c>
    </row>
    <row r="39" spans="1:7" s="176" customFormat="1" ht="22.5" customHeight="1" x14ac:dyDescent="0.25">
      <c r="A39" s="345">
        <v>27</v>
      </c>
      <c r="B39" s="33" t="s">
        <v>369</v>
      </c>
      <c r="C39" s="345" t="s">
        <v>14</v>
      </c>
      <c r="D39" s="14">
        <v>1</v>
      </c>
      <c r="E39" s="389">
        <v>160472</v>
      </c>
      <c r="F39" s="387">
        <f t="shared" si="0"/>
        <v>160472</v>
      </c>
      <c r="G39" s="280">
        <v>0</v>
      </c>
    </row>
    <row r="40" spans="1:7" s="176" customFormat="1" ht="22.5" customHeight="1" x14ac:dyDescent="0.25">
      <c r="A40" s="345">
        <v>28</v>
      </c>
      <c r="B40" s="33" t="s">
        <v>1123</v>
      </c>
      <c r="C40" s="345" t="s">
        <v>14</v>
      </c>
      <c r="D40" s="14">
        <v>1</v>
      </c>
      <c r="E40" s="389">
        <v>150000</v>
      </c>
      <c r="F40" s="387">
        <f t="shared" si="0"/>
        <v>150000</v>
      </c>
      <c r="G40" s="280">
        <v>150000</v>
      </c>
    </row>
    <row r="41" spans="1:7" s="176" customFormat="1" ht="22.5" customHeight="1" x14ac:dyDescent="0.25">
      <c r="A41" s="345">
        <v>29</v>
      </c>
      <c r="B41" s="33" t="s">
        <v>370</v>
      </c>
      <c r="C41" s="345" t="s">
        <v>14</v>
      </c>
      <c r="D41" s="14">
        <v>1</v>
      </c>
      <c r="E41" s="389">
        <v>37719</v>
      </c>
      <c r="F41" s="387">
        <f t="shared" si="0"/>
        <v>37719</v>
      </c>
      <c r="G41" s="280">
        <v>0</v>
      </c>
    </row>
    <row r="42" spans="1:7" s="176" customFormat="1" ht="22.5" customHeight="1" x14ac:dyDescent="0.25">
      <c r="A42" s="345">
        <v>30</v>
      </c>
      <c r="B42" s="33" t="s">
        <v>371</v>
      </c>
      <c r="C42" s="345" t="s">
        <v>14</v>
      </c>
      <c r="D42" s="14">
        <v>1</v>
      </c>
      <c r="E42" s="389">
        <v>55986</v>
      </c>
      <c r="F42" s="387">
        <f t="shared" si="0"/>
        <v>55986</v>
      </c>
      <c r="G42" s="280">
        <v>1599.6</v>
      </c>
    </row>
    <row r="43" spans="1:7" s="176" customFormat="1" ht="22.5" customHeight="1" x14ac:dyDescent="0.25">
      <c r="A43" s="345">
        <v>31</v>
      </c>
      <c r="B43" s="33" t="s">
        <v>372</v>
      </c>
      <c r="C43" s="345" t="s">
        <v>14</v>
      </c>
      <c r="D43" s="14">
        <v>1</v>
      </c>
      <c r="E43" s="389">
        <v>49220</v>
      </c>
      <c r="F43" s="387">
        <f t="shared" si="0"/>
        <v>49220</v>
      </c>
      <c r="G43" s="280">
        <v>39551.800000000003</v>
      </c>
    </row>
    <row r="44" spans="1:7" s="176" customFormat="1" ht="22.5" customHeight="1" x14ac:dyDescent="0.25">
      <c r="A44" s="345">
        <v>32</v>
      </c>
      <c r="B44" s="33" t="s">
        <v>373</v>
      </c>
      <c r="C44" s="345" t="s">
        <v>14</v>
      </c>
      <c r="D44" s="14">
        <v>1</v>
      </c>
      <c r="E44" s="389">
        <v>287484</v>
      </c>
      <c r="F44" s="387">
        <f t="shared" si="0"/>
        <v>287484</v>
      </c>
      <c r="G44" s="280">
        <v>8213.7999999999993</v>
      </c>
    </row>
    <row r="45" spans="1:7" s="176" customFormat="1" ht="22.5" customHeight="1" x14ac:dyDescent="0.25">
      <c r="A45" s="345">
        <v>33</v>
      </c>
      <c r="B45" s="102" t="s">
        <v>374</v>
      </c>
      <c r="C45" s="345" t="s">
        <v>14</v>
      </c>
      <c r="D45" s="104">
        <v>1</v>
      </c>
      <c r="E45" s="389">
        <v>37393</v>
      </c>
      <c r="F45" s="387">
        <f t="shared" si="0"/>
        <v>37393</v>
      </c>
      <c r="G45" s="280">
        <v>0</v>
      </c>
    </row>
    <row r="46" spans="1:7" s="176" customFormat="1" ht="22.5" customHeight="1" x14ac:dyDescent="0.25">
      <c r="A46" s="345">
        <v>34</v>
      </c>
      <c r="B46" s="102" t="s">
        <v>375</v>
      </c>
      <c r="C46" s="345" t="s">
        <v>14</v>
      </c>
      <c r="D46" s="104">
        <v>1</v>
      </c>
      <c r="E46" s="389">
        <v>150000</v>
      </c>
      <c r="F46" s="387">
        <f t="shared" si="0"/>
        <v>150000</v>
      </c>
      <c r="G46" s="280">
        <v>0</v>
      </c>
    </row>
    <row r="47" spans="1:7" s="176" customFormat="1" ht="22.5" customHeight="1" x14ac:dyDescent="0.25">
      <c r="A47" s="345">
        <v>35</v>
      </c>
      <c r="B47" s="102" t="s">
        <v>372</v>
      </c>
      <c r="C47" s="345" t="s">
        <v>14</v>
      </c>
      <c r="D47" s="104">
        <v>1</v>
      </c>
      <c r="E47" s="389">
        <v>49220</v>
      </c>
      <c r="F47" s="387">
        <f t="shared" si="0"/>
        <v>49220</v>
      </c>
      <c r="G47" s="280">
        <v>39551.800000000003</v>
      </c>
    </row>
    <row r="48" spans="1:7" s="176" customFormat="1" ht="22.5" customHeight="1" x14ac:dyDescent="0.25">
      <c r="A48" s="345">
        <v>36</v>
      </c>
      <c r="B48" s="102" t="s">
        <v>376</v>
      </c>
      <c r="C48" s="345" t="s">
        <v>14</v>
      </c>
      <c r="D48" s="104">
        <v>2</v>
      </c>
      <c r="E48" s="389">
        <v>80000</v>
      </c>
      <c r="F48" s="387">
        <f t="shared" si="0"/>
        <v>160000</v>
      </c>
      <c r="G48" s="280">
        <v>0</v>
      </c>
    </row>
    <row r="49" spans="1:7" s="176" customFormat="1" ht="22.5" customHeight="1" x14ac:dyDescent="0.25">
      <c r="A49" s="345">
        <v>37</v>
      </c>
      <c r="B49" s="102" t="s">
        <v>377</v>
      </c>
      <c r="C49" s="345" t="s">
        <v>14</v>
      </c>
      <c r="D49" s="104">
        <v>2</v>
      </c>
      <c r="E49" s="389">
        <v>165000</v>
      </c>
      <c r="F49" s="387">
        <f t="shared" si="0"/>
        <v>330000</v>
      </c>
      <c r="G49" s="280">
        <v>0</v>
      </c>
    </row>
    <row r="50" spans="1:7" s="176" customFormat="1" ht="22.5" customHeight="1" x14ac:dyDescent="0.25">
      <c r="A50" s="345">
        <v>38</v>
      </c>
      <c r="B50" s="102" t="s">
        <v>377</v>
      </c>
      <c r="C50" s="345" t="s">
        <v>14</v>
      </c>
      <c r="D50" s="104">
        <v>1</v>
      </c>
      <c r="E50" s="389">
        <v>100000</v>
      </c>
      <c r="F50" s="387">
        <f t="shared" si="0"/>
        <v>100000</v>
      </c>
      <c r="G50" s="280">
        <v>0</v>
      </c>
    </row>
    <row r="51" spans="1:7" s="176" customFormat="1" ht="22.5" customHeight="1" x14ac:dyDescent="0.25">
      <c r="A51" s="345">
        <v>39</v>
      </c>
      <c r="B51" s="102" t="s">
        <v>378</v>
      </c>
      <c r="C51" s="345" t="s">
        <v>14</v>
      </c>
      <c r="D51" s="104">
        <v>1</v>
      </c>
      <c r="E51" s="389">
        <v>113000</v>
      </c>
      <c r="F51" s="387">
        <f t="shared" si="0"/>
        <v>113000</v>
      </c>
      <c r="G51" s="280">
        <v>0</v>
      </c>
    </row>
    <row r="52" spans="1:7" s="176" customFormat="1" ht="22.5" customHeight="1" x14ac:dyDescent="0.25">
      <c r="A52" s="345">
        <v>40</v>
      </c>
      <c r="B52" s="102" t="s">
        <v>379</v>
      </c>
      <c r="C52" s="345" t="s">
        <v>14</v>
      </c>
      <c r="D52" s="104">
        <v>1</v>
      </c>
      <c r="E52" s="389">
        <v>226000</v>
      </c>
      <c r="F52" s="387">
        <f t="shared" si="0"/>
        <v>226000</v>
      </c>
      <c r="G52" s="280">
        <v>0</v>
      </c>
    </row>
    <row r="53" spans="1:7" s="176" customFormat="1" ht="22.5" customHeight="1" x14ac:dyDescent="0.25">
      <c r="A53" s="345">
        <v>41</v>
      </c>
      <c r="B53" s="102" t="s">
        <v>380</v>
      </c>
      <c r="C53" s="345" t="s">
        <v>14</v>
      </c>
      <c r="D53" s="104">
        <v>1</v>
      </c>
      <c r="E53" s="389">
        <v>64000</v>
      </c>
      <c r="F53" s="387">
        <f t="shared" si="0"/>
        <v>64000</v>
      </c>
      <c r="G53" s="280">
        <v>0</v>
      </c>
    </row>
    <row r="54" spans="1:7" s="176" customFormat="1" ht="33" customHeight="1" x14ac:dyDescent="0.25">
      <c r="A54" s="345">
        <v>42</v>
      </c>
      <c r="B54" s="102" t="s">
        <v>381</v>
      </c>
      <c r="C54" s="345" t="s">
        <v>14</v>
      </c>
      <c r="D54" s="104">
        <v>4</v>
      </c>
      <c r="E54" s="389">
        <v>61000</v>
      </c>
      <c r="F54" s="387">
        <f t="shared" si="0"/>
        <v>244000</v>
      </c>
      <c r="G54" s="280">
        <v>0</v>
      </c>
    </row>
    <row r="55" spans="1:7" s="176" customFormat="1" ht="22.5" customHeight="1" x14ac:dyDescent="0.25">
      <c r="A55" s="345">
        <v>43</v>
      </c>
      <c r="B55" s="102" t="s">
        <v>382</v>
      </c>
      <c r="C55" s="345" t="s">
        <v>14</v>
      </c>
      <c r="D55" s="104">
        <v>4</v>
      </c>
      <c r="E55" s="389">
        <v>58000</v>
      </c>
      <c r="F55" s="387">
        <f t="shared" si="0"/>
        <v>232000</v>
      </c>
      <c r="G55" s="280">
        <v>0</v>
      </c>
    </row>
    <row r="56" spans="1:7" s="176" customFormat="1" ht="22.5" customHeight="1" x14ac:dyDescent="0.25">
      <c r="A56" s="345">
        <v>44</v>
      </c>
      <c r="B56" s="102" t="s">
        <v>383</v>
      </c>
      <c r="C56" s="345" t="s">
        <v>14</v>
      </c>
      <c r="D56" s="104">
        <v>1</v>
      </c>
      <c r="E56" s="389">
        <v>68000</v>
      </c>
      <c r="F56" s="387">
        <f t="shared" si="0"/>
        <v>68000</v>
      </c>
      <c r="G56" s="280">
        <v>0</v>
      </c>
    </row>
    <row r="57" spans="1:7" s="176" customFormat="1" ht="22.5" customHeight="1" x14ac:dyDescent="0.25">
      <c r="A57" s="345">
        <v>45</v>
      </c>
      <c r="B57" s="102" t="s">
        <v>384</v>
      </c>
      <c r="C57" s="345" t="s">
        <v>14</v>
      </c>
      <c r="D57" s="104">
        <v>1</v>
      </c>
      <c r="E57" s="389">
        <v>73000</v>
      </c>
      <c r="F57" s="387">
        <f t="shared" si="0"/>
        <v>73000</v>
      </c>
      <c r="G57" s="280">
        <v>0</v>
      </c>
    </row>
    <row r="58" spans="1:7" s="176" customFormat="1" ht="22.5" customHeight="1" x14ac:dyDescent="0.25">
      <c r="A58" s="345">
        <v>46</v>
      </c>
      <c r="B58" s="102" t="s">
        <v>385</v>
      </c>
      <c r="C58" s="345" t="s">
        <v>14</v>
      </c>
      <c r="D58" s="104">
        <v>1</v>
      </c>
      <c r="E58" s="389">
        <v>36000</v>
      </c>
      <c r="F58" s="387">
        <f t="shared" si="0"/>
        <v>36000</v>
      </c>
      <c r="G58" s="280">
        <v>0</v>
      </c>
    </row>
    <row r="59" spans="1:7" s="176" customFormat="1" ht="22.5" customHeight="1" x14ac:dyDescent="0.25">
      <c r="A59" s="345">
        <v>47</v>
      </c>
      <c r="B59" s="102" t="s">
        <v>386</v>
      </c>
      <c r="C59" s="345" t="s">
        <v>14</v>
      </c>
      <c r="D59" s="104">
        <v>1</v>
      </c>
      <c r="E59" s="389">
        <v>28000</v>
      </c>
      <c r="F59" s="387">
        <f t="shared" si="0"/>
        <v>28000</v>
      </c>
      <c r="G59" s="280">
        <v>0</v>
      </c>
    </row>
    <row r="60" spans="1:7" s="176" customFormat="1" ht="34.5" customHeight="1" x14ac:dyDescent="0.25">
      <c r="A60" s="345">
        <v>48</v>
      </c>
      <c r="B60" s="102" t="s">
        <v>387</v>
      </c>
      <c r="C60" s="345" t="s">
        <v>14</v>
      </c>
      <c r="D60" s="104">
        <v>1</v>
      </c>
      <c r="E60" s="389">
        <v>44500</v>
      </c>
      <c r="F60" s="387">
        <f t="shared" si="0"/>
        <v>44500</v>
      </c>
      <c r="G60" s="280">
        <v>0</v>
      </c>
    </row>
    <row r="61" spans="1:7" s="176" customFormat="1" ht="33" customHeight="1" x14ac:dyDescent="0.25">
      <c r="A61" s="345">
        <v>49</v>
      </c>
      <c r="B61" s="102" t="s">
        <v>388</v>
      </c>
      <c r="C61" s="345" t="s">
        <v>14</v>
      </c>
      <c r="D61" s="104">
        <v>1</v>
      </c>
      <c r="E61" s="389">
        <v>150000</v>
      </c>
      <c r="F61" s="387">
        <f t="shared" si="0"/>
        <v>150000</v>
      </c>
      <c r="G61" s="280">
        <v>0</v>
      </c>
    </row>
    <row r="62" spans="1:7" s="176" customFormat="1" ht="49.5" x14ac:dyDescent="0.25">
      <c r="A62" s="345">
        <v>50</v>
      </c>
      <c r="B62" s="102" t="s">
        <v>389</v>
      </c>
      <c r="C62" s="345" t="s">
        <v>14</v>
      </c>
      <c r="D62" s="104">
        <v>1</v>
      </c>
      <c r="E62" s="389">
        <v>180000</v>
      </c>
      <c r="F62" s="387">
        <f t="shared" si="0"/>
        <v>180000</v>
      </c>
      <c r="G62" s="280">
        <v>0</v>
      </c>
    </row>
    <row r="63" spans="1:7" s="176" customFormat="1" ht="49.5" x14ac:dyDescent="0.25">
      <c r="A63" s="345">
        <v>51</v>
      </c>
      <c r="B63" s="102" t="s">
        <v>390</v>
      </c>
      <c r="C63" s="345" t="s">
        <v>14</v>
      </c>
      <c r="D63" s="104">
        <v>1</v>
      </c>
      <c r="E63" s="389">
        <v>200000</v>
      </c>
      <c r="F63" s="387">
        <f t="shared" si="0"/>
        <v>200000</v>
      </c>
      <c r="G63" s="280">
        <v>0</v>
      </c>
    </row>
    <row r="64" spans="1:7" s="176" customFormat="1" ht="66" x14ac:dyDescent="0.25">
      <c r="A64" s="345">
        <v>52</v>
      </c>
      <c r="B64" s="102" t="s">
        <v>391</v>
      </c>
      <c r="C64" s="345" t="s">
        <v>14</v>
      </c>
      <c r="D64" s="104">
        <v>2</v>
      </c>
      <c r="E64" s="389">
        <v>220000</v>
      </c>
      <c r="F64" s="387">
        <f t="shared" si="0"/>
        <v>440000</v>
      </c>
      <c r="G64" s="280">
        <v>0</v>
      </c>
    </row>
    <row r="65" spans="1:7" s="176" customFormat="1" ht="49.5" x14ac:dyDescent="0.25">
      <c r="A65" s="345">
        <v>53</v>
      </c>
      <c r="B65" s="102" t="s">
        <v>392</v>
      </c>
      <c r="C65" s="345" t="s">
        <v>14</v>
      </c>
      <c r="D65" s="104">
        <v>1</v>
      </c>
      <c r="E65" s="389">
        <v>190000</v>
      </c>
      <c r="F65" s="387">
        <f t="shared" si="0"/>
        <v>190000</v>
      </c>
      <c r="G65" s="280">
        <v>0</v>
      </c>
    </row>
    <row r="66" spans="1:7" s="176" customFormat="1" ht="33" x14ac:dyDescent="0.25">
      <c r="A66" s="345">
        <v>54</v>
      </c>
      <c r="B66" s="102" t="s">
        <v>393</v>
      </c>
      <c r="C66" s="345" t="s">
        <v>14</v>
      </c>
      <c r="D66" s="104">
        <v>3</v>
      </c>
      <c r="E66" s="389">
        <v>115000</v>
      </c>
      <c r="F66" s="387">
        <f t="shared" si="0"/>
        <v>345000</v>
      </c>
      <c r="G66" s="280">
        <v>0</v>
      </c>
    </row>
    <row r="67" spans="1:7" s="176" customFormat="1" ht="33" x14ac:dyDescent="0.25">
      <c r="A67" s="345">
        <v>55</v>
      </c>
      <c r="B67" s="102" t="s">
        <v>394</v>
      </c>
      <c r="C67" s="345" t="s">
        <v>14</v>
      </c>
      <c r="D67" s="104">
        <v>2</v>
      </c>
      <c r="E67" s="389">
        <v>80000</v>
      </c>
      <c r="F67" s="387">
        <f t="shared" si="0"/>
        <v>160000</v>
      </c>
      <c r="G67" s="280">
        <v>0</v>
      </c>
    </row>
    <row r="68" spans="1:7" s="176" customFormat="1" ht="33" x14ac:dyDescent="0.25">
      <c r="A68" s="345">
        <v>56</v>
      </c>
      <c r="B68" s="102" t="s">
        <v>395</v>
      </c>
      <c r="C68" s="345" t="s">
        <v>14</v>
      </c>
      <c r="D68" s="104">
        <v>1</v>
      </c>
      <c r="E68" s="389">
        <v>60000</v>
      </c>
      <c r="F68" s="387">
        <f t="shared" si="0"/>
        <v>60000</v>
      </c>
      <c r="G68" s="280">
        <v>0</v>
      </c>
    </row>
    <row r="69" spans="1:7" s="176" customFormat="1" ht="33" x14ac:dyDescent="0.25">
      <c r="A69" s="345">
        <v>57</v>
      </c>
      <c r="B69" s="102" t="s">
        <v>396</v>
      </c>
      <c r="C69" s="345" t="s">
        <v>14</v>
      </c>
      <c r="D69" s="104">
        <v>1</v>
      </c>
      <c r="E69" s="389">
        <v>110000</v>
      </c>
      <c r="F69" s="387">
        <f t="shared" si="0"/>
        <v>110000</v>
      </c>
      <c r="G69" s="280">
        <v>0</v>
      </c>
    </row>
    <row r="70" spans="1:7" s="176" customFormat="1" ht="99" x14ac:dyDescent="0.25">
      <c r="A70" s="345">
        <v>58</v>
      </c>
      <c r="B70" s="102" t="s">
        <v>397</v>
      </c>
      <c r="C70" s="345" t="s">
        <v>14</v>
      </c>
      <c r="D70" s="104">
        <v>1</v>
      </c>
      <c r="E70" s="389">
        <v>262000</v>
      </c>
      <c r="F70" s="387">
        <f t="shared" si="0"/>
        <v>262000</v>
      </c>
      <c r="G70" s="280">
        <v>0</v>
      </c>
    </row>
    <row r="71" spans="1:7" s="176" customFormat="1" ht="22.5" customHeight="1" x14ac:dyDescent="0.25">
      <c r="A71" s="345">
        <v>59</v>
      </c>
      <c r="B71" s="102" t="s">
        <v>398</v>
      </c>
      <c r="C71" s="345" t="s">
        <v>14</v>
      </c>
      <c r="D71" s="104">
        <v>5</v>
      </c>
      <c r="E71" s="389">
        <v>51000</v>
      </c>
      <c r="F71" s="387">
        <f t="shared" si="0"/>
        <v>255000</v>
      </c>
      <c r="G71" s="280">
        <v>0</v>
      </c>
    </row>
    <row r="72" spans="1:7" s="176" customFormat="1" ht="22.5" customHeight="1" x14ac:dyDescent="0.25">
      <c r="A72" s="345">
        <v>60</v>
      </c>
      <c r="B72" s="102" t="s">
        <v>220</v>
      </c>
      <c r="C72" s="345" t="s">
        <v>14</v>
      </c>
      <c r="D72" s="104">
        <v>2</v>
      </c>
      <c r="E72" s="389">
        <v>110000</v>
      </c>
      <c r="F72" s="387">
        <f t="shared" si="0"/>
        <v>220000</v>
      </c>
      <c r="G72" s="280">
        <v>0</v>
      </c>
    </row>
    <row r="73" spans="1:7" s="176" customFormat="1" ht="33" x14ac:dyDescent="0.25">
      <c r="A73" s="345">
        <v>61</v>
      </c>
      <c r="B73" s="103" t="s">
        <v>399</v>
      </c>
      <c r="C73" s="345" t="s">
        <v>14</v>
      </c>
      <c r="D73" s="105">
        <v>1</v>
      </c>
      <c r="E73" s="389">
        <v>71000</v>
      </c>
      <c r="F73" s="387">
        <f t="shared" si="0"/>
        <v>71000</v>
      </c>
      <c r="G73" s="280">
        <v>0</v>
      </c>
    </row>
    <row r="74" spans="1:7" s="176" customFormat="1" ht="49.5" x14ac:dyDescent="0.25">
      <c r="A74" s="345">
        <v>62</v>
      </c>
      <c r="B74" s="285" t="s">
        <v>400</v>
      </c>
      <c r="C74" s="345" t="s">
        <v>14</v>
      </c>
      <c r="D74" s="104">
        <v>8</v>
      </c>
      <c r="E74" s="389">
        <v>73000</v>
      </c>
      <c r="F74" s="387">
        <f t="shared" si="0"/>
        <v>584000</v>
      </c>
      <c r="G74" s="280">
        <v>0</v>
      </c>
    </row>
    <row r="75" spans="1:7" s="176" customFormat="1" ht="24" customHeight="1" x14ac:dyDescent="0.25">
      <c r="A75" s="345">
        <v>63</v>
      </c>
      <c r="B75" s="102" t="s">
        <v>401</v>
      </c>
      <c r="C75" s="345" t="s">
        <v>14</v>
      </c>
      <c r="D75" s="104">
        <v>1</v>
      </c>
      <c r="E75" s="389">
        <v>127000</v>
      </c>
      <c r="F75" s="387">
        <f t="shared" si="0"/>
        <v>127000</v>
      </c>
      <c r="G75" s="280">
        <v>0</v>
      </c>
    </row>
    <row r="76" spans="1:7" s="176" customFormat="1" ht="33" x14ac:dyDescent="0.25">
      <c r="A76" s="345">
        <v>64</v>
      </c>
      <c r="B76" s="102" t="s">
        <v>402</v>
      </c>
      <c r="C76" s="345" t="s">
        <v>14</v>
      </c>
      <c r="D76" s="104">
        <v>1</v>
      </c>
      <c r="E76" s="389">
        <v>99510</v>
      </c>
      <c r="F76" s="387">
        <f t="shared" si="0"/>
        <v>99510</v>
      </c>
      <c r="G76" s="280">
        <v>0</v>
      </c>
    </row>
    <row r="77" spans="1:7" s="176" customFormat="1" ht="23.25" customHeight="1" x14ac:dyDescent="0.25">
      <c r="A77" s="345">
        <v>65</v>
      </c>
      <c r="B77" s="102" t="s">
        <v>403</v>
      </c>
      <c r="C77" s="345" t="s">
        <v>14</v>
      </c>
      <c r="D77" s="104">
        <v>10</v>
      </c>
      <c r="E77" s="389">
        <v>33000</v>
      </c>
      <c r="F77" s="387">
        <f t="shared" ref="F77:F115" si="1">D77*E77</f>
        <v>330000</v>
      </c>
      <c r="G77" s="280">
        <v>0</v>
      </c>
    </row>
    <row r="78" spans="1:7" s="176" customFormat="1" ht="23.25" customHeight="1" x14ac:dyDescent="0.25">
      <c r="A78" s="345">
        <v>66</v>
      </c>
      <c r="B78" s="102" t="s">
        <v>404</v>
      </c>
      <c r="C78" s="345" t="s">
        <v>14</v>
      </c>
      <c r="D78" s="104">
        <v>1</v>
      </c>
      <c r="E78" s="389">
        <v>85000</v>
      </c>
      <c r="F78" s="387">
        <f t="shared" si="1"/>
        <v>85000</v>
      </c>
      <c r="G78" s="280">
        <v>0</v>
      </c>
    </row>
    <row r="79" spans="1:7" s="176" customFormat="1" ht="23.25" customHeight="1" x14ac:dyDescent="0.25">
      <c r="A79" s="345">
        <v>67</v>
      </c>
      <c r="B79" s="102" t="s">
        <v>405</v>
      </c>
      <c r="C79" s="345" t="s">
        <v>14</v>
      </c>
      <c r="D79" s="104">
        <v>1</v>
      </c>
      <c r="E79" s="389">
        <v>54000</v>
      </c>
      <c r="F79" s="387">
        <f t="shared" si="1"/>
        <v>54000</v>
      </c>
      <c r="G79" s="280">
        <v>0</v>
      </c>
    </row>
    <row r="80" spans="1:7" s="176" customFormat="1" ht="49.5" x14ac:dyDescent="0.25">
      <c r="A80" s="345">
        <v>68</v>
      </c>
      <c r="B80" s="102" t="s">
        <v>406</v>
      </c>
      <c r="C80" s="345" t="s">
        <v>14</v>
      </c>
      <c r="D80" s="104">
        <v>1</v>
      </c>
      <c r="E80" s="389">
        <v>141000</v>
      </c>
      <c r="F80" s="387">
        <f t="shared" si="1"/>
        <v>141000</v>
      </c>
      <c r="G80" s="280">
        <v>0</v>
      </c>
    </row>
    <row r="81" spans="1:7" s="176" customFormat="1" ht="24" customHeight="1" x14ac:dyDescent="0.25">
      <c r="A81" s="345">
        <v>69</v>
      </c>
      <c r="B81" s="102" t="s">
        <v>407</v>
      </c>
      <c r="C81" s="345" t="s">
        <v>14</v>
      </c>
      <c r="D81" s="104">
        <v>1</v>
      </c>
      <c r="E81" s="389">
        <v>100000</v>
      </c>
      <c r="F81" s="387">
        <f t="shared" si="1"/>
        <v>100000</v>
      </c>
      <c r="G81" s="280">
        <v>0</v>
      </c>
    </row>
    <row r="82" spans="1:7" s="176" customFormat="1" ht="33" x14ac:dyDescent="0.25">
      <c r="A82" s="345">
        <v>70</v>
      </c>
      <c r="B82" s="102" t="s">
        <v>408</v>
      </c>
      <c r="C82" s="345" t="s">
        <v>14</v>
      </c>
      <c r="D82" s="104">
        <v>1</v>
      </c>
      <c r="E82" s="389">
        <v>40000</v>
      </c>
      <c r="F82" s="387">
        <f t="shared" si="1"/>
        <v>40000</v>
      </c>
      <c r="G82" s="280">
        <v>0</v>
      </c>
    </row>
    <row r="83" spans="1:7" s="176" customFormat="1" ht="24" customHeight="1" x14ac:dyDescent="0.25">
      <c r="A83" s="345">
        <v>71</v>
      </c>
      <c r="B83" s="102" t="s">
        <v>409</v>
      </c>
      <c r="C83" s="345" t="s">
        <v>14</v>
      </c>
      <c r="D83" s="104">
        <v>2</v>
      </c>
      <c r="E83" s="389">
        <v>65000</v>
      </c>
      <c r="F83" s="387">
        <f t="shared" si="1"/>
        <v>130000</v>
      </c>
      <c r="G83" s="280">
        <v>0</v>
      </c>
    </row>
    <row r="84" spans="1:7" s="176" customFormat="1" ht="24" customHeight="1" x14ac:dyDescent="0.25">
      <c r="A84" s="345">
        <v>72</v>
      </c>
      <c r="B84" s="102" t="s">
        <v>409</v>
      </c>
      <c r="C84" s="345" t="s">
        <v>14</v>
      </c>
      <c r="D84" s="104">
        <v>2</v>
      </c>
      <c r="E84" s="389">
        <v>40660</v>
      </c>
      <c r="F84" s="387">
        <f t="shared" si="1"/>
        <v>81320</v>
      </c>
      <c r="G84" s="280">
        <v>0</v>
      </c>
    </row>
    <row r="85" spans="1:7" s="176" customFormat="1" ht="24" customHeight="1" x14ac:dyDescent="0.25">
      <c r="A85" s="345">
        <v>73</v>
      </c>
      <c r="B85" s="102" t="s">
        <v>410</v>
      </c>
      <c r="C85" s="345" t="s">
        <v>14</v>
      </c>
      <c r="D85" s="104">
        <v>3</v>
      </c>
      <c r="E85" s="389">
        <v>59000</v>
      </c>
      <c r="F85" s="387">
        <f t="shared" si="1"/>
        <v>177000</v>
      </c>
      <c r="G85" s="280">
        <v>0</v>
      </c>
    </row>
    <row r="86" spans="1:7" s="176" customFormat="1" ht="24" customHeight="1" x14ac:dyDescent="0.25">
      <c r="A86" s="345">
        <v>74</v>
      </c>
      <c r="B86" s="102" t="s">
        <v>411</v>
      </c>
      <c r="C86" s="345" t="s">
        <v>14</v>
      </c>
      <c r="D86" s="104">
        <v>1</v>
      </c>
      <c r="E86" s="389">
        <v>31000</v>
      </c>
      <c r="F86" s="387">
        <f t="shared" si="1"/>
        <v>31000</v>
      </c>
      <c r="G86" s="280">
        <v>0</v>
      </c>
    </row>
    <row r="87" spans="1:7" s="176" customFormat="1" ht="24" customHeight="1" x14ac:dyDescent="0.25">
      <c r="A87" s="345">
        <v>75</v>
      </c>
      <c r="B87" s="102" t="s">
        <v>412</v>
      </c>
      <c r="C87" s="345" t="s">
        <v>14</v>
      </c>
      <c r="D87" s="104">
        <v>3</v>
      </c>
      <c r="E87" s="389">
        <v>55000</v>
      </c>
      <c r="F87" s="387">
        <f t="shared" si="1"/>
        <v>165000</v>
      </c>
      <c r="G87" s="280">
        <v>0</v>
      </c>
    </row>
    <row r="88" spans="1:7" s="176" customFormat="1" ht="33" x14ac:dyDescent="0.25">
      <c r="A88" s="345">
        <v>76</v>
      </c>
      <c r="B88" s="102" t="s">
        <v>413</v>
      </c>
      <c r="C88" s="345" t="s">
        <v>14</v>
      </c>
      <c r="D88" s="104">
        <v>4</v>
      </c>
      <c r="E88" s="389">
        <v>26000</v>
      </c>
      <c r="F88" s="387">
        <f t="shared" si="1"/>
        <v>104000</v>
      </c>
      <c r="G88" s="280">
        <v>0</v>
      </c>
    </row>
    <row r="89" spans="1:7" s="176" customFormat="1" ht="25.5" customHeight="1" x14ac:dyDescent="0.25">
      <c r="A89" s="345">
        <v>77</v>
      </c>
      <c r="B89" s="102" t="s">
        <v>414</v>
      </c>
      <c r="C89" s="345" t="s">
        <v>14</v>
      </c>
      <c r="D89" s="104">
        <v>8</v>
      </c>
      <c r="E89" s="389">
        <v>50000</v>
      </c>
      <c r="F89" s="387">
        <f t="shared" si="1"/>
        <v>400000</v>
      </c>
      <c r="G89" s="280">
        <v>0</v>
      </c>
    </row>
    <row r="90" spans="1:7" s="176" customFormat="1" ht="24" customHeight="1" x14ac:dyDescent="0.25">
      <c r="A90" s="345">
        <v>78</v>
      </c>
      <c r="B90" s="102" t="s">
        <v>415</v>
      </c>
      <c r="C90" s="345" t="s">
        <v>14</v>
      </c>
      <c r="D90" s="104">
        <v>1</v>
      </c>
      <c r="E90" s="389">
        <v>65000</v>
      </c>
      <c r="F90" s="387">
        <f t="shared" si="1"/>
        <v>65000</v>
      </c>
      <c r="G90" s="280">
        <v>0</v>
      </c>
    </row>
    <row r="91" spans="1:7" s="176" customFormat="1" ht="66" x14ac:dyDescent="0.25">
      <c r="A91" s="345">
        <v>79</v>
      </c>
      <c r="B91" s="102" t="s">
        <v>416</v>
      </c>
      <c r="C91" s="345" t="s">
        <v>14</v>
      </c>
      <c r="D91" s="104">
        <v>1</v>
      </c>
      <c r="E91" s="389">
        <v>52000</v>
      </c>
      <c r="F91" s="387">
        <f t="shared" si="1"/>
        <v>52000</v>
      </c>
      <c r="G91" s="280">
        <v>0</v>
      </c>
    </row>
    <row r="92" spans="1:7" s="176" customFormat="1" ht="24.75" customHeight="1" x14ac:dyDescent="0.25">
      <c r="A92" s="345">
        <v>80</v>
      </c>
      <c r="B92" s="102" t="s">
        <v>417</v>
      </c>
      <c r="C92" s="345" t="s">
        <v>14</v>
      </c>
      <c r="D92" s="104">
        <v>1</v>
      </c>
      <c r="E92" s="389">
        <v>54000</v>
      </c>
      <c r="F92" s="387">
        <f t="shared" si="1"/>
        <v>54000</v>
      </c>
      <c r="G92" s="280">
        <v>0</v>
      </c>
    </row>
    <row r="93" spans="1:7" s="176" customFormat="1" ht="33" x14ac:dyDescent="0.25">
      <c r="A93" s="345">
        <v>81</v>
      </c>
      <c r="B93" s="102" t="s">
        <v>418</v>
      </c>
      <c r="C93" s="345" t="s">
        <v>14</v>
      </c>
      <c r="D93" s="104">
        <v>20</v>
      </c>
      <c r="E93" s="389">
        <v>26000</v>
      </c>
      <c r="F93" s="387">
        <f t="shared" si="1"/>
        <v>520000</v>
      </c>
      <c r="G93" s="280">
        <v>0</v>
      </c>
    </row>
    <row r="94" spans="1:7" s="176" customFormat="1" ht="23.25" customHeight="1" x14ac:dyDescent="0.25">
      <c r="A94" s="345">
        <v>82</v>
      </c>
      <c r="B94" s="102" t="s">
        <v>419</v>
      </c>
      <c r="C94" s="345" t="s">
        <v>14</v>
      </c>
      <c r="D94" s="104">
        <v>1</v>
      </c>
      <c r="E94" s="389">
        <v>30000</v>
      </c>
      <c r="F94" s="387">
        <f t="shared" si="1"/>
        <v>30000</v>
      </c>
      <c r="G94" s="280">
        <v>0</v>
      </c>
    </row>
    <row r="95" spans="1:7" s="176" customFormat="1" ht="23.25" customHeight="1" x14ac:dyDescent="0.25">
      <c r="A95" s="345">
        <v>83</v>
      </c>
      <c r="B95" s="102" t="s">
        <v>367</v>
      </c>
      <c r="C95" s="345" t="s">
        <v>14</v>
      </c>
      <c r="D95" s="104">
        <v>1</v>
      </c>
      <c r="E95" s="389">
        <v>64500</v>
      </c>
      <c r="F95" s="387">
        <f t="shared" si="1"/>
        <v>64500</v>
      </c>
      <c r="G95" s="280">
        <v>0</v>
      </c>
    </row>
    <row r="96" spans="1:7" s="176" customFormat="1" ht="23.25" customHeight="1" x14ac:dyDescent="0.25">
      <c r="A96" s="345">
        <v>84</v>
      </c>
      <c r="B96" s="102" t="s">
        <v>420</v>
      </c>
      <c r="C96" s="345" t="s">
        <v>14</v>
      </c>
      <c r="D96" s="104">
        <v>1</v>
      </c>
      <c r="E96" s="389">
        <v>30000</v>
      </c>
      <c r="F96" s="387">
        <f t="shared" si="1"/>
        <v>30000</v>
      </c>
      <c r="G96" s="280">
        <v>0</v>
      </c>
    </row>
    <row r="97" spans="1:7" s="176" customFormat="1" ht="23.25" customHeight="1" x14ac:dyDescent="0.25">
      <c r="A97" s="345">
        <v>85</v>
      </c>
      <c r="B97" s="102" t="s">
        <v>420</v>
      </c>
      <c r="C97" s="345" t="s">
        <v>14</v>
      </c>
      <c r="D97" s="104">
        <v>1</v>
      </c>
      <c r="E97" s="389">
        <v>33000</v>
      </c>
      <c r="F97" s="387">
        <f t="shared" si="1"/>
        <v>33000</v>
      </c>
      <c r="G97" s="280">
        <v>0</v>
      </c>
    </row>
    <row r="98" spans="1:7" s="176" customFormat="1" ht="33" x14ac:dyDescent="0.25">
      <c r="A98" s="345">
        <v>86</v>
      </c>
      <c r="B98" s="102" t="s">
        <v>421</v>
      </c>
      <c r="C98" s="345" t="s">
        <v>14</v>
      </c>
      <c r="D98" s="104">
        <v>1</v>
      </c>
      <c r="E98" s="389">
        <v>0</v>
      </c>
      <c r="F98" s="387">
        <f t="shared" si="1"/>
        <v>0</v>
      </c>
      <c r="G98" s="280">
        <v>0</v>
      </c>
    </row>
    <row r="99" spans="1:7" s="176" customFormat="1" ht="22.5" customHeight="1" x14ac:dyDescent="0.25">
      <c r="A99" s="345">
        <v>87</v>
      </c>
      <c r="B99" s="102" t="s">
        <v>422</v>
      </c>
      <c r="C99" s="345" t="s">
        <v>14</v>
      </c>
      <c r="D99" s="104">
        <v>1</v>
      </c>
      <c r="E99" s="389">
        <v>280000</v>
      </c>
      <c r="F99" s="387">
        <f t="shared" si="1"/>
        <v>280000</v>
      </c>
      <c r="G99" s="280">
        <v>0</v>
      </c>
    </row>
    <row r="100" spans="1:7" s="176" customFormat="1" ht="22.5" customHeight="1" x14ac:dyDescent="0.25">
      <c r="A100" s="345">
        <v>88</v>
      </c>
      <c r="B100" s="102" t="s">
        <v>423</v>
      </c>
      <c r="C100" s="345" t="s">
        <v>14</v>
      </c>
      <c r="D100" s="104">
        <v>1</v>
      </c>
      <c r="E100" s="389">
        <v>72000</v>
      </c>
      <c r="F100" s="387">
        <f t="shared" si="1"/>
        <v>72000</v>
      </c>
      <c r="G100" s="280">
        <v>0</v>
      </c>
    </row>
    <row r="101" spans="1:7" s="176" customFormat="1" ht="22.5" customHeight="1" x14ac:dyDescent="0.25">
      <c r="A101" s="345">
        <v>89</v>
      </c>
      <c r="B101" s="102" t="s">
        <v>225</v>
      </c>
      <c r="C101" s="345" t="s">
        <v>14</v>
      </c>
      <c r="D101" s="104">
        <v>6</v>
      </c>
      <c r="E101" s="389">
        <v>535200</v>
      </c>
      <c r="F101" s="387">
        <f t="shared" si="1"/>
        <v>3211200</v>
      </c>
      <c r="G101" s="280">
        <v>0</v>
      </c>
    </row>
    <row r="102" spans="1:7" s="176" customFormat="1" ht="33.75" customHeight="1" x14ac:dyDescent="0.25">
      <c r="A102" s="345">
        <v>90</v>
      </c>
      <c r="B102" s="102" t="s">
        <v>424</v>
      </c>
      <c r="C102" s="345" t="s">
        <v>14</v>
      </c>
      <c r="D102" s="104">
        <v>5</v>
      </c>
      <c r="E102" s="389">
        <v>450000</v>
      </c>
      <c r="F102" s="387">
        <f t="shared" si="1"/>
        <v>2250000</v>
      </c>
      <c r="G102" s="280">
        <v>0</v>
      </c>
    </row>
    <row r="103" spans="1:7" s="176" customFormat="1" ht="33.75" customHeight="1" x14ac:dyDescent="0.25">
      <c r="A103" s="345">
        <v>91</v>
      </c>
      <c r="B103" s="102" t="s">
        <v>220</v>
      </c>
      <c r="C103" s="345" t="s">
        <v>14</v>
      </c>
      <c r="D103" s="104">
        <v>2</v>
      </c>
      <c r="E103" s="389">
        <v>80000</v>
      </c>
      <c r="F103" s="387">
        <f t="shared" si="1"/>
        <v>160000</v>
      </c>
      <c r="G103" s="280">
        <v>0</v>
      </c>
    </row>
    <row r="104" spans="1:7" s="176" customFormat="1" ht="33.75" customHeight="1" x14ac:dyDescent="0.25">
      <c r="A104" s="345">
        <v>92</v>
      </c>
      <c r="B104" s="102" t="s">
        <v>182</v>
      </c>
      <c r="C104" s="345" t="s">
        <v>14</v>
      </c>
      <c r="D104" s="104">
        <v>2</v>
      </c>
      <c r="E104" s="389">
        <v>90000</v>
      </c>
      <c r="F104" s="387">
        <f t="shared" si="1"/>
        <v>180000</v>
      </c>
      <c r="G104" s="280">
        <v>0</v>
      </c>
    </row>
    <row r="105" spans="1:7" s="176" customFormat="1" ht="33.75" customHeight="1" x14ac:dyDescent="0.25">
      <c r="A105" s="345">
        <v>93</v>
      </c>
      <c r="B105" s="102" t="s">
        <v>425</v>
      </c>
      <c r="C105" s="345" t="s">
        <v>14</v>
      </c>
      <c r="D105" s="104">
        <v>2</v>
      </c>
      <c r="E105" s="389">
        <v>80000</v>
      </c>
      <c r="F105" s="387">
        <f t="shared" si="1"/>
        <v>160000</v>
      </c>
      <c r="G105" s="280">
        <v>0</v>
      </c>
    </row>
    <row r="106" spans="1:7" s="176" customFormat="1" ht="33.75" customHeight="1" x14ac:dyDescent="0.25">
      <c r="A106" s="345">
        <v>94</v>
      </c>
      <c r="B106" s="102" t="s">
        <v>306</v>
      </c>
      <c r="C106" s="345" t="s">
        <v>14</v>
      </c>
      <c r="D106" s="104">
        <v>5</v>
      </c>
      <c r="E106" s="389">
        <v>264000</v>
      </c>
      <c r="F106" s="387">
        <f t="shared" si="1"/>
        <v>1320000</v>
      </c>
      <c r="G106" s="280">
        <v>0</v>
      </c>
    </row>
    <row r="107" spans="1:7" s="176" customFormat="1" ht="33.75" customHeight="1" x14ac:dyDescent="0.25">
      <c r="A107" s="345">
        <v>95</v>
      </c>
      <c r="B107" s="102" t="s">
        <v>306</v>
      </c>
      <c r="C107" s="345" t="s">
        <v>14</v>
      </c>
      <c r="D107" s="104">
        <v>4</v>
      </c>
      <c r="E107" s="389">
        <v>79000</v>
      </c>
      <c r="F107" s="387">
        <f t="shared" si="1"/>
        <v>316000</v>
      </c>
      <c r="G107" s="280">
        <v>0</v>
      </c>
    </row>
    <row r="108" spans="1:7" s="176" customFormat="1" ht="33.75" customHeight="1" x14ac:dyDescent="0.25">
      <c r="A108" s="345">
        <v>96</v>
      </c>
      <c r="B108" s="102" t="s">
        <v>426</v>
      </c>
      <c r="C108" s="345" t="s">
        <v>14</v>
      </c>
      <c r="D108" s="104">
        <v>5</v>
      </c>
      <c r="E108" s="389">
        <v>200000</v>
      </c>
      <c r="F108" s="387">
        <f t="shared" si="1"/>
        <v>1000000</v>
      </c>
      <c r="G108" s="280">
        <v>0</v>
      </c>
    </row>
    <row r="109" spans="1:7" s="176" customFormat="1" ht="55.5" customHeight="1" x14ac:dyDescent="0.25">
      <c r="A109" s="345">
        <v>97</v>
      </c>
      <c r="B109" s="102" t="s">
        <v>427</v>
      </c>
      <c r="C109" s="345" t="s">
        <v>14</v>
      </c>
      <c r="D109" s="104">
        <v>30</v>
      </c>
      <c r="E109" s="389">
        <v>52000</v>
      </c>
      <c r="F109" s="387">
        <f t="shared" si="1"/>
        <v>1560000</v>
      </c>
      <c r="G109" s="280">
        <v>0</v>
      </c>
    </row>
    <row r="110" spans="1:7" s="176" customFormat="1" ht="33.75" customHeight="1" x14ac:dyDescent="0.25">
      <c r="A110" s="345">
        <v>98</v>
      </c>
      <c r="B110" s="102" t="s">
        <v>428</v>
      </c>
      <c r="C110" s="345" t="s">
        <v>14</v>
      </c>
      <c r="D110" s="104">
        <v>25</v>
      </c>
      <c r="E110" s="389">
        <v>72500</v>
      </c>
      <c r="F110" s="387">
        <f t="shared" si="1"/>
        <v>1812500</v>
      </c>
      <c r="G110" s="280">
        <v>0</v>
      </c>
    </row>
    <row r="111" spans="1:7" s="176" customFormat="1" ht="33.75" customHeight="1" x14ac:dyDescent="0.25">
      <c r="A111" s="345">
        <v>99</v>
      </c>
      <c r="B111" s="102" t="s">
        <v>429</v>
      </c>
      <c r="C111" s="345" t="s">
        <v>14</v>
      </c>
      <c r="D111" s="104">
        <v>1</v>
      </c>
      <c r="E111" s="389">
        <v>10000</v>
      </c>
      <c r="F111" s="387">
        <f t="shared" si="1"/>
        <v>10000</v>
      </c>
      <c r="G111" s="280">
        <v>0</v>
      </c>
    </row>
    <row r="112" spans="1:7" s="176" customFormat="1" ht="33.75" customHeight="1" x14ac:dyDescent="0.25">
      <c r="A112" s="345">
        <v>100</v>
      </c>
      <c r="B112" s="102" t="s">
        <v>430</v>
      </c>
      <c r="C112" s="345" t="s">
        <v>14</v>
      </c>
      <c r="D112" s="104">
        <v>1</v>
      </c>
      <c r="E112" s="389">
        <v>50000</v>
      </c>
      <c r="F112" s="387">
        <f t="shared" si="1"/>
        <v>50000</v>
      </c>
      <c r="G112" s="280">
        <v>33750</v>
      </c>
    </row>
    <row r="113" spans="1:7" s="176" customFormat="1" ht="33.75" customHeight="1" x14ac:dyDescent="0.25">
      <c r="A113" s="345">
        <v>101</v>
      </c>
      <c r="B113" s="102" t="s">
        <v>431</v>
      </c>
      <c r="C113" s="345" t="s">
        <v>14</v>
      </c>
      <c r="D113" s="104">
        <v>12</v>
      </c>
      <c r="E113" s="389">
        <v>26000</v>
      </c>
      <c r="F113" s="387">
        <f t="shared" si="1"/>
        <v>312000</v>
      </c>
      <c r="G113" s="280">
        <v>0</v>
      </c>
    </row>
    <row r="114" spans="1:7" s="176" customFormat="1" ht="33.75" customHeight="1" x14ac:dyDescent="0.25">
      <c r="A114" s="345">
        <v>102</v>
      </c>
      <c r="B114" s="102" t="s">
        <v>432</v>
      </c>
      <c r="C114" s="345" t="s">
        <v>14</v>
      </c>
      <c r="D114" s="104">
        <v>1</v>
      </c>
      <c r="E114" s="389">
        <v>36000</v>
      </c>
      <c r="F114" s="387">
        <f t="shared" si="1"/>
        <v>36000</v>
      </c>
      <c r="G114" s="280">
        <v>0</v>
      </c>
    </row>
    <row r="115" spans="1:7" s="176" customFormat="1" ht="33.75" customHeight="1" x14ac:dyDescent="0.25">
      <c r="A115" s="345">
        <v>103</v>
      </c>
      <c r="B115" s="102" t="s">
        <v>433</v>
      </c>
      <c r="C115" s="345" t="s">
        <v>14</v>
      </c>
      <c r="D115" s="104">
        <v>6</v>
      </c>
      <c r="E115" s="389">
        <v>44000</v>
      </c>
      <c r="F115" s="387">
        <f t="shared" si="1"/>
        <v>264000</v>
      </c>
      <c r="G115" s="280">
        <v>0</v>
      </c>
    </row>
    <row r="116" spans="1:7" s="374" customFormat="1" ht="25.5" customHeight="1" x14ac:dyDescent="0.25">
      <c r="A116" s="93"/>
      <c r="B116" s="94" t="s">
        <v>39</v>
      </c>
      <c r="C116" s="93"/>
      <c r="D116" s="107">
        <f>SUM(D13:D115)</f>
        <v>263</v>
      </c>
      <c r="E116" s="107"/>
      <c r="F116" s="86">
        <f>SUM(F13:F115)</f>
        <v>24811593.5</v>
      </c>
      <c r="G116" s="86">
        <f>SUM(G13:G115)</f>
        <v>370586.5</v>
      </c>
    </row>
    <row r="117" spans="1:7" s="176" customFormat="1" ht="25.5" customHeight="1" x14ac:dyDescent="0.25">
      <c r="A117" s="163"/>
      <c r="B117" s="475" t="s">
        <v>443</v>
      </c>
      <c r="C117" s="476"/>
      <c r="D117" s="476"/>
      <c r="E117" s="476"/>
      <c r="F117" s="476"/>
      <c r="G117" s="477"/>
    </row>
    <row r="118" spans="1:7" s="176" customFormat="1" ht="25.5" customHeight="1" x14ac:dyDescent="0.25">
      <c r="A118" s="345">
        <v>1</v>
      </c>
      <c r="B118" s="197" t="s">
        <v>434</v>
      </c>
      <c r="C118" s="106" t="s">
        <v>14</v>
      </c>
      <c r="D118" s="360">
        <v>1</v>
      </c>
      <c r="E118" s="389">
        <v>19000</v>
      </c>
      <c r="F118" s="361">
        <f t="shared" ref="F118:F127" si="2">D118*E118</f>
        <v>19000</v>
      </c>
      <c r="G118" s="280">
        <v>0</v>
      </c>
    </row>
    <row r="119" spans="1:7" s="176" customFormat="1" ht="25.5" customHeight="1" x14ac:dyDescent="0.25">
      <c r="A119" s="345">
        <v>2</v>
      </c>
      <c r="B119" s="142" t="s">
        <v>435</v>
      </c>
      <c r="C119" s="106" t="s">
        <v>14</v>
      </c>
      <c r="D119" s="360">
        <v>1</v>
      </c>
      <c r="E119" s="389">
        <v>4000</v>
      </c>
      <c r="F119" s="361">
        <f t="shared" si="2"/>
        <v>4000</v>
      </c>
      <c r="G119" s="280">
        <v>0</v>
      </c>
    </row>
    <row r="120" spans="1:7" s="176" customFormat="1" ht="25.5" customHeight="1" x14ac:dyDescent="0.25">
      <c r="A120" s="345">
        <v>3</v>
      </c>
      <c r="B120" s="142" t="s">
        <v>328</v>
      </c>
      <c r="C120" s="106" t="s">
        <v>14</v>
      </c>
      <c r="D120" s="360">
        <v>1</v>
      </c>
      <c r="E120" s="389">
        <v>3000</v>
      </c>
      <c r="F120" s="361">
        <f t="shared" si="2"/>
        <v>3000</v>
      </c>
      <c r="G120" s="280">
        <v>0</v>
      </c>
    </row>
    <row r="121" spans="1:7" s="176" customFormat="1" ht="25.5" customHeight="1" x14ac:dyDescent="0.25">
      <c r="A121" s="345">
        <v>4</v>
      </c>
      <c r="B121" s="142" t="s">
        <v>436</v>
      </c>
      <c r="C121" s="106" t="s">
        <v>14</v>
      </c>
      <c r="D121" s="360">
        <v>1</v>
      </c>
      <c r="E121" s="389">
        <v>6600</v>
      </c>
      <c r="F121" s="361">
        <f t="shared" si="2"/>
        <v>6600</v>
      </c>
      <c r="G121" s="280">
        <v>0</v>
      </c>
    </row>
    <row r="122" spans="1:7" s="176" customFormat="1" ht="25.5" customHeight="1" x14ac:dyDescent="0.25">
      <c r="A122" s="345">
        <v>5</v>
      </c>
      <c r="B122" s="142" t="s">
        <v>437</v>
      </c>
      <c r="C122" s="106" t="s">
        <v>14</v>
      </c>
      <c r="D122" s="360">
        <v>1</v>
      </c>
      <c r="E122" s="389">
        <v>2300</v>
      </c>
      <c r="F122" s="361">
        <f t="shared" si="2"/>
        <v>2300</v>
      </c>
      <c r="G122" s="280">
        <v>0</v>
      </c>
    </row>
    <row r="123" spans="1:7" s="176" customFormat="1" ht="25.5" customHeight="1" x14ac:dyDescent="0.25">
      <c r="A123" s="345">
        <v>6</v>
      </c>
      <c r="B123" s="142" t="s">
        <v>438</v>
      </c>
      <c r="C123" s="106" t="s">
        <v>14</v>
      </c>
      <c r="D123" s="360">
        <v>1</v>
      </c>
      <c r="E123" s="389">
        <v>10000</v>
      </c>
      <c r="F123" s="361">
        <f t="shared" si="2"/>
        <v>10000</v>
      </c>
      <c r="G123" s="280">
        <v>0</v>
      </c>
    </row>
    <row r="124" spans="1:7" s="176" customFormat="1" ht="25.5" customHeight="1" x14ac:dyDescent="0.25">
      <c r="A124" s="345">
        <v>7</v>
      </c>
      <c r="B124" s="142" t="s">
        <v>439</v>
      </c>
      <c r="C124" s="106" t="s">
        <v>14</v>
      </c>
      <c r="D124" s="360">
        <v>1</v>
      </c>
      <c r="E124" s="389">
        <v>3500</v>
      </c>
      <c r="F124" s="361">
        <f t="shared" si="2"/>
        <v>3500</v>
      </c>
      <c r="G124" s="280">
        <v>0</v>
      </c>
    </row>
    <row r="125" spans="1:7" s="176" customFormat="1" ht="25.5" customHeight="1" x14ac:dyDescent="0.25">
      <c r="A125" s="345">
        <v>8</v>
      </c>
      <c r="B125" s="142" t="s">
        <v>440</v>
      </c>
      <c r="C125" s="106" t="s">
        <v>14</v>
      </c>
      <c r="D125" s="360">
        <v>2</v>
      </c>
      <c r="E125" s="389">
        <v>3400</v>
      </c>
      <c r="F125" s="361">
        <f t="shared" si="2"/>
        <v>6800</v>
      </c>
      <c r="G125" s="280">
        <v>0</v>
      </c>
    </row>
    <row r="126" spans="1:7" s="176" customFormat="1" ht="25.5" customHeight="1" x14ac:dyDescent="0.25">
      <c r="A126" s="345">
        <v>9</v>
      </c>
      <c r="B126" s="197" t="s">
        <v>441</v>
      </c>
      <c r="C126" s="106" t="s">
        <v>14</v>
      </c>
      <c r="D126" s="360">
        <v>1</v>
      </c>
      <c r="E126" s="389">
        <v>3000</v>
      </c>
      <c r="F126" s="361">
        <f t="shared" si="2"/>
        <v>3000</v>
      </c>
      <c r="G126" s="280">
        <v>0</v>
      </c>
    </row>
    <row r="127" spans="1:7" s="176" customFormat="1" ht="25.5" customHeight="1" x14ac:dyDescent="0.25">
      <c r="A127" s="345">
        <v>10</v>
      </c>
      <c r="B127" s="197" t="s">
        <v>442</v>
      </c>
      <c r="C127" s="106" t="s">
        <v>14</v>
      </c>
      <c r="D127" s="360">
        <v>1</v>
      </c>
      <c r="E127" s="389">
        <v>25000</v>
      </c>
      <c r="F127" s="361">
        <f t="shared" si="2"/>
        <v>25000</v>
      </c>
      <c r="G127" s="280">
        <v>0</v>
      </c>
    </row>
    <row r="128" spans="1:7" s="374" customFormat="1" ht="25.5" customHeight="1" x14ac:dyDescent="0.25">
      <c r="A128" s="168"/>
      <c r="B128" s="208" t="s">
        <v>39</v>
      </c>
      <c r="C128" s="168"/>
      <c r="D128" s="210">
        <f>SUM(D118:D127)</f>
        <v>11</v>
      </c>
      <c r="E128" s="210"/>
      <c r="F128" s="211">
        <f>SUM(F118:F127)</f>
        <v>83200</v>
      </c>
      <c r="G128" s="211">
        <f>SUM(G118:G127)</f>
        <v>0</v>
      </c>
    </row>
    <row r="129" spans="1:7" s="374" customFormat="1" ht="25.5" customHeight="1" x14ac:dyDescent="0.25">
      <c r="A129" s="168"/>
      <c r="B129" s="208" t="s">
        <v>133</v>
      </c>
      <c r="C129" s="168"/>
      <c r="D129" s="210">
        <f>D128+D116</f>
        <v>274</v>
      </c>
      <c r="E129" s="210"/>
      <c r="F129" s="210">
        <f t="shared" ref="F129:G129" si="3">F128+F116</f>
        <v>24894793.5</v>
      </c>
      <c r="G129" s="211">
        <f t="shared" si="3"/>
        <v>370586.5</v>
      </c>
    </row>
    <row r="130" spans="1:7" s="176" customFormat="1" ht="45" customHeight="1" x14ac:dyDescent="0.25">
      <c r="A130" s="469" t="s">
        <v>1224</v>
      </c>
      <c r="B130" s="470"/>
      <c r="C130" s="470"/>
      <c r="D130" s="470"/>
      <c r="E130" s="470"/>
      <c r="F130" s="470"/>
      <c r="G130" s="471"/>
    </row>
    <row r="131" spans="1:7" s="176" customFormat="1" ht="24.75" customHeight="1" x14ac:dyDescent="0.25">
      <c r="A131" s="346"/>
      <c r="B131" s="470" t="s">
        <v>131</v>
      </c>
      <c r="C131" s="470"/>
      <c r="D131" s="470"/>
      <c r="E131" s="470"/>
      <c r="F131" s="470"/>
      <c r="G131" s="471"/>
    </row>
    <row r="132" spans="1:7" s="176" customFormat="1" ht="24.75" customHeight="1" x14ac:dyDescent="0.25">
      <c r="A132" s="345">
        <v>1</v>
      </c>
      <c r="B132" s="285" t="s">
        <v>914</v>
      </c>
      <c r="C132" s="283" t="s">
        <v>14</v>
      </c>
      <c r="D132" s="368">
        <v>39</v>
      </c>
      <c r="E132" s="302">
        <v>1</v>
      </c>
      <c r="F132" s="288">
        <f t="shared" ref="F132:F180" si="4">D132*E132</f>
        <v>39</v>
      </c>
      <c r="G132" s="288">
        <v>0</v>
      </c>
    </row>
    <row r="133" spans="1:7" s="176" customFormat="1" ht="24.75" customHeight="1" x14ac:dyDescent="0.25">
      <c r="A133" s="345">
        <v>2</v>
      </c>
      <c r="B133" s="285" t="s">
        <v>915</v>
      </c>
      <c r="C133" s="283" t="s">
        <v>14</v>
      </c>
      <c r="D133" s="368">
        <v>50</v>
      </c>
      <c r="E133" s="302">
        <v>4400</v>
      </c>
      <c r="F133" s="288">
        <f t="shared" si="4"/>
        <v>220000</v>
      </c>
      <c r="G133" s="288">
        <f>+D133*763.51</f>
        <v>38175.5</v>
      </c>
    </row>
    <row r="134" spans="1:7" s="176" customFormat="1" ht="24.75" customHeight="1" x14ac:dyDescent="0.25">
      <c r="A134" s="345">
        <v>3</v>
      </c>
      <c r="B134" s="285" t="s">
        <v>916</v>
      </c>
      <c r="C134" s="283" t="s">
        <v>14</v>
      </c>
      <c r="D134" s="368">
        <v>13</v>
      </c>
      <c r="E134" s="302">
        <v>1</v>
      </c>
      <c r="F134" s="288">
        <f t="shared" si="4"/>
        <v>13</v>
      </c>
      <c r="G134" s="288">
        <f>+D134*0</f>
        <v>0</v>
      </c>
    </row>
    <row r="135" spans="1:7" s="176" customFormat="1" ht="24.75" customHeight="1" x14ac:dyDescent="0.25">
      <c r="A135" s="345">
        <v>4</v>
      </c>
      <c r="B135" s="285" t="s">
        <v>917</v>
      </c>
      <c r="C135" s="283" t="s">
        <v>14</v>
      </c>
      <c r="D135" s="368">
        <v>12</v>
      </c>
      <c r="E135" s="302">
        <v>1</v>
      </c>
      <c r="F135" s="288">
        <f t="shared" si="4"/>
        <v>12</v>
      </c>
      <c r="G135" s="288">
        <f>+D135*0</f>
        <v>0</v>
      </c>
    </row>
    <row r="136" spans="1:7" s="176" customFormat="1" ht="24.75" customHeight="1" x14ac:dyDescent="0.25">
      <c r="A136" s="345">
        <v>5</v>
      </c>
      <c r="B136" s="285" t="s">
        <v>918</v>
      </c>
      <c r="C136" s="283" t="s">
        <v>14</v>
      </c>
      <c r="D136" s="368">
        <v>12</v>
      </c>
      <c r="E136" s="302">
        <v>125</v>
      </c>
      <c r="F136" s="288">
        <f t="shared" si="4"/>
        <v>1500</v>
      </c>
      <c r="G136" s="288">
        <f>+D136*0</f>
        <v>0</v>
      </c>
    </row>
    <row r="137" spans="1:7" s="176" customFormat="1" ht="24.75" customHeight="1" x14ac:dyDescent="0.25">
      <c r="A137" s="345">
        <v>6</v>
      </c>
      <c r="B137" s="285" t="s">
        <v>920</v>
      </c>
      <c r="C137" s="283" t="s">
        <v>14</v>
      </c>
      <c r="D137" s="368">
        <v>4</v>
      </c>
      <c r="E137" s="302">
        <v>1</v>
      </c>
      <c r="F137" s="288">
        <f t="shared" si="4"/>
        <v>4</v>
      </c>
      <c r="G137" s="288">
        <v>0</v>
      </c>
    </row>
    <row r="138" spans="1:7" s="176" customFormat="1" ht="24.75" customHeight="1" x14ac:dyDescent="0.25">
      <c r="A138" s="345">
        <v>7</v>
      </c>
      <c r="B138" s="285" t="s">
        <v>921</v>
      </c>
      <c r="C138" s="283" t="s">
        <v>14</v>
      </c>
      <c r="D138" s="368">
        <v>18</v>
      </c>
      <c r="E138" s="302">
        <v>82224</v>
      </c>
      <c r="F138" s="288">
        <f t="shared" si="4"/>
        <v>1480032</v>
      </c>
      <c r="G138" s="288">
        <f>+D138*74628.78</f>
        <v>1343318.04</v>
      </c>
    </row>
    <row r="139" spans="1:7" s="176" customFormat="1" ht="24.75" customHeight="1" x14ac:dyDescent="0.25">
      <c r="A139" s="345">
        <v>8</v>
      </c>
      <c r="B139" s="285" t="s">
        <v>922</v>
      </c>
      <c r="C139" s="283" t="s">
        <v>14</v>
      </c>
      <c r="D139" s="368">
        <v>36</v>
      </c>
      <c r="E139" s="302">
        <v>34188</v>
      </c>
      <c r="F139" s="288">
        <f t="shared" si="4"/>
        <v>1230768</v>
      </c>
      <c r="G139" s="288">
        <f>+D139*31029.98</f>
        <v>1117079.28</v>
      </c>
    </row>
    <row r="140" spans="1:7" s="176" customFormat="1" ht="24.75" customHeight="1" x14ac:dyDescent="0.25">
      <c r="A140" s="345">
        <v>9</v>
      </c>
      <c r="B140" s="285" t="s">
        <v>923</v>
      </c>
      <c r="C140" s="283" t="s">
        <v>14</v>
      </c>
      <c r="D140" s="368">
        <v>21</v>
      </c>
      <c r="E140" s="302">
        <v>1</v>
      </c>
      <c r="F140" s="288">
        <f t="shared" si="4"/>
        <v>21</v>
      </c>
      <c r="G140" s="288">
        <f>+D140*0</f>
        <v>0</v>
      </c>
    </row>
    <row r="141" spans="1:7" s="176" customFormat="1" ht="24.75" customHeight="1" x14ac:dyDescent="0.25">
      <c r="A141" s="345">
        <v>10</v>
      </c>
      <c r="B141" s="285" t="s">
        <v>924</v>
      </c>
      <c r="C141" s="283" t="s">
        <v>14</v>
      </c>
      <c r="D141" s="368">
        <v>2</v>
      </c>
      <c r="E141" s="302">
        <v>1</v>
      </c>
      <c r="F141" s="288">
        <f t="shared" si="4"/>
        <v>2</v>
      </c>
      <c r="G141" s="288">
        <f>+D141*0</f>
        <v>0</v>
      </c>
    </row>
    <row r="142" spans="1:7" s="176" customFormat="1" ht="24.75" customHeight="1" x14ac:dyDescent="0.25">
      <c r="A142" s="345">
        <v>11</v>
      </c>
      <c r="B142" s="285" t="s">
        <v>924</v>
      </c>
      <c r="C142" s="283" t="s">
        <v>14</v>
      </c>
      <c r="D142" s="368">
        <v>10</v>
      </c>
      <c r="E142" s="302">
        <v>1</v>
      </c>
      <c r="F142" s="288">
        <f t="shared" si="4"/>
        <v>10</v>
      </c>
      <c r="G142" s="288">
        <f>+D142*0</f>
        <v>0</v>
      </c>
    </row>
    <row r="143" spans="1:7" s="176" customFormat="1" ht="24.75" customHeight="1" x14ac:dyDescent="0.25">
      <c r="A143" s="345">
        <v>12</v>
      </c>
      <c r="B143" s="285" t="s">
        <v>925</v>
      </c>
      <c r="C143" s="283" t="s">
        <v>14</v>
      </c>
      <c r="D143" s="368">
        <v>30</v>
      </c>
      <c r="E143" s="302">
        <v>1</v>
      </c>
      <c r="F143" s="288">
        <f t="shared" si="4"/>
        <v>30</v>
      </c>
      <c r="G143" s="288">
        <v>0</v>
      </c>
    </row>
    <row r="144" spans="1:7" s="176" customFormat="1" ht="24.75" customHeight="1" x14ac:dyDescent="0.25">
      <c r="A144" s="345">
        <v>13</v>
      </c>
      <c r="B144" s="285" t="s">
        <v>926</v>
      </c>
      <c r="C144" s="283" t="s">
        <v>14</v>
      </c>
      <c r="D144" s="368">
        <v>6</v>
      </c>
      <c r="E144" s="302">
        <v>1</v>
      </c>
      <c r="F144" s="288">
        <f t="shared" si="4"/>
        <v>6</v>
      </c>
      <c r="G144" s="288">
        <v>0</v>
      </c>
    </row>
    <row r="145" spans="1:7" s="176" customFormat="1" ht="24.75" customHeight="1" x14ac:dyDescent="0.25">
      <c r="A145" s="345">
        <v>14</v>
      </c>
      <c r="B145" s="285" t="s">
        <v>927</v>
      </c>
      <c r="C145" s="283" t="s">
        <v>14</v>
      </c>
      <c r="D145" s="368">
        <v>1</v>
      </c>
      <c r="E145" s="302">
        <v>2100</v>
      </c>
      <c r="F145" s="288">
        <f t="shared" si="4"/>
        <v>2100</v>
      </c>
      <c r="G145" s="288">
        <v>0</v>
      </c>
    </row>
    <row r="146" spans="1:7" s="176" customFormat="1" ht="24.75" customHeight="1" x14ac:dyDescent="0.25">
      <c r="A146" s="345">
        <v>15</v>
      </c>
      <c r="B146" s="285" t="s">
        <v>928</v>
      </c>
      <c r="C146" s="283" t="s">
        <v>14</v>
      </c>
      <c r="D146" s="368">
        <v>1</v>
      </c>
      <c r="E146" s="302">
        <v>28000</v>
      </c>
      <c r="F146" s="288">
        <f t="shared" si="4"/>
        <v>28000</v>
      </c>
      <c r="G146" s="288">
        <v>22241.94</v>
      </c>
    </row>
    <row r="147" spans="1:7" s="176" customFormat="1" ht="24.75" customHeight="1" x14ac:dyDescent="0.25">
      <c r="A147" s="345">
        <v>16</v>
      </c>
      <c r="B147" s="285" t="s">
        <v>929</v>
      </c>
      <c r="C147" s="283" t="s">
        <v>14</v>
      </c>
      <c r="D147" s="368">
        <v>1</v>
      </c>
      <c r="E147" s="302">
        <v>45600</v>
      </c>
      <c r="F147" s="288">
        <f t="shared" si="4"/>
        <v>45600</v>
      </c>
      <c r="G147" s="288">
        <v>34095</v>
      </c>
    </row>
    <row r="148" spans="1:7" s="176" customFormat="1" ht="24.75" customHeight="1" x14ac:dyDescent="0.25">
      <c r="A148" s="345">
        <v>17</v>
      </c>
      <c r="B148" s="285" t="s">
        <v>930</v>
      </c>
      <c r="C148" s="283" t="s">
        <v>14</v>
      </c>
      <c r="D148" s="368">
        <v>1</v>
      </c>
      <c r="E148" s="302">
        <v>49200</v>
      </c>
      <c r="F148" s="288">
        <f t="shared" si="4"/>
        <v>49200</v>
      </c>
      <c r="G148" s="288">
        <v>34819</v>
      </c>
    </row>
    <row r="149" spans="1:7" s="176" customFormat="1" ht="24.75" customHeight="1" x14ac:dyDescent="0.25">
      <c r="A149" s="345">
        <v>18</v>
      </c>
      <c r="B149" s="285" t="s">
        <v>931</v>
      </c>
      <c r="C149" s="283" t="s">
        <v>14</v>
      </c>
      <c r="D149" s="368">
        <v>2</v>
      </c>
      <c r="E149" s="302">
        <v>1</v>
      </c>
      <c r="F149" s="288">
        <f t="shared" si="4"/>
        <v>2</v>
      </c>
      <c r="G149" s="288">
        <v>0</v>
      </c>
    </row>
    <row r="150" spans="1:7" s="176" customFormat="1" ht="24.75" customHeight="1" x14ac:dyDescent="0.25">
      <c r="A150" s="345">
        <v>19</v>
      </c>
      <c r="B150" s="285" t="s">
        <v>932</v>
      </c>
      <c r="C150" s="283" t="s">
        <v>14</v>
      </c>
      <c r="D150" s="368">
        <v>1</v>
      </c>
      <c r="E150" s="302">
        <v>31250</v>
      </c>
      <c r="F150" s="288">
        <f t="shared" si="4"/>
        <v>31250</v>
      </c>
      <c r="G150" s="288">
        <v>21263</v>
      </c>
    </row>
    <row r="151" spans="1:7" s="176" customFormat="1" ht="24.75" customHeight="1" x14ac:dyDescent="0.25">
      <c r="A151" s="345">
        <v>20</v>
      </c>
      <c r="B151" s="285" t="s">
        <v>933</v>
      </c>
      <c r="C151" s="283" t="s">
        <v>14</v>
      </c>
      <c r="D151" s="368">
        <v>1</v>
      </c>
      <c r="E151" s="302">
        <v>9375</v>
      </c>
      <c r="F151" s="288">
        <f t="shared" si="4"/>
        <v>9375</v>
      </c>
      <c r="G151" s="288">
        <v>6379</v>
      </c>
    </row>
    <row r="152" spans="1:7" s="176" customFormat="1" ht="24.75" customHeight="1" x14ac:dyDescent="0.25">
      <c r="A152" s="345">
        <v>21</v>
      </c>
      <c r="B152" s="285" t="s">
        <v>1221</v>
      </c>
      <c r="C152" s="283" t="s">
        <v>14</v>
      </c>
      <c r="D152" s="368">
        <v>1</v>
      </c>
      <c r="E152" s="302">
        <v>1</v>
      </c>
      <c r="F152" s="288">
        <f t="shared" si="4"/>
        <v>1</v>
      </c>
      <c r="G152" s="288">
        <v>0</v>
      </c>
    </row>
    <row r="153" spans="1:7" s="176" customFormat="1" ht="37.5" customHeight="1" x14ac:dyDescent="0.25">
      <c r="A153" s="345">
        <v>22</v>
      </c>
      <c r="B153" s="285" t="s">
        <v>934</v>
      </c>
      <c r="C153" s="283" t="s">
        <v>14</v>
      </c>
      <c r="D153" s="368">
        <v>1</v>
      </c>
      <c r="E153" s="302">
        <v>80000</v>
      </c>
      <c r="F153" s="288">
        <f t="shared" si="4"/>
        <v>80000</v>
      </c>
      <c r="G153" s="288">
        <v>74443</v>
      </c>
    </row>
    <row r="154" spans="1:7" s="176" customFormat="1" ht="24.75" customHeight="1" x14ac:dyDescent="0.25">
      <c r="A154" s="345">
        <v>23</v>
      </c>
      <c r="B154" s="285" t="s">
        <v>939</v>
      </c>
      <c r="C154" s="283" t="s">
        <v>14</v>
      </c>
      <c r="D154" s="368">
        <v>1</v>
      </c>
      <c r="E154" s="302">
        <v>198400</v>
      </c>
      <c r="F154" s="288">
        <f t="shared" si="4"/>
        <v>198400</v>
      </c>
      <c r="G154" s="288">
        <v>124100</v>
      </c>
    </row>
    <row r="155" spans="1:7" s="176" customFormat="1" ht="24.75" customHeight="1" x14ac:dyDescent="0.25">
      <c r="A155" s="345">
        <v>24</v>
      </c>
      <c r="B155" s="285" t="s">
        <v>940</v>
      </c>
      <c r="C155" s="283" t="s">
        <v>14</v>
      </c>
      <c r="D155" s="368">
        <v>1</v>
      </c>
      <c r="E155" s="302">
        <v>1</v>
      </c>
      <c r="F155" s="288">
        <f t="shared" si="4"/>
        <v>1</v>
      </c>
      <c r="G155" s="288">
        <v>0</v>
      </c>
    </row>
    <row r="156" spans="1:7" s="176" customFormat="1" ht="24.75" customHeight="1" x14ac:dyDescent="0.25">
      <c r="A156" s="345">
        <v>25</v>
      </c>
      <c r="B156" s="285" t="s">
        <v>941</v>
      </c>
      <c r="C156" s="283" t="s">
        <v>14</v>
      </c>
      <c r="D156" s="368">
        <v>1</v>
      </c>
      <c r="E156" s="302">
        <v>2125</v>
      </c>
      <c r="F156" s="288">
        <f t="shared" si="4"/>
        <v>2125</v>
      </c>
      <c r="G156" s="288">
        <f>+D156*1126.34</f>
        <v>1126.3399999999999</v>
      </c>
    </row>
    <row r="157" spans="1:7" s="176" customFormat="1" ht="24.75" customHeight="1" x14ac:dyDescent="0.25">
      <c r="A157" s="345">
        <v>26</v>
      </c>
      <c r="B157" s="285" t="s">
        <v>942</v>
      </c>
      <c r="C157" s="283" t="s">
        <v>14</v>
      </c>
      <c r="D157" s="368">
        <v>7</v>
      </c>
      <c r="E157" s="302">
        <v>1</v>
      </c>
      <c r="F157" s="288">
        <f t="shared" si="4"/>
        <v>7</v>
      </c>
      <c r="G157" s="288">
        <v>0</v>
      </c>
    </row>
    <row r="158" spans="1:7" s="176" customFormat="1" ht="24.75" customHeight="1" x14ac:dyDescent="0.25">
      <c r="A158" s="345">
        <v>27</v>
      </c>
      <c r="B158" s="285" t="s">
        <v>943</v>
      </c>
      <c r="C158" s="283" t="s">
        <v>14</v>
      </c>
      <c r="D158" s="368">
        <v>6</v>
      </c>
      <c r="E158" s="302">
        <v>1</v>
      </c>
      <c r="F158" s="288">
        <f t="shared" si="4"/>
        <v>6</v>
      </c>
      <c r="G158" s="288">
        <v>0</v>
      </c>
    </row>
    <row r="159" spans="1:7" s="176" customFormat="1" ht="24.75" customHeight="1" x14ac:dyDescent="0.25">
      <c r="A159" s="345">
        <v>28</v>
      </c>
      <c r="B159" s="285" t="s">
        <v>944</v>
      </c>
      <c r="C159" s="283" t="s">
        <v>14</v>
      </c>
      <c r="D159" s="368">
        <v>2</v>
      </c>
      <c r="E159" s="302">
        <v>34417</v>
      </c>
      <c r="F159" s="288">
        <f t="shared" si="4"/>
        <v>68834</v>
      </c>
      <c r="G159" s="288">
        <f>+D159*27426.34</f>
        <v>54852.68</v>
      </c>
    </row>
    <row r="160" spans="1:7" s="176" customFormat="1" ht="24.75" customHeight="1" x14ac:dyDescent="0.25">
      <c r="A160" s="345">
        <v>29</v>
      </c>
      <c r="B160" s="285" t="s">
        <v>945</v>
      </c>
      <c r="C160" s="283" t="s">
        <v>14</v>
      </c>
      <c r="D160" s="368">
        <v>9</v>
      </c>
      <c r="E160" s="302">
        <v>1</v>
      </c>
      <c r="F160" s="288">
        <f t="shared" si="4"/>
        <v>9</v>
      </c>
      <c r="G160" s="288">
        <v>0</v>
      </c>
    </row>
    <row r="161" spans="1:7" s="176" customFormat="1" ht="24.75" customHeight="1" x14ac:dyDescent="0.25">
      <c r="A161" s="345">
        <v>30</v>
      </c>
      <c r="B161" s="285" t="s">
        <v>946</v>
      </c>
      <c r="C161" s="283" t="s">
        <v>14</v>
      </c>
      <c r="D161" s="368">
        <v>1</v>
      </c>
      <c r="E161" s="302">
        <v>1</v>
      </c>
      <c r="F161" s="288">
        <f t="shared" si="4"/>
        <v>1</v>
      </c>
      <c r="G161" s="288">
        <v>0</v>
      </c>
    </row>
    <row r="162" spans="1:7" s="176" customFormat="1" ht="24.75" customHeight="1" x14ac:dyDescent="0.25">
      <c r="A162" s="345">
        <v>31</v>
      </c>
      <c r="B162" s="285" t="s">
        <v>947</v>
      </c>
      <c r="C162" s="283" t="s">
        <v>14</v>
      </c>
      <c r="D162" s="368">
        <v>3</v>
      </c>
      <c r="E162" s="302">
        <v>2125</v>
      </c>
      <c r="F162" s="288">
        <f t="shared" si="4"/>
        <v>6375</v>
      </c>
      <c r="G162" s="288">
        <f>+D162*1126.34</f>
        <v>3379.0199999999995</v>
      </c>
    </row>
    <row r="163" spans="1:7" s="176" customFormat="1" ht="24.75" customHeight="1" x14ac:dyDescent="0.25">
      <c r="A163" s="345">
        <v>32</v>
      </c>
      <c r="B163" s="285" t="s">
        <v>948</v>
      </c>
      <c r="C163" s="283" t="s">
        <v>14</v>
      </c>
      <c r="D163" s="368">
        <v>1</v>
      </c>
      <c r="E163" s="302">
        <v>1</v>
      </c>
      <c r="F163" s="288">
        <f t="shared" si="4"/>
        <v>1</v>
      </c>
      <c r="G163" s="288">
        <v>0</v>
      </c>
    </row>
    <row r="164" spans="1:7" s="176" customFormat="1" ht="24.75" customHeight="1" x14ac:dyDescent="0.25">
      <c r="A164" s="345">
        <v>33</v>
      </c>
      <c r="B164" s="285" t="s">
        <v>949</v>
      </c>
      <c r="C164" s="283" t="s">
        <v>14</v>
      </c>
      <c r="D164" s="368">
        <v>1</v>
      </c>
      <c r="E164" s="302">
        <v>1</v>
      </c>
      <c r="F164" s="288">
        <f t="shared" si="4"/>
        <v>1</v>
      </c>
      <c r="G164" s="288">
        <v>0</v>
      </c>
    </row>
    <row r="165" spans="1:7" s="176" customFormat="1" ht="36.75" customHeight="1" x14ac:dyDescent="0.25">
      <c r="A165" s="345">
        <v>34</v>
      </c>
      <c r="B165" s="285" t="s">
        <v>950</v>
      </c>
      <c r="C165" s="283" t="s">
        <v>14</v>
      </c>
      <c r="D165" s="368">
        <v>2</v>
      </c>
      <c r="E165" s="302">
        <v>9375</v>
      </c>
      <c r="F165" s="288">
        <f t="shared" si="4"/>
        <v>18750</v>
      </c>
      <c r="G165" s="288">
        <f>+D165*6379.03</f>
        <v>12758.06</v>
      </c>
    </row>
    <row r="166" spans="1:7" s="176" customFormat="1" ht="24.75" customHeight="1" x14ac:dyDescent="0.25">
      <c r="A166" s="345">
        <v>35</v>
      </c>
      <c r="B166" s="285" t="s">
        <v>952</v>
      </c>
      <c r="C166" s="283" t="s">
        <v>14</v>
      </c>
      <c r="D166" s="368">
        <v>1</v>
      </c>
      <c r="E166" s="302">
        <v>1</v>
      </c>
      <c r="F166" s="288">
        <f t="shared" si="4"/>
        <v>1</v>
      </c>
      <c r="G166" s="288">
        <v>0</v>
      </c>
    </row>
    <row r="167" spans="1:7" s="176" customFormat="1" ht="24.75" customHeight="1" x14ac:dyDescent="0.25">
      <c r="A167" s="345">
        <v>36</v>
      </c>
      <c r="B167" s="285" t="s">
        <v>956</v>
      </c>
      <c r="C167" s="283" t="s">
        <v>14</v>
      </c>
      <c r="D167" s="368">
        <v>1</v>
      </c>
      <c r="E167" s="302">
        <v>1</v>
      </c>
      <c r="F167" s="288">
        <f t="shared" si="4"/>
        <v>1</v>
      </c>
      <c r="G167" s="288">
        <v>0</v>
      </c>
    </row>
    <row r="168" spans="1:7" s="176" customFormat="1" ht="24.75" customHeight="1" x14ac:dyDescent="0.25">
      <c r="A168" s="345">
        <v>37</v>
      </c>
      <c r="B168" s="285" t="s">
        <v>958</v>
      </c>
      <c r="C168" s="283" t="s">
        <v>14</v>
      </c>
      <c r="D168" s="368">
        <v>1</v>
      </c>
      <c r="E168" s="302">
        <v>3750</v>
      </c>
      <c r="F168" s="288">
        <f t="shared" si="4"/>
        <v>3750</v>
      </c>
      <c r="G168" s="288">
        <v>0</v>
      </c>
    </row>
    <row r="169" spans="1:7" s="176" customFormat="1" ht="24.75" customHeight="1" x14ac:dyDescent="0.25">
      <c r="A169" s="345">
        <v>38</v>
      </c>
      <c r="B169" s="285" t="s">
        <v>959</v>
      </c>
      <c r="C169" s="283" t="s">
        <v>14</v>
      </c>
      <c r="D169" s="368">
        <v>1</v>
      </c>
      <c r="E169" s="302">
        <v>26000</v>
      </c>
      <c r="F169" s="288">
        <f t="shared" si="4"/>
        <v>26000</v>
      </c>
      <c r="G169" s="288">
        <v>14016</v>
      </c>
    </row>
    <row r="170" spans="1:7" s="176" customFormat="1" ht="24.75" customHeight="1" x14ac:dyDescent="0.25">
      <c r="A170" s="345">
        <v>39</v>
      </c>
      <c r="B170" s="285" t="s">
        <v>960</v>
      </c>
      <c r="C170" s="283" t="s">
        <v>14</v>
      </c>
      <c r="D170" s="368">
        <v>1</v>
      </c>
      <c r="E170" s="302">
        <v>34000</v>
      </c>
      <c r="F170" s="288">
        <f t="shared" si="4"/>
        <v>34000</v>
      </c>
      <c r="G170" s="288">
        <v>22016</v>
      </c>
    </row>
    <row r="171" spans="1:7" s="176" customFormat="1" ht="39" customHeight="1" x14ac:dyDescent="0.25">
      <c r="A171" s="345">
        <v>40</v>
      </c>
      <c r="B171" s="285" t="s">
        <v>962</v>
      </c>
      <c r="C171" s="283" t="s">
        <v>14</v>
      </c>
      <c r="D171" s="368">
        <v>2</v>
      </c>
      <c r="E171" s="302">
        <v>90000</v>
      </c>
      <c r="F171" s="288">
        <f t="shared" si="4"/>
        <v>180000</v>
      </c>
      <c r="G171" s="288">
        <f>+D171*77248</f>
        <v>154496</v>
      </c>
    </row>
    <row r="172" spans="1:7" s="176" customFormat="1" ht="37.5" customHeight="1" x14ac:dyDescent="0.25">
      <c r="A172" s="345">
        <v>41</v>
      </c>
      <c r="B172" s="285" t="s">
        <v>963</v>
      </c>
      <c r="C172" s="283" t="s">
        <v>14</v>
      </c>
      <c r="D172" s="368">
        <v>1</v>
      </c>
      <c r="E172" s="302">
        <v>137500</v>
      </c>
      <c r="F172" s="288">
        <f t="shared" si="4"/>
        <v>137500</v>
      </c>
      <c r="G172" s="288">
        <v>77580.649999999994</v>
      </c>
    </row>
    <row r="173" spans="1:7" s="176" customFormat="1" ht="24.75" customHeight="1" x14ac:dyDescent="0.25">
      <c r="A173" s="345">
        <v>42</v>
      </c>
      <c r="B173" s="285" t="s">
        <v>964</v>
      </c>
      <c r="C173" s="283" t="s">
        <v>14</v>
      </c>
      <c r="D173" s="368">
        <v>1</v>
      </c>
      <c r="E173" s="302">
        <v>55000</v>
      </c>
      <c r="F173" s="288">
        <f t="shared" si="4"/>
        <v>55000</v>
      </c>
      <c r="G173" s="288">
        <v>31032.26</v>
      </c>
    </row>
    <row r="174" spans="1:7" s="176" customFormat="1" ht="35.25" customHeight="1" x14ac:dyDescent="0.25">
      <c r="A174" s="345">
        <v>43</v>
      </c>
      <c r="B174" s="285" t="s">
        <v>965</v>
      </c>
      <c r="C174" s="283" t="s">
        <v>14</v>
      </c>
      <c r="D174" s="368">
        <v>1</v>
      </c>
      <c r="E174" s="302">
        <v>12400</v>
      </c>
      <c r="F174" s="288">
        <f t="shared" si="4"/>
        <v>12400</v>
      </c>
      <c r="G174" s="288">
        <v>2812.9</v>
      </c>
    </row>
    <row r="175" spans="1:7" s="176" customFormat="1" ht="24.75" customHeight="1" x14ac:dyDescent="0.25">
      <c r="A175" s="345">
        <v>44</v>
      </c>
      <c r="B175" s="285" t="s">
        <v>967</v>
      </c>
      <c r="C175" s="283" t="s">
        <v>14</v>
      </c>
      <c r="D175" s="368">
        <v>1</v>
      </c>
      <c r="E175" s="302">
        <v>317187</v>
      </c>
      <c r="F175" s="288">
        <f t="shared" si="4"/>
        <v>317187</v>
      </c>
      <c r="G175" s="288">
        <v>229804.75</v>
      </c>
    </row>
    <row r="176" spans="1:7" s="176" customFormat="1" ht="24.75" customHeight="1" x14ac:dyDescent="0.25">
      <c r="A176" s="345">
        <v>45</v>
      </c>
      <c r="B176" s="285" t="s">
        <v>968</v>
      </c>
      <c r="C176" s="283" t="s">
        <v>14</v>
      </c>
      <c r="D176" s="368">
        <v>1</v>
      </c>
      <c r="E176" s="302">
        <v>421400</v>
      </c>
      <c r="F176" s="288">
        <f t="shared" si="4"/>
        <v>421400</v>
      </c>
      <c r="G176" s="288">
        <v>303958.06</v>
      </c>
    </row>
    <row r="177" spans="1:7" s="176" customFormat="1" ht="24.75" customHeight="1" x14ac:dyDescent="0.25">
      <c r="A177" s="345">
        <v>46</v>
      </c>
      <c r="B177" s="285" t="s">
        <v>970</v>
      </c>
      <c r="C177" s="283" t="s">
        <v>14</v>
      </c>
      <c r="D177" s="368">
        <v>2</v>
      </c>
      <c r="E177" s="302">
        <v>1</v>
      </c>
      <c r="F177" s="288">
        <f t="shared" si="4"/>
        <v>2</v>
      </c>
      <c r="G177" s="288">
        <v>0</v>
      </c>
    </row>
    <row r="178" spans="1:7" s="176" customFormat="1" ht="24.75" customHeight="1" x14ac:dyDescent="0.25">
      <c r="A178" s="345">
        <v>47</v>
      </c>
      <c r="B178" s="285" t="s">
        <v>974</v>
      </c>
      <c r="C178" s="283" t="s">
        <v>14</v>
      </c>
      <c r="D178" s="368">
        <v>1</v>
      </c>
      <c r="E178" s="302">
        <v>187200</v>
      </c>
      <c r="F178" s="288">
        <f t="shared" si="4"/>
        <v>187200</v>
      </c>
      <c r="G178" s="288">
        <v>129677.42</v>
      </c>
    </row>
    <row r="179" spans="1:7" s="176" customFormat="1" ht="24.75" customHeight="1" x14ac:dyDescent="0.25">
      <c r="A179" s="345">
        <v>48</v>
      </c>
      <c r="B179" s="285" t="s">
        <v>975</v>
      </c>
      <c r="C179" s="283" t="s">
        <v>14</v>
      </c>
      <c r="D179" s="368">
        <v>1</v>
      </c>
      <c r="E179" s="302">
        <v>74000</v>
      </c>
      <c r="F179" s="288">
        <f t="shared" si="4"/>
        <v>74000</v>
      </c>
      <c r="G179" s="288">
        <v>58021.51</v>
      </c>
    </row>
    <row r="180" spans="1:7" s="176" customFormat="1" ht="24.75" customHeight="1" x14ac:dyDescent="0.25">
      <c r="A180" s="345">
        <v>49</v>
      </c>
      <c r="B180" s="285" t="s">
        <v>976</v>
      </c>
      <c r="C180" s="283" t="s">
        <v>14</v>
      </c>
      <c r="D180" s="368">
        <v>1</v>
      </c>
      <c r="E180" s="302">
        <v>58900</v>
      </c>
      <c r="F180" s="288">
        <f t="shared" si="4"/>
        <v>58900</v>
      </c>
      <c r="G180" s="288">
        <v>44040</v>
      </c>
    </row>
    <row r="181" spans="1:7" s="176" customFormat="1" ht="24.75" customHeight="1" x14ac:dyDescent="0.25">
      <c r="A181" s="345">
        <v>50</v>
      </c>
      <c r="B181" s="285" t="s">
        <v>977</v>
      </c>
      <c r="C181" s="283" t="s">
        <v>14</v>
      </c>
      <c r="D181" s="368">
        <v>1</v>
      </c>
      <c r="E181" s="302">
        <v>44000</v>
      </c>
      <c r="F181" s="288">
        <f t="shared" ref="F181:F211" si="5">D181*E181</f>
        <v>44000</v>
      </c>
      <c r="G181" s="288">
        <v>12043.01</v>
      </c>
    </row>
    <row r="182" spans="1:7" s="176" customFormat="1" ht="24.75" customHeight="1" x14ac:dyDescent="0.25">
      <c r="A182" s="345">
        <v>51</v>
      </c>
      <c r="B182" s="285" t="s">
        <v>978</v>
      </c>
      <c r="C182" s="283" t="s">
        <v>14</v>
      </c>
      <c r="D182" s="368">
        <v>8</v>
      </c>
      <c r="E182" s="302">
        <v>1</v>
      </c>
      <c r="F182" s="288">
        <f t="shared" si="5"/>
        <v>8</v>
      </c>
      <c r="G182" s="288">
        <f>+D182*0</f>
        <v>0</v>
      </c>
    </row>
    <row r="183" spans="1:7" s="176" customFormat="1" ht="24.75" customHeight="1" x14ac:dyDescent="0.25">
      <c r="A183" s="345">
        <v>52</v>
      </c>
      <c r="B183" s="285" t="s">
        <v>979</v>
      </c>
      <c r="C183" s="283" t="s">
        <v>14</v>
      </c>
      <c r="D183" s="368">
        <v>1</v>
      </c>
      <c r="E183" s="302">
        <v>120000</v>
      </c>
      <c r="F183" s="288">
        <f t="shared" si="5"/>
        <v>120000</v>
      </c>
      <c r="G183" s="288">
        <v>90064.52</v>
      </c>
    </row>
    <row r="184" spans="1:7" s="176" customFormat="1" ht="24.75" customHeight="1" x14ac:dyDescent="0.25">
      <c r="A184" s="345">
        <v>53</v>
      </c>
      <c r="B184" s="285" t="s">
        <v>980</v>
      </c>
      <c r="C184" s="283" t="s">
        <v>14</v>
      </c>
      <c r="D184" s="368">
        <v>5</v>
      </c>
      <c r="E184" s="302">
        <v>117000</v>
      </c>
      <c r="F184" s="288">
        <f t="shared" si="5"/>
        <v>585000</v>
      </c>
      <c r="G184" s="288">
        <f>+D184*45096.77</f>
        <v>225483.84999999998</v>
      </c>
    </row>
    <row r="185" spans="1:7" s="176" customFormat="1" ht="24.75" customHeight="1" x14ac:dyDescent="0.25">
      <c r="A185" s="345">
        <v>54</v>
      </c>
      <c r="B185" s="285" t="s">
        <v>981</v>
      </c>
      <c r="C185" s="283" t="s">
        <v>14</v>
      </c>
      <c r="D185" s="368">
        <v>2</v>
      </c>
      <c r="E185" s="302">
        <v>1</v>
      </c>
      <c r="F185" s="288">
        <f t="shared" si="5"/>
        <v>2</v>
      </c>
      <c r="G185" s="288">
        <f>+D185*0</f>
        <v>0</v>
      </c>
    </row>
    <row r="186" spans="1:7" s="176" customFormat="1" ht="36.75" customHeight="1" x14ac:dyDescent="0.25">
      <c r="A186" s="345">
        <v>55</v>
      </c>
      <c r="B186" s="285" t="s">
        <v>982</v>
      </c>
      <c r="C186" s="283" t="s">
        <v>14</v>
      </c>
      <c r="D186" s="368">
        <v>10</v>
      </c>
      <c r="E186" s="302">
        <v>4250</v>
      </c>
      <c r="F186" s="288">
        <f t="shared" si="5"/>
        <v>42500</v>
      </c>
      <c r="G186" s="289">
        <f>+D186*2252.69-2252.69</f>
        <v>20274.210000000003</v>
      </c>
    </row>
    <row r="187" spans="1:7" s="176" customFormat="1" ht="24.75" customHeight="1" x14ac:dyDescent="0.25">
      <c r="A187" s="345">
        <v>56</v>
      </c>
      <c r="B187" s="285" t="s">
        <v>985</v>
      </c>
      <c r="C187" s="283" t="s">
        <v>14</v>
      </c>
      <c r="D187" s="368">
        <v>1</v>
      </c>
      <c r="E187" s="302">
        <v>38400</v>
      </c>
      <c r="F187" s="288">
        <f t="shared" si="5"/>
        <v>38400</v>
      </c>
      <c r="G187" s="288">
        <v>24019.35</v>
      </c>
    </row>
    <row r="188" spans="1:7" s="176" customFormat="1" ht="24.75" customHeight="1" x14ac:dyDescent="0.25">
      <c r="A188" s="345">
        <v>57</v>
      </c>
      <c r="B188" s="285" t="s">
        <v>986</v>
      </c>
      <c r="C188" s="283" t="s">
        <v>14</v>
      </c>
      <c r="D188" s="368">
        <v>3</v>
      </c>
      <c r="E188" s="302">
        <v>80000</v>
      </c>
      <c r="F188" s="288">
        <f t="shared" si="5"/>
        <v>240000</v>
      </c>
      <c r="G188" s="288">
        <f>+D188*67768.82</f>
        <v>203306.46000000002</v>
      </c>
    </row>
    <row r="189" spans="1:7" s="176" customFormat="1" ht="24.75" customHeight="1" x14ac:dyDescent="0.25">
      <c r="A189" s="345">
        <v>58</v>
      </c>
      <c r="B189" s="285" t="s">
        <v>988</v>
      </c>
      <c r="C189" s="283" t="s">
        <v>14</v>
      </c>
      <c r="D189" s="368">
        <v>1</v>
      </c>
      <c r="E189" s="302">
        <v>48000</v>
      </c>
      <c r="F189" s="288">
        <f t="shared" si="5"/>
        <v>48000</v>
      </c>
      <c r="G189" s="288">
        <v>19238.71</v>
      </c>
    </row>
    <row r="190" spans="1:7" s="176" customFormat="1" ht="24.75" customHeight="1" x14ac:dyDescent="0.25">
      <c r="A190" s="345">
        <v>59</v>
      </c>
      <c r="B190" s="285" t="s">
        <v>989</v>
      </c>
      <c r="C190" s="283" t="s">
        <v>14</v>
      </c>
      <c r="D190" s="368">
        <v>1</v>
      </c>
      <c r="E190" s="302">
        <v>89700</v>
      </c>
      <c r="F190" s="288">
        <f t="shared" si="5"/>
        <v>89700</v>
      </c>
      <c r="G190" s="288">
        <v>62137.1</v>
      </c>
    </row>
    <row r="191" spans="1:7" s="375" customFormat="1" ht="24.75" customHeight="1" x14ac:dyDescent="0.25">
      <c r="A191" s="345">
        <v>60</v>
      </c>
      <c r="B191" s="285" t="s">
        <v>990</v>
      </c>
      <c r="C191" s="283" t="s">
        <v>14</v>
      </c>
      <c r="D191" s="368">
        <v>1</v>
      </c>
      <c r="E191" s="302">
        <v>97580</v>
      </c>
      <c r="F191" s="288">
        <f t="shared" si="5"/>
        <v>97580</v>
      </c>
      <c r="G191" s="288">
        <v>69058.39</v>
      </c>
    </row>
    <row r="192" spans="1:7" s="375" customFormat="1" ht="24.75" customHeight="1" x14ac:dyDescent="0.25">
      <c r="A192" s="345">
        <v>61</v>
      </c>
      <c r="B192" s="285" t="s">
        <v>991</v>
      </c>
      <c r="C192" s="283" t="s">
        <v>14</v>
      </c>
      <c r="D192" s="368">
        <v>1</v>
      </c>
      <c r="E192" s="302">
        <v>44000</v>
      </c>
      <c r="F192" s="288">
        <f t="shared" si="5"/>
        <v>44000</v>
      </c>
      <c r="G192" s="288">
        <v>17635.48</v>
      </c>
    </row>
    <row r="193" spans="1:7" s="375" customFormat="1" ht="24.75" customHeight="1" x14ac:dyDescent="0.25">
      <c r="A193" s="345">
        <v>62</v>
      </c>
      <c r="B193" s="285" t="s">
        <v>992</v>
      </c>
      <c r="C193" s="283" t="s">
        <v>14</v>
      </c>
      <c r="D193" s="368">
        <v>1</v>
      </c>
      <c r="E193" s="302">
        <v>10850</v>
      </c>
      <c r="F193" s="288">
        <f t="shared" si="5"/>
        <v>10850</v>
      </c>
      <c r="G193" s="288">
        <v>2461.29</v>
      </c>
    </row>
    <row r="194" spans="1:7" s="375" customFormat="1" ht="24.75" customHeight="1" x14ac:dyDescent="0.25">
      <c r="A194" s="345">
        <v>63</v>
      </c>
      <c r="B194" s="285" t="s">
        <v>993</v>
      </c>
      <c r="C194" s="283" t="s">
        <v>14</v>
      </c>
      <c r="D194" s="368">
        <v>1</v>
      </c>
      <c r="E194" s="302">
        <v>1</v>
      </c>
      <c r="F194" s="288">
        <f t="shared" si="5"/>
        <v>1</v>
      </c>
      <c r="G194" s="288">
        <v>0</v>
      </c>
    </row>
    <row r="195" spans="1:7" s="176" customFormat="1" ht="24.75" customHeight="1" x14ac:dyDescent="0.25">
      <c r="A195" s="345">
        <v>64</v>
      </c>
      <c r="B195" s="285" t="s">
        <v>993</v>
      </c>
      <c r="C195" s="283" t="s">
        <v>14</v>
      </c>
      <c r="D195" s="368">
        <v>1</v>
      </c>
      <c r="E195" s="302">
        <v>1</v>
      </c>
      <c r="F195" s="288">
        <f t="shared" si="5"/>
        <v>1</v>
      </c>
      <c r="G195" s="288">
        <v>0</v>
      </c>
    </row>
    <row r="196" spans="1:7" s="176" customFormat="1" ht="24.75" customHeight="1" x14ac:dyDescent="0.25">
      <c r="A196" s="345">
        <v>65</v>
      </c>
      <c r="B196" s="285" t="s">
        <v>994</v>
      </c>
      <c r="C196" s="283" t="s">
        <v>14</v>
      </c>
      <c r="D196" s="368">
        <v>7</v>
      </c>
      <c r="E196" s="302">
        <v>1625</v>
      </c>
      <c r="F196" s="288">
        <f t="shared" si="5"/>
        <v>11375</v>
      </c>
      <c r="G196" s="288">
        <f>+D196*626.34</f>
        <v>4384.38</v>
      </c>
    </row>
    <row r="197" spans="1:7" s="176" customFormat="1" ht="24.75" customHeight="1" x14ac:dyDescent="0.25">
      <c r="A197" s="345">
        <v>66</v>
      </c>
      <c r="B197" s="285" t="s">
        <v>995</v>
      </c>
      <c r="C197" s="283" t="s">
        <v>14</v>
      </c>
      <c r="D197" s="368">
        <v>5</v>
      </c>
      <c r="E197" s="302">
        <v>1625</v>
      </c>
      <c r="F197" s="288">
        <f t="shared" si="5"/>
        <v>8125</v>
      </c>
      <c r="G197" s="288">
        <f>+D197*626.34</f>
        <v>3131.7000000000003</v>
      </c>
    </row>
    <row r="198" spans="1:7" s="176" customFormat="1" ht="24.75" customHeight="1" x14ac:dyDescent="0.25">
      <c r="A198" s="345">
        <v>67</v>
      </c>
      <c r="B198" s="285" t="s">
        <v>1222</v>
      </c>
      <c r="C198" s="283" t="s">
        <v>14</v>
      </c>
      <c r="D198" s="368">
        <v>3</v>
      </c>
      <c r="E198" s="302">
        <v>1</v>
      </c>
      <c r="F198" s="288">
        <f t="shared" si="5"/>
        <v>3</v>
      </c>
      <c r="G198" s="288">
        <v>0</v>
      </c>
    </row>
    <row r="199" spans="1:7" s="176" customFormat="1" ht="24.75" customHeight="1" x14ac:dyDescent="0.25">
      <c r="A199" s="345">
        <v>68</v>
      </c>
      <c r="B199" s="285" t="s">
        <v>1223</v>
      </c>
      <c r="C199" s="283" t="s">
        <v>14</v>
      </c>
      <c r="D199" s="368">
        <v>2</v>
      </c>
      <c r="E199" s="302">
        <v>1</v>
      </c>
      <c r="F199" s="288">
        <f t="shared" si="5"/>
        <v>2</v>
      </c>
      <c r="G199" s="288">
        <v>0</v>
      </c>
    </row>
    <row r="200" spans="1:7" s="176" customFormat="1" ht="24.75" customHeight="1" x14ac:dyDescent="0.25">
      <c r="A200" s="345">
        <v>69</v>
      </c>
      <c r="B200" s="285" t="s">
        <v>1016</v>
      </c>
      <c r="C200" s="283" t="s">
        <v>14</v>
      </c>
      <c r="D200" s="368">
        <v>20</v>
      </c>
      <c r="E200" s="302">
        <v>5146</v>
      </c>
      <c r="F200" s="288">
        <f t="shared" si="5"/>
        <v>102920</v>
      </c>
      <c r="G200" s="288">
        <f>1*6.92</f>
        <v>6.92</v>
      </c>
    </row>
    <row r="201" spans="1:7" s="176" customFormat="1" ht="24.75" customHeight="1" x14ac:dyDescent="0.25">
      <c r="A201" s="345">
        <v>70</v>
      </c>
      <c r="B201" s="285" t="s">
        <v>1017</v>
      </c>
      <c r="C201" s="283" t="s">
        <v>14</v>
      </c>
      <c r="D201" s="368">
        <v>2</v>
      </c>
      <c r="E201" s="302">
        <v>56250</v>
      </c>
      <c r="F201" s="288">
        <f t="shared" si="5"/>
        <v>112500</v>
      </c>
      <c r="G201" s="288">
        <f>+D201*43766.8</f>
        <v>87533.6</v>
      </c>
    </row>
    <row r="202" spans="1:7" s="176" customFormat="1" ht="24.75" customHeight="1" x14ac:dyDescent="0.25">
      <c r="A202" s="345">
        <v>71</v>
      </c>
      <c r="B202" s="285" t="s">
        <v>1018</v>
      </c>
      <c r="C202" s="283" t="s">
        <v>14</v>
      </c>
      <c r="D202" s="368">
        <v>1</v>
      </c>
      <c r="E202" s="302">
        <v>185000</v>
      </c>
      <c r="F202" s="288">
        <f t="shared" si="5"/>
        <v>185000</v>
      </c>
      <c r="G202" s="288">
        <v>145053.76000000001</v>
      </c>
    </row>
    <row r="203" spans="1:7" s="176" customFormat="1" ht="24.75" customHeight="1" x14ac:dyDescent="0.25">
      <c r="A203" s="345">
        <v>72</v>
      </c>
      <c r="B203" s="285" t="s">
        <v>1019</v>
      </c>
      <c r="C203" s="283" t="s">
        <v>14</v>
      </c>
      <c r="D203" s="368">
        <v>1</v>
      </c>
      <c r="E203" s="302">
        <v>1875</v>
      </c>
      <c r="F203" s="288">
        <f t="shared" si="5"/>
        <v>1875</v>
      </c>
      <c r="G203" s="288">
        <v>0</v>
      </c>
    </row>
    <row r="204" spans="1:7" s="176" customFormat="1" ht="39" customHeight="1" x14ac:dyDescent="0.25">
      <c r="A204" s="345">
        <v>73</v>
      </c>
      <c r="B204" s="285" t="s">
        <v>1020</v>
      </c>
      <c r="C204" s="283" t="s">
        <v>14</v>
      </c>
      <c r="D204" s="368">
        <v>1</v>
      </c>
      <c r="E204" s="302">
        <v>13500</v>
      </c>
      <c r="F204" s="288">
        <f t="shared" si="5"/>
        <v>13500</v>
      </c>
      <c r="G204" s="288">
        <v>1516.13</v>
      </c>
    </row>
    <row r="205" spans="1:7" s="176" customFormat="1" ht="24.75" customHeight="1" x14ac:dyDescent="0.25">
      <c r="A205" s="345">
        <v>74</v>
      </c>
      <c r="B205" s="285" t="s">
        <v>1021</v>
      </c>
      <c r="C205" s="283" t="s">
        <v>14</v>
      </c>
      <c r="D205" s="368">
        <v>1</v>
      </c>
      <c r="E205" s="302">
        <v>138750</v>
      </c>
      <c r="F205" s="288">
        <f t="shared" si="5"/>
        <v>138750</v>
      </c>
      <c r="G205" s="288">
        <v>108790.32</v>
      </c>
    </row>
    <row r="206" spans="1:7" s="176" customFormat="1" ht="24.75" customHeight="1" x14ac:dyDescent="0.25">
      <c r="A206" s="345">
        <v>75</v>
      </c>
      <c r="B206" s="285" t="s">
        <v>1022</v>
      </c>
      <c r="C206" s="283" t="s">
        <v>14</v>
      </c>
      <c r="D206" s="368">
        <v>8</v>
      </c>
      <c r="E206" s="302">
        <v>1</v>
      </c>
      <c r="F206" s="288">
        <f t="shared" si="5"/>
        <v>8</v>
      </c>
      <c r="G206" s="288">
        <v>0</v>
      </c>
    </row>
    <row r="207" spans="1:7" s="375" customFormat="1" ht="39" customHeight="1" x14ac:dyDescent="0.25">
      <c r="A207" s="345">
        <v>76</v>
      </c>
      <c r="B207" s="285" t="s">
        <v>1023</v>
      </c>
      <c r="C207" s="283" t="s">
        <v>14</v>
      </c>
      <c r="D207" s="368">
        <v>1</v>
      </c>
      <c r="E207" s="302">
        <v>73750</v>
      </c>
      <c r="F207" s="288">
        <f t="shared" si="5"/>
        <v>73750</v>
      </c>
      <c r="G207" s="288">
        <v>58770</v>
      </c>
    </row>
    <row r="208" spans="1:7" s="176" customFormat="1" ht="24.75" customHeight="1" x14ac:dyDescent="0.25">
      <c r="A208" s="345">
        <v>77</v>
      </c>
      <c r="B208" s="285" t="s">
        <v>1024</v>
      </c>
      <c r="C208" s="283" t="s">
        <v>14</v>
      </c>
      <c r="D208" s="368">
        <v>1</v>
      </c>
      <c r="E208" s="302">
        <v>39333</v>
      </c>
      <c r="F208" s="288">
        <f t="shared" si="5"/>
        <v>39333</v>
      </c>
      <c r="G208" s="288">
        <v>31343</v>
      </c>
    </row>
    <row r="209" spans="1:7" s="176" customFormat="1" ht="24.75" customHeight="1" x14ac:dyDescent="0.25">
      <c r="A209" s="345">
        <v>78</v>
      </c>
      <c r="B209" s="285" t="s">
        <v>1025</v>
      </c>
      <c r="C209" s="283" t="s">
        <v>14</v>
      </c>
      <c r="D209" s="368">
        <v>2</v>
      </c>
      <c r="E209" s="302">
        <v>1</v>
      </c>
      <c r="F209" s="288">
        <f t="shared" si="5"/>
        <v>2</v>
      </c>
      <c r="G209" s="288">
        <v>0</v>
      </c>
    </row>
    <row r="210" spans="1:7" s="176" customFormat="1" ht="24.75" customHeight="1" x14ac:dyDescent="0.25">
      <c r="A210" s="345">
        <v>79</v>
      </c>
      <c r="B210" s="285" t="s">
        <v>1026</v>
      </c>
      <c r="C210" s="283" t="s">
        <v>14</v>
      </c>
      <c r="D210" s="368">
        <v>1</v>
      </c>
      <c r="E210" s="302">
        <v>98333</v>
      </c>
      <c r="F210" s="288">
        <f t="shared" si="5"/>
        <v>98333</v>
      </c>
      <c r="G210" s="288">
        <v>78359.95</v>
      </c>
    </row>
    <row r="211" spans="1:7" s="176" customFormat="1" ht="24.75" customHeight="1" x14ac:dyDescent="0.25">
      <c r="A211" s="345">
        <v>80</v>
      </c>
      <c r="B211" s="285" t="s">
        <v>1027</v>
      </c>
      <c r="C211" s="283" t="s">
        <v>14</v>
      </c>
      <c r="D211" s="368">
        <v>1</v>
      </c>
      <c r="E211" s="302">
        <v>1</v>
      </c>
      <c r="F211" s="288">
        <f t="shared" si="5"/>
        <v>1</v>
      </c>
      <c r="G211" s="288">
        <v>0</v>
      </c>
    </row>
    <row r="212" spans="1:7" s="176" customFormat="1" ht="24.75" customHeight="1" x14ac:dyDescent="0.25">
      <c r="A212" s="345">
        <v>81</v>
      </c>
      <c r="B212" s="285" t="s">
        <v>1033</v>
      </c>
      <c r="C212" s="283" t="s">
        <v>14</v>
      </c>
      <c r="D212" s="368">
        <v>1</v>
      </c>
      <c r="E212" s="302">
        <v>27400</v>
      </c>
      <c r="F212" s="288">
        <f t="shared" ref="F212:F245" si="6">D212*E212</f>
        <v>27400</v>
      </c>
      <c r="G212" s="288">
        <v>11382.53</v>
      </c>
    </row>
    <row r="213" spans="1:7" s="176" customFormat="1" ht="24.75" customHeight="1" x14ac:dyDescent="0.25">
      <c r="A213" s="345">
        <v>82</v>
      </c>
      <c r="B213" s="285" t="s">
        <v>1038</v>
      </c>
      <c r="C213" s="283" t="s">
        <v>14</v>
      </c>
      <c r="D213" s="368">
        <v>1</v>
      </c>
      <c r="E213" s="302">
        <v>228000</v>
      </c>
      <c r="F213" s="288">
        <f t="shared" si="6"/>
        <v>228000</v>
      </c>
      <c r="G213" s="288">
        <v>136922.57999999999</v>
      </c>
    </row>
    <row r="214" spans="1:7" s="176" customFormat="1" ht="34.5" customHeight="1" x14ac:dyDescent="0.25">
      <c r="A214" s="345">
        <v>83</v>
      </c>
      <c r="B214" s="285" t="s">
        <v>1039</v>
      </c>
      <c r="C214" s="283" t="s">
        <v>14</v>
      </c>
      <c r="D214" s="368">
        <v>1</v>
      </c>
      <c r="E214" s="302">
        <v>360000</v>
      </c>
      <c r="F214" s="288">
        <f t="shared" si="6"/>
        <v>360000</v>
      </c>
      <c r="G214" s="288">
        <v>303991.94</v>
      </c>
    </row>
    <row r="215" spans="1:7" s="176" customFormat="1" ht="24.75" customHeight="1" x14ac:dyDescent="0.25">
      <c r="A215" s="345">
        <v>84</v>
      </c>
      <c r="B215" s="285" t="s">
        <v>1040</v>
      </c>
      <c r="C215" s="283" t="s">
        <v>14</v>
      </c>
      <c r="D215" s="368">
        <v>1</v>
      </c>
      <c r="E215" s="302">
        <v>74000</v>
      </c>
      <c r="F215" s="288">
        <f t="shared" si="6"/>
        <v>74000</v>
      </c>
      <c r="G215" s="288">
        <v>58021.51</v>
      </c>
    </row>
    <row r="216" spans="1:7" s="176" customFormat="1" ht="24.75" customHeight="1" x14ac:dyDescent="0.25">
      <c r="A216" s="345">
        <v>85</v>
      </c>
      <c r="B216" s="285" t="s">
        <v>1041</v>
      </c>
      <c r="C216" s="283" t="s">
        <v>14</v>
      </c>
      <c r="D216" s="368">
        <v>1</v>
      </c>
      <c r="E216" s="302">
        <v>1</v>
      </c>
      <c r="F216" s="288">
        <f t="shared" si="6"/>
        <v>1</v>
      </c>
      <c r="G216" s="288">
        <v>0</v>
      </c>
    </row>
    <row r="217" spans="1:7" s="176" customFormat="1" ht="24.75" customHeight="1" x14ac:dyDescent="0.25">
      <c r="A217" s="345">
        <v>86</v>
      </c>
      <c r="B217" s="285" t="s">
        <v>1042</v>
      </c>
      <c r="C217" s="283" t="s">
        <v>14</v>
      </c>
      <c r="D217" s="368">
        <v>8</v>
      </c>
      <c r="E217" s="302">
        <v>1</v>
      </c>
      <c r="F217" s="288">
        <f t="shared" si="6"/>
        <v>8</v>
      </c>
      <c r="G217" s="288">
        <v>0</v>
      </c>
    </row>
    <row r="218" spans="1:7" s="176" customFormat="1" ht="24.75" customHeight="1" x14ac:dyDescent="0.25">
      <c r="A218" s="345">
        <v>87</v>
      </c>
      <c r="B218" s="285" t="s">
        <v>1043</v>
      </c>
      <c r="C218" s="283" t="s">
        <v>14</v>
      </c>
      <c r="D218" s="368">
        <v>12</v>
      </c>
      <c r="E218" s="302">
        <v>6400</v>
      </c>
      <c r="F218" s="288">
        <f t="shared" si="6"/>
        <v>76800</v>
      </c>
      <c r="G218" s="288">
        <f>+D218*4003.23</f>
        <v>48038.76</v>
      </c>
    </row>
    <row r="219" spans="1:7" s="176" customFormat="1" ht="39.75" customHeight="1" x14ac:dyDescent="0.25">
      <c r="A219" s="345">
        <v>88</v>
      </c>
      <c r="B219" s="285" t="s">
        <v>1044</v>
      </c>
      <c r="C219" s="283" t="s">
        <v>14</v>
      </c>
      <c r="D219" s="368">
        <v>1</v>
      </c>
      <c r="E219" s="302">
        <v>70000</v>
      </c>
      <c r="F219" s="288">
        <f t="shared" si="6"/>
        <v>70000</v>
      </c>
      <c r="G219" s="288">
        <v>60082.55</v>
      </c>
    </row>
    <row r="220" spans="1:7" s="176" customFormat="1" ht="37.5" customHeight="1" x14ac:dyDescent="0.25">
      <c r="A220" s="345">
        <v>89</v>
      </c>
      <c r="B220" s="285" t="s">
        <v>1045</v>
      </c>
      <c r="C220" s="283" t="s">
        <v>14</v>
      </c>
      <c r="D220" s="368">
        <v>2</v>
      </c>
      <c r="E220" s="302">
        <v>60000</v>
      </c>
      <c r="F220" s="288">
        <f t="shared" si="6"/>
        <v>120000</v>
      </c>
      <c r="G220" s="288">
        <f>+D220*51499.33</f>
        <v>102998.66</v>
      </c>
    </row>
    <row r="221" spans="1:7" s="176" customFormat="1" ht="36.75" customHeight="1" x14ac:dyDescent="0.25">
      <c r="A221" s="345">
        <v>90</v>
      </c>
      <c r="B221" s="285" t="s">
        <v>1046</v>
      </c>
      <c r="C221" s="283" t="s">
        <v>14</v>
      </c>
      <c r="D221" s="368">
        <v>1</v>
      </c>
      <c r="E221" s="302">
        <v>70000</v>
      </c>
      <c r="F221" s="288">
        <f t="shared" si="6"/>
        <v>70000</v>
      </c>
      <c r="G221" s="288">
        <v>60082.55</v>
      </c>
    </row>
    <row r="222" spans="1:7" s="176" customFormat="1" ht="24.75" customHeight="1" x14ac:dyDescent="0.25">
      <c r="A222" s="345">
        <v>91</v>
      </c>
      <c r="B222" s="285" t="s">
        <v>1048</v>
      </c>
      <c r="C222" s="283" t="s">
        <v>14</v>
      </c>
      <c r="D222" s="368">
        <v>1</v>
      </c>
      <c r="E222" s="302">
        <v>138750</v>
      </c>
      <c r="F222" s="288">
        <f t="shared" si="6"/>
        <v>138750</v>
      </c>
      <c r="G222" s="288">
        <v>108790.32</v>
      </c>
    </row>
    <row r="223" spans="1:7" s="176" customFormat="1" ht="24.75" customHeight="1" x14ac:dyDescent="0.25">
      <c r="A223" s="345">
        <v>92</v>
      </c>
      <c r="B223" s="285" t="s">
        <v>1053</v>
      </c>
      <c r="C223" s="283" t="s">
        <v>14</v>
      </c>
      <c r="D223" s="368">
        <v>3</v>
      </c>
      <c r="E223" s="302">
        <v>1</v>
      </c>
      <c r="F223" s="288">
        <f t="shared" si="6"/>
        <v>3</v>
      </c>
      <c r="G223" s="288">
        <v>0</v>
      </c>
    </row>
    <row r="224" spans="1:7" s="176" customFormat="1" ht="24.75" customHeight="1" x14ac:dyDescent="0.25">
      <c r="A224" s="345">
        <v>93</v>
      </c>
      <c r="B224" s="285" t="s">
        <v>1054</v>
      </c>
      <c r="C224" s="283" t="s">
        <v>14</v>
      </c>
      <c r="D224" s="368">
        <v>5</v>
      </c>
      <c r="E224" s="302">
        <v>1</v>
      </c>
      <c r="F224" s="288">
        <f t="shared" si="6"/>
        <v>5</v>
      </c>
      <c r="G224" s="288">
        <v>0</v>
      </c>
    </row>
    <row r="225" spans="1:7" s="176" customFormat="1" ht="24.75" customHeight="1" x14ac:dyDescent="0.25">
      <c r="A225" s="345">
        <v>94</v>
      </c>
      <c r="B225" s="285" t="s">
        <v>1056</v>
      </c>
      <c r="C225" s="283" t="s">
        <v>14</v>
      </c>
      <c r="D225" s="368">
        <v>8</v>
      </c>
      <c r="E225" s="302">
        <v>1</v>
      </c>
      <c r="F225" s="288">
        <f t="shared" si="6"/>
        <v>8</v>
      </c>
      <c r="G225" s="288">
        <v>0</v>
      </c>
    </row>
    <row r="226" spans="1:7" s="176" customFormat="1" ht="24.75" customHeight="1" x14ac:dyDescent="0.25">
      <c r="A226" s="345">
        <v>95</v>
      </c>
      <c r="B226" s="285" t="s">
        <v>1056</v>
      </c>
      <c r="C226" s="283" t="s">
        <v>14</v>
      </c>
      <c r="D226" s="368">
        <v>4</v>
      </c>
      <c r="E226" s="302">
        <v>1</v>
      </c>
      <c r="F226" s="288">
        <f t="shared" si="6"/>
        <v>4</v>
      </c>
      <c r="G226" s="288">
        <v>0</v>
      </c>
    </row>
    <row r="227" spans="1:7" s="176" customFormat="1" ht="24.75" customHeight="1" x14ac:dyDescent="0.25">
      <c r="A227" s="345">
        <v>96</v>
      </c>
      <c r="B227" s="285" t="s">
        <v>1056</v>
      </c>
      <c r="C227" s="283" t="s">
        <v>14</v>
      </c>
      <c r="D227" s="368">
        <v>5</v>
      </c>
      <c r="E227" s="302">
        <v>22000</v>
      </c>
      <c r="F227" s="288">
        <f t="shared" si="6"/>
        <v>110000</v>
      </c>
      <c r="G227" s="288">
        <f>+D227*16008.06</f>
        <v>80040.3</v>
      </c>
    </row>
    <row r="228" spans="1:7" s="176" customFormat="1" ht="24.75" customHeight="1" x14ac:dyDescent="0.25">
      <c r="A228" s="345">
        <v>97</v>
      </c>
      <c r="B228" s="285" t="s">
        <v>1057</v>
      </c>
      <c r="C228" s="283" t="s">
        <v>14</v>
      </c>
      <c r="D228" s="368">
        <v>1</v>
      </c>
      <c r="E228" s="302">
        <v>166500</v>
      </c>
      <c r="F228" s="288">
        <f t="shared" si="6"/>
        <v>166500</v>
      </c>
      <c r="G228" s="288">
        <v>130548</v>
      </c>
    </row>
    <row r="229" spans="1:7" s="176" customFormat="1" ht="24.75" customHeight="1" x14ac:dyDescent="0.25">
      <c r="A229" s="345">
        <v>98</v>
      </c>
      <c r="B229" s="285" t="s">
        <v>1058</v>
      </c>
      <c r="C229" s="283" t="s">
        <v>14</v>
      </c>
      <c r="D229" s="368">
        <v>1</v>
      </c>
      <c r="E229" s="302">
        <v>1</v>
      </c>
      <c r="F229" s="288">
        <f t="shared" si="6"/>
        <v>1</v>
      </c>
      <c r="G229" s="288">
        <v>0</v>
      </c>
    </row>
    <row r="230" spans="1:7" s="176" customFormat="1" ht="24.75" customHeight="1" x14ac:dyDescent="0.25">
      <c r="A230" s="345">
        <v>99</v>
      </c>
      <c r="B230" s="285" t="s">
        <v>1059</v>
      </c>
      <c r="C230" s="283" t="s">
        <v>14</v>
      </c>
      <c r="D230" s="368">
        <v>3</v>
      </c>
      <c r="E230" s="302">
        <v>90000</v>
      </c>
      <c r="F230" s="288">
        <f t="shared" si="6"/>
        <v>270000</v>
      </c>
      <c r="G230" s="288">
        <f>+D230*77248.99</f>
        <v>231746.97000000003</v>
      </c>
    </row>
    <row r="231" spans="1:7" s="176" customFormat="1" ht="24.75" customHeight="1" x14ac:dyDescent="0.25">
      <c r="A231" s="345">
        <v>100</v>
      </c>
      <c r="B231" s="285" t="s">
        <v>1060</v>
      </c>
      <c r="C231" s="283" t="s">
        <v>14</v>
      </c>
      <c r="D231" s="368">
        <v>1</v>
      </c>
      <c r="E231" s="302">
        <v>1</v>
      </c>
      <c r="F231" s="288">
        <f t="shared" si="6"/>
        <v>1</v>
      </c>
      <c r="G231" s="288">
        <v>0</v>
      </c>
    </row>
    <row r="232" spans="1:7" s="176" customFormat="1" ht="24.75" customHeight="1" x14ac:dyDescent="0.25">
      <c r="A232" s="345">
        <v>101</v>
      </c>
      <c r="B232" s="285" t="s">
        <v>1061</v>
      </c>
      <c r="C232" s="283" t="s">
        <v>14</v>
      </c>
      <c r="D232" s="368">
        <v>4</v>
      </c>
      <c r="E232" s="302">
        <v>1</v>
      </c>
      <c r="F232" s="288">
        <f t="shared" si="6"/>
        <v>4</v>
      </c>
      <c r="G232" s="288">
        <f>+D232*0.75</f>
        <v>3</v>
      </c>
    </row>
    <row r="233" spans="1:7" s="176" customFormat="1" ht="24.75" customHeight="1" x14ac:dyDescent="0.25">
      <c r="A233" s="345">
        <v>102</v>
      </c>
      <c r="B233" s="285" t="s">
        <v>1064</v>
      </c>
      <c r="C233" s="283" t="s">
        <v>14</v>
      </c>
      <c r="D233" s="368">
        <v>36</v>
      </c>
      <c r="E233" s="302">
        <v>1838</v>
      </c>
      <c r="F233" s="288">
        <f t="shared" si="6"/>
        <v>66168</v>
      </c>
      <c r="G233" s="288">
        <f>+D233*2.47</f>
        <v>88.92</v>
      </c>
    </row>
    <row r="234" spans="1:7" s="176" customFormat="1" ht="24.75" customHeight="1" x14ac:dyDescent="0.25">
      <c r="A234" s="345">
        <v>103</v>
      </c>
      <c r="B234" s="285" t="s">
        <v>1065</v>
      </c>
      <c r="C234" s="283" t="s">
        <v>14</v>
      </c>
      <c r="D234" s="368">
        <v>1</v>
      </c>
      <c r="E234" s="302">
        <v>1</v>
      </c>
      <c r="F234" s="288">
        <f t="shared" si="6"/>
        <v>1</v>
      </c>
      <c r="G234" s="288">
        <v>0</v>
      </c>
    </row>
    <row r="235" spans="1:7" s="176" customFormat="1" ht="43.5" customHeight="1" x14ac:dyDescent="0.25">
      <c r="A235" s="345">
        <v>104</v>
      </c>
      <c r="B235" s="285" t="s">
        <v>1066</v>
      </c>
      <c r="C235" s="283" t="s">
        <v>14</v>
      </c>
      <c r="D235" s="368">
        <v>1</v>
      </c>
      <c r="E235" s="302">
        <v>90720</v>
      </c>
      <c r="F235" s="288">
        <f t="shared" si="6"/>
        <v>90720</v>
      </c>
      <c r="G235" s="288">
        <v>60520.65</v>
      </c>
    </row>
    <row r="236" spans="1:7" s="176" customFormat="1" ht="51" customHeight="1" x14ac:dyDescent="0.25">
      <c r="A236" s="345">
        <v>105</v>
      </c>
      <c r="B236" s="285" t="s">
        <v>1067</v>
      </c>
      <c r="C236" s="283" t="s">
        <v>14</v>
      </c>
      <c r="D236" s="368">
        <v>1</v>
      </c>
      <c r="E236" s="302">
        <v>79816</v>
      </c>
      <c r="F236" s="288">
        <f t="shared" si="6"/>
        <v>79816</v>
      </c>
      <c r="G236" s="288">
        <v>58077.26</v>
      </c>
    </row>
    <row r="237" spans="1:7" s="176" customFormat="1" ht="37.5" customHeight="1" x14ac:dyDescent="0.25">
      <c r="A237" s="345">
        <v>106</v>
      </c>
      <c r="B237" s="285" t="s">
        <v>1066</v>
      </c>
      <c r="C237" s="283" t="s">
        <v>14</v>
      </c>
      <c r="D237" s="368">
        <v>1</v>
      </c>
      <c r="E237" s="302">
        <v>141072</v>
      </c>
      <c r="F237" s="288">
        <f t="shared" si="6"/>
        <v>141072</v>
      </c>
      <c r="G237" s="288">
        <v>103081.24</v>
      </c>
    </row>
    <row r="238" spans="1:7" s="176" customFormat="1" ht="24.75" customHeight="1" x14ac:dyDescent="0.25">
      <c r="A238" s="345">
        <v>107</v>
      </c>
      <c r="B238" s="285" t="s">
        <v>1068</v>
      </c>
      <c r="C238" s="283" t="s">
        <v>14</v>
      </c>
      <c r="D238" s="368">
        <v>2</v>
      </c>
      <c r="E238" s="302">
        <v>1</v>
      </c>
      <c r="F238" s="288">
        <f t="shared" si="6"/>
        <v>2</v>
      </c>
      <c r="G238" s="288">
        <v>0</v>
      </c>
    </row>
    <row r="239" spans="1:7" s="176" customFormat="1" ht="24.75" customHeight="1" x14ac:dyDescent="0.25">
      <c r="A239" s="345">
        <v>108</v>
      </c>
      <c r="B239" s="285" t="s">
        <v>1069</v>
      </c>
      <c r="C239" s="283" t="s">
        <v>14</v>
      </c>
      <c r="D239" s="368">
        <v>1</v>
      </c>
      <c r="E239" s="302">
        <v>2925</v>
      </c>
      <c r="F239" s="288">
        <f t="shared" si="6"/>
        <v>2925</v>
      </c>
      <c r="G239" s="288">
        <v>0</v>
      </c>
    </row>
    <row r="240" spans="1:7" s="176" customFormat="1" ht="24.75" customHeight="1" x14ac:dyDescent="0.25">
      <c r="A240" s="345">
        <v>109</v>
      </c>
      <c r="B240" s="285" t="s">
        <v>1070</v>
      </c>
      <c r="C240" s="283" t="s">
        <v>14</v>
      </c>
      <c r="D240" s="368">
        <v>1</v>
      </c>
      <c r="E240" s="302">
        <v>1</v>
      </c>
      <c r="F240" s="288">
        <f t="shared" si="6"/>
        <v>1</v>
      </c>
      <c r="G240" s="288">
        <v>0</v>
      </c>
    </row>
    <row r="241" spans="1:7" s="176" customFormat="1" ht="24.75" customHeight="1" x14ac:dyDescent="0.25">
      <c r="A241" s="345">
        <v>110</v>
      </c>
      <c r="B241" s="285" t="s">
        <v>1072</v>
      </c>
      <c r="C241" s="283" t="s">
        <v>14</v>
      </c>
      <c r="D241" s="368">
        <v>2</v>
      </c>
      <c r="E241" s="302">
        <v>9400</v>
      </c>
      <c r="F241" s="288">
        <f t="shared" si="6"/>
        <v>18800</v>
      </c>
      <c r="G241" s="288">
        <f>+D241*5376.84</f>
        <v>10753.68</v>
      </c>
    </row>
    <row r="242" spans="1:7" s="176" customFormat="1" ht="24.75" customHeight="1" x14ac:dyDescent="0.25">
      <c r="A242" s="345">
        <v>111</v>
      </c>
      <c r="B242" s="285" t="s">
        <v>1073</v>
      </c>
      <c r="C242" s="283" t="s">
        <v>14</v>
      </c>
      <c r="D242" s="368">
        <v>1</v>
      </c>
      <c r="E242" s="302">
        <v>31250</v>
      </c>
      <c r="F242" s="288">
        <f t="shared" si="6"/>
        <v>31250</v>
      </c>
      <c r="G242" s="288">
        <v>21263.439999999999</v>
      </c>
    </row>
    <row r="243" spans="1:7" s="176" customFormat="1" ht="24.75" customHeight="1" x14ac:dyDescent="0.25">
      <c r="A243" s="345">
        <v>112</v>
      </c>
      <c r="B243" s="285" t="s">
        <v>1074</v>
      </c>
      <c r="C243" s="283" t="s">
        <v>14</v>
      </c>
      <c r="D243" s="368">
        <v>1</v>
      </c>
      <c r="E243" s="302">
        <v>15000</v>
      </c>
      <c r="F243" s="288">
        <f t="shared" si="6"/>
        <v>15000</v>
      </c>
      <c r="G243" s="288">
        <v>10006.719999999999</v>
      </c>
    </row>
    <row r="244" spans="1:7" s="176" customFormat="1" ht="24.75" customHeight="1" x14ac:dyDescent="0.25">
      <c r="A244" s="345">
        <v>113</v>
      </c>
      <c r="B244" s="285" t="s">
        <v>1075</v>
      </c>
      <c r="C244" s="283" t="s">
        <v>14</v>
      </c>
      <c r="D244" s="368">
        <v>1</v>
      </c>
      <c r="E244" s="302">
        <v>45000</v>
      </c>
      <c r="F244" s="288">
        <f t="shared" si="6"/>
        <v>45000</v>
      </c>
      <c r="G244" s="288">
        <v>37998</v>
      </c>
    </row>
    <row r="245" spans="1:7" s="176" customFormat="1" ht="24.75" customHeight="1" x14ac:dyDescent="0.25">
      <c r="A245" s="345">
        <v>114</v>
      </c>
      <c r="B245" s="285" t="s">
        <v>1077</v>
      </c>
      <c r="C245" s="283" t="s">
        <v>14</v>
      </c>
      <c r="D245" s="368">
        <v>1</v>
      </c>
      <c r="E245" s="302">
        <v>18000</v>
      </c>
      <c r="F245" s="288">
        <f t="shared" si="6"/>
        <v>18000</v>
      </c>
      <c r="G245" s="288">
        <v>10809.68</v>
      </c>
    </row>
    <row r="246" spans="1:7" s="374" customFormat="1" ht="24.75" customHeight="1" x14ac:dyDescent="0.25">
      <c r="A246" s="168"/>
      <c r="B246" s="208" t="s">
        <v>39</v>
      </c>
      <c r="C246" s="349"/>
      <c r="D246" s="299">
        <f>SUM(D132:D245)</f>
        <v>525</v>
      </c>
      <c r="E246" s="299"/>
      <c r="F246" s="284">
        <f>SUM(F132:F245)</f>
        <v>9345575</v>
      </c>
      <c r="G246" s="284">
        <f>SUM(G132:G245)</f>
        <v>6865346.799999998</v>
      </c>
    </row>
    <row r="247" spans="1:7" s="176" customFormat="1" ht="24.75" customHeight="1" x14ac:dyDescent="0.25">
      <c r="A247" s="163"/>
      <c r="B247" s="475" t="s">
        <v>443</v>
      </c>
      <c r="C247" s="476"/>
      <c r="D247" s="476"/>
      <c r="E247" s="476"/>
      <c r="F247" s="476"/>
      <c r="G247" s="477"/>
    </row>
    <row r="248" spans="1:7" s="176" customFormat="1" ht="24.75" customHeight="1" x14ac:dyDescent="0.25">
      <c r="A248" s="233">
        <v>1</v>
      </c>
      <c r="B248" s="261" t="s">
        <v>1081</v>
      </c>
      <c r="C248" s="363" t="s">
        <v>314</v>
      </c>
      <c r="D248" s="362">
        <v>1</v>
      </c>
      <c r="E248" s="302">
        <v>7000</v>
      </c>
      <c r="F248" s="364">
        <f t="shared" ref="F248:F256" si="7">D248*E248</f>
        <v>7000</v>
      </c>
      <c r="G248" s="280">
        <v>0</v>
      </c>
    </row>
    <row r="249" spans="1:7" s="375" customFormat="1" ht="24.75" customHeight="1" x14ac:dyDescent="0.25">
      <c r="A249" s="233">
        <v>2</v>
      </c>
      <c r="B249" s="261" t="s">
        <v>1082</v>
      </c>
      <c r="C249" s="363" t="s">
        <v>314</v>
      </c>
      <c r="D249" s="362">
        <v>2</v>
      </c>
      <c r="E249" s="302">
        <v>15000</v>
      </c>
      <c r="F249" s="364">
        <f t="shared" si="7"/>
        <v>30000</v>
      </c>
      <c r="G249" s="280">
        <v>0</v>
      </c>
    </row>
    <row r="250" spans="1:7" s="176" customFormat="1" ht="24.75" customHeight="1" x14ac:dyDescent="0.25">
      <c r="A250" s="233">
        <v>3</v>
      </c>
      <c r="B250" s="261" t="s">
        <v>1109</v>
      </c>
      <c r="C250" s="363" t="s">
        <v>555</v>
      </c>
      <c r="D250" s="362">
        <v>16</v>
      </c>
      <c r="E250" s="302">
        <v>4600</v>
      </c>
      <c r="F250" s="364">
        <f t="shared" si="7"/>
        <v>73600</v>
      </c>
      <c r="G250" s="280">
        <v>0</v>
      </c>
    </row>
    <row r="251" spans="1:7" s="176" customFormat="1" ht="24.75" customHeight="1" x14ac:dyDescent="0.25">
      <c r="A251" s="233">
        <v>4</v>
      </c>
      <c r="B251" s="261" t="s">
        <v>1110</v>
      </c>
      <c r="C251" s="363" t="s">
        <v>555</v>
      </c>
      <c r="D251" s="362">
        <v>30</v>
      </c>
      <c r="E251" s="302">
        <v>6000</v>
      </c>
      <c r="F251" s="364">
        <f t="shared" si="7"/>
        <v>180000</v>
      </c>
      <c r="G251" s="280">
        <v>0</v>
      </c>
    </row>
    <row r="252" spans="1:7" s="176" customFormat="1" ht="24.75" customHeight="1" x14ac:dyDescent="0.25">
      <c r="A252" s="233">
        <v>5</v>
      </c>
      <c r="B252" s="261" t="s">
        <v>1113</v>
      </c>
      <c r="C252" s="363" t="s">
        <v>314</v>
      </c>
      <c r="D252" s="362">
        <v>1</v>
      </c>
      <c r="E252" s="302">
        <v>20000</v>
      </c>
      <c r="F252" s="364">
        <f t="shared" si="7"/>
        <v>20000</v>
      </c>
      <c r="G252" s="280">
        <v>0</v>
      </c>
    </row>
    <row r="253" spans="1:7" s="176" customFormat="1" ht="24.75" customHeight="1" x14ac:dyDescent="0.25">
      <c r="A253" s="233">
        <v>6</v>
      </c>
      <c r="B253" s="261" t="s">
        <v>1113</v>
      </c>
      <c r="C253" s="363" t="s">
        <v>314</v>
      </c>
      <c r="D253" s="362">
        <v>1</v>
      </c>
      <c r="E253" s="302">
        <v>20000</v>
      </c>
      <c r="F253" s="364">
        <f t="shared" si="7"/>
        <v>20000</v>
      </c>
      <c r="G253" s="280">
        <v>0</v>
      </c>
    </row>
    <row r="254" spans="1:7" s="176" customFormat="1" ht="24.75" customHeight="1" x14ac:dyDescent="0.25">
      <c r="A254" s="233">
        <v>7</v>
      </c>
      <c r="B254" s="261" t="s">
        <v>1114</v>
      </c>
      <c r="C254" s="363" t="s">
        <v>554</v>
      </c>
      <c r="D254" s="362">
        <v>30</v>
      </c>
      <c r="E254" s="302">
        <v>2500</v>
      </c>
      <c r="F254" s="364">
        <f t="shared" si="7"/>
        <v>75000</v>
      </c>
      <c r="G254" s="280">
        <v>0</v>
      </c>
    </row>
    <row r="255" spans="1:7" s="176" customFormat="1" ht="24.75" customHeight="1" x14ac:dyDescent="0.25">
      <c r="A255" s="233">
        <v>8</v>
      </c>
      <c r="B255" s="261" t="s">
        <v>1115</v>
      </c>
      <c r="C255" s="363" t="s">
        <v>314</v>
      </c>
      <c r="D255" s="362">
        <v>16</v>
      </c>
      <c r="E255" s="302">
        <v>1500</v>
      </c>
      <c r="F255" s="364">
        <f t="shared" si="7"/>
        <v>24000</v>
      </c>
      <c r="G255" s="280">
        <v>0</v>
      </c>
    </row>
    <row r="256" spans="1:7" s="176" customFormat="1" ht="24.75" customHeight="1" x14ac:dyDescent="0.25">
      <c r="A256" s="233">
        <v>9</v>
      </c>
      <c r="B256" s="285" t="s">
        <v>1109</v>
      </c>
      <c r="C256" s="365" t="s">
        <v>314</v>
      </c>
      <c r="D256" s="366">
        <v>1</v>
      </c>
      <c r="E256" s="302">
        <v>7000</v>
      </c>
      <c r="F256" s="364">
        <f t="shared" si="7"/>
        <v>7000</v>
      </c>
      <c r="G256" s="280">
        <v>0</v>
      </c>
    </row>
    <row r="257" spans="1:7" s="374" customFormat="1" ht="24.75" customHeight="1" x14ac:dyDescent="0.25">
      <c r="A257" s="168"/>
      <c r="B257" s="208" t="s">
        <v>39</v>
      </c>
      <c r="C257" s="168"/>
      <c r="D257" s="299">
        <f>SUM(D248:D256)</f>
        <v>98</v>
      </c>
      <c r="E257" s="395"/>
      <c r="F257" s="284">
        <f>SUM(F248:F256)</f>
        <v>436600</v>
      </c>
      <c r="G257" s="284">
        <f>SUM(G248:G256)</f>
        <v>0</v>
      </c>
    </row>
    <row r="258" spans="1:7" s="374" customFormat="1" ht="24.75" customHeight="1" x14ac:dyDescent="0.25">
      <c r="A258" s="168"/>
      <c r="B258" s="208" t="s">
        <v>552</v>
      </c>
      <c r="C258" s="168"/>
      <c r="D258" s="299">
        <f>D257+D246</f>
        <v>623</v>
      </c>
      <c r="E258" s="299"/>
      <c r="F258" s="284">
        <f t="shared" ref="F258:G258" si="8">F257+F246</f>
        <v>9782175</v>
      </c>
      <c r="G258" s="284">
        <f t="shared" si="8"/>
        <v>6865346.799999998</v>
      </c>
    </row>
    <row r="259" spans="1:7" s="176" customFormat="1" ht="24.75" customHeight="1" x14ac:dyDescent="0.25">
      <c r="A259" s="168"/>
      <c r="B259" s="208" t="s">
        <v>558</v>
      </c>
      <c r="C259" s="168"/>
      <c r="D259" s="299">
        <f>D258+D129</f>
        <v>897</v>
      </c>
      <c r="E259" s="299"/>
      <c r="F259" s="284">
        <f t="shared" ref="F259:G259" si="9">F258+F129</f>
        <v>34676968.5</v>
      </c>
      <c r="G259" s="299">
        <f t="shared" si="9"/>
        <v>7235933.299999998</v>
      </c>
    </row>
    <row r="260" spans="1:7" s="176" customFormat="1" x14ac:dyDescent="0.25">
      <c r="F260" s="369"/>
    </row>
    <row r="261" spans="1:7" s="176" customFormat="1" x14ac:dyDescent="0.25">
      <c r="F261" s="369"/>
    </row>
    <row r="262" spans="1:7" x14ac:dyDescent="0.3">
      <c r="D262" s="398"/>
    </row>
    <row r="276" spans="6:6" x14ac:dyDescent="0.3">
      <c r="F276" s="226"/>
    </row>
    <row r="277" spans="6:6" x14ac:dyDescent="0.3">
      <c r="F277" s="226"/>
    </row>
    <row r="278" spans="6:6" x14ac:dyDescent="0.3">
      <c r="F278" s="226"/>
    </row>
    <row r="279" spans="6:6" x14ac:dyDescent="0.3">
      <c r="F279" s="226"/>
    </row>
    <row r="280" spans="6:6" x14ac:dyDescent="0.3">
      <c r="F280" s="226"/>
    </row>
    <row r="281" spans="6:6" x14ac:dyDescent="0.3">
      <c r="F281" s="226"/>
    </row>
    <row r="282" spans="6:6" x14ac:dyDescent="0.3">
      <c r="F282" s="226"/>
    </row>
    <row r="283" spans="6:6" x14ac:dyDescent="0.3">
      <c r="F283" s="226"/>
    </row>
    <row r="284" spans="6:6" x14ac:dyDescent="0.3">
      <c r="F284" s="226"/>
    </row>
    <row r="285" spans="6:6" x14ac:dyDescent="0.3">
      <c r="F285" s="226"/>
    </row>
    <row r="286" spans="6:6" x14ac:dyDescent="0.3">
      <c r="F286" s="226"/>
    </row>
    <row r="287" spans="6:6" x14ac:dyDescent="0.3">
      <c r="F287" s="226"/>
    </row>
  </sheetData>
  <mergeCells count="14">
    <mergeCell ref="A130:G130"/>
    <mergeCell ref="B131:G131"/>
    <mergeCell ref="B247:G247"/>
    <mergeCell ref="F1:G1"/>
    <mergeCell ref="A11:G11"/>
    <mergeCell ref="B12:G12"/>
    <mergeCell ref="B117:G117"/>
    <mergeCell ref="D2:G2"/>
    <mergeCell ref="D3:G3"/>
    <mergeCell ref="A5:G5"/>
    <mergeCell ref="A6:G6"/>
    <mergeCell ref="B8:B9"/>
    <mergeCell ref="C8:C9"/>
    <mergeCell ref="D8:D9"/>
  </mergeCells>
  <pageMargins left="0" right="0" top="0" bottom="0" header="0" footer="0"/>
  <pageSetup paperSize="9" scale="90"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40" workbookViewId="0">
      <selection activeCell="A6" sqref="A6:G6"/>
    </sheetView>
  </sheetViews>
  <sheetFormatPr defaultRowHeight="16.5" x14ac:dyDescent="0.3"/>
  <cols>
    <col min="1" max="1" width="5.140625" style="226" customWidth="1"/>
    <col min="2" max="2" width="34.28515625" style="226" customWidth="1"/>
    <col min="3" max="3" width="6.5703125" style="226" customWidth="1"/>
    <col min="4" max="4" width="9.28515625" style="226" customWidth="1"/>
    <col min="5" max="5" width="16.140625" style="226" customWidth="1"/>
    <col min="6" max="6" width="18.28515625" style="399" customWidth="1"/>
    <col min="7" max="7" width="17.7109375" style="226" customWidth="1"/>
    <col min="8" max="16384" width="9.140625" style="226"/>
  </cols>
  <sheetData>
    <row r="1" spans="1:7" x14ac:dyDescent="0.3">
      <c r="D1" s="367"/>
      <c r="E1" s="367"/>
      <c r="F1" s="485" t="s">
        <v>76</v>
      </c>
      <c r="G1" s="485"/>
    </row>
    <row r="2" spans="1:7" x14ac:dyDescent="0.3">
      <c r="D2" s="465" t="s">
        <v>1</v>
      </c>
      <c r="E2" s="465"/>
      <c r="F2" s="465"/>
      <c r="G2" s="465"/>
    </row>
    <row r="3" spans="1:7" x14ac:dyDescent="0.3">
      <c r="D3" s="465" t="s">
        <v>2</v>
      </c>
      <c r="E3" s="465"/>
      <c r="F3" s="465"/>
      <c r="G3" s="465"/>
    </row>
    <row r="5" spans="1:7" x14ac:dyDescent="0.3">
      <c r="A5" s="489" t="s">
        <v>3</v>
      </c>
      <c r="B5" s="489"/>
      <c r="C5" s="489"/>
      <c r="D5" s="489"/>
      <c r="E5" s="489"/>
      <c r="F5" s="489"/>
      <c r="G5" s="489"/>
    </row>
    <row r="6" spans="1:7" ht="174" customHeight="1" x14ac:dyDescent="0.3">
      <c r="A6" s="490" t="s">
        <v>1243</v>
      </c>
      <c r="B6" s="490"/>
      <c r="C6" s="490"/>
      <c r="D6" s="490"/>
      <c r="E6" s="490"/>
      <c r="F6" s="490"/>
      <c r="G6" s="490"/>
    </row>
    <row r="7" spans="1:7" x14ac:dyDescent="0.3">
      <c r="D7" s="268"/>
      <c r="E7" s="268"/>
      <c r="F7" s="369"/>
    </row>
    <row r="8" spans="1:7" ht="49.5" customHeight="1" x14ac:dyDescent="0.3">
      <c r="A8" s="342" t="s">
        <v>4</v>
      </c>
      <c r="B8" s="481" t="s">
        <v>5</v>
      </c>
      <c r="C8" s="481" t="s">
        <v>6</v>
      </c>
      <c r="D8" s="483" t="s">
        <v>7</v>
      </c>
      <c r="E8" s="344" t="s">
        <v>1228</v>
      </c>
      <c r="F8" s="370" t="s">
        <v>9</v>
      </c>
      <c r="G8" s="344" t="s">
        <v>10</v>
      </c>
    </row>
    <row r="9" spans="1:7" ht="19.5" customHeight="1" x14ac:dyDescent="0.3">
      <c r="A9" s="343" t="s">
        <v>11</v>
      </c>
      <c r="B9" s="482"/>
      <c r="C9" s="482"/>
      <c r="D9" s="484"/>
      <c r="E9" s="370" t="s">
        <v>12</v>
      </c>
      <c r="F9" s="370" t="s">
        <v>12</v>
      </c>
      <c r="G9" s="84" t="s">
        <v>12</v>
      </c>
    </row>
    <row r="10" spans="1:7" ht="22.5" customHeight="1" x14ac:dyDescent="0.3">
      <c r="A10" s="84">
        <v>1</v>
      </c>
      <c r="B10" s="84">
        <v>2</v>
      </c>
      <c r="C10" s="84">
        <v>3</v>
      </c>
      <c r="D10" s="84">
        <v>4</v>
      </c>
      <c r="E10" s="84">
        <v>5</v>
      </c>
      <c r="F10" s="372">
        <v>6</v>
      </c>
      <c r="G10" s="84">
        <v>7</v>
      </c>
    </row>
    <row r="11" spans="1:7" s="176" customFormat="1" ht="42.75" customHeight="1" x14ac:dyDescent="0.25">
      <c r="A11" s="469" t="s">
        <v>1220</v>
      </c>
      <c r="B11" s="470"/>
      <c r="C11" s="470"/>
      <c r="D11" s="470"/>
      <c r="E11" s="470"/>
      <c r="F11" s="470"/>
      <c r="G11" s="471"/>
    </row>
    <row r="12" spans="1:7" s="176" customFormat="1" ht="25.5" customHeight="1" x14ac:dyDescent="0.25">
      <c r="A12" s="346"/>
      <c r="B12" s="475" t="s">
        <v>131</v>
      </c>
      <c r="C12" s="476"/>
      <c r="D12" s="476"/>
      <c r="E12" s="476"/>
      <c r="F12" s="476"/>
      <c r="G12" s="477"/>
    </row>
    <row r="13" spans="1:7" s="176" customFormat="1" ht="25.5" customHeight="1" x14ac:dyDescent="0.25">
      <c r="A13" s="345">
        <v>1</v>
      </c>
      <c r="B13" s="350" t="s">
        <v>220</v>
      </c>
      <c r="C13" s="345" t="s">
        <v>14</v>
      </c>
      <c r="D13" s="14">
        <v>8</v>
      </c>
      <c r="E13" s="279">
        <v>15000</v>
      </c>
      <c r="F13" s="279">
        <f t="shared" ref="F13" si="0">D13*E13</f>
        <v>120000</v>
      </c>
      <c r="G13" s="96">
        <v>60000</v>
      </c>
    </row>
    <row r="14" spans="1:7" s="176" customFormat="1" x14ac:dyDescent="0.25">
      <c r="A14" s="345">
        <v>2</v>
      </c>
      <c r="B14" s="350" t="s">
        <v>271</v>
      </c>
      <c r="C14" s="345" t="s">
        <v>14</v>
      </c>
      <c r="D14" s="14">
        <v>1</v>
      </c>
      <c r="E14" s="279">
        <v>76120</v>
      </c>
      <c r="F14" s="279">
        <f t="shared" ref="F14:F17" si="1">D14*E14</f>
        <v>76120</v>
      </c>
      <c r="G14" s="96">
        <v>52698.46</v>
      </c>
    </row>
    <row r="15" spans="1:7" s="176" customFormat="1" ht="28.5" customHeight="1" x14ac:dyDescent="0.25">
      <c r="A15" s="345">
        <v>3</v>
      </c>
      <c r="B15" s="350" t="s">
        <v>277</v>
      </c>
      <c r="C15" s="345" t="s">
        <v>14</v>
      </c>
      <c r="D15" s="14">
        <v>2</v>
      </c>
      <c r="E15" s="279">
        <v>20520</v>
      </c>
      <c r="F15" s="279">
        <f t="shared" si="1"/>
        <v>41040</v>
      </c>
      <c r="G15" s="96">
        <v>28412.3</v>
      </c>
    </row>
    <row r="16" spans="1:7" s="176" customFormat="1" ht="26.25" customHeight="1" x14ac:dyDescent="0.25">
      <c r="A16" s="345">
        <v>4</v>
      </c>
      <c r="B16" s="350" t="s">
        <v>299</v>
      </c>
      <c r="C16" s="345" t="s">
        <v>14</v>
      </c>
      <c r="D16" s="14">
        <v>36</v>
      </c>
      <c r="E16" s="279">
        <v>3643</v>
      </c>
      <c r="F16" s="279">
        <f t="shared" si="1"/>
        <v>131148</v>
      </c>
      <c r="G16" s="280">
        <v>72859.679999999993</v>
      </c>
    </row>
    <row r="17" spans="1:7" s="176" customFormat="1" x14ac:dyDescent="0.25">
      <c r="A17" s="345">
        <v>5</v>
      </c>
      <c r="B17" s="350" t="s">
        <v>301</v>
      </c>
      <c r="C17" s="345" t="s">
        <v>14</v>
      </c>
      <c r="D17" s="14">
        <v>30</v>
      </c>
      <c r="E17" s="279">
        <v>3883</v>
      </c>
      <c r="F17" s="279">
        <f t="shared" si="1"/>
        <v>116490</v>
      </c>
      <c r="G17" s="280">
        <v>88532.4</v>
      </c>
    </row>
    <row r="18" spans="1:7" s="176" customFormat="1" ht="24" customHeight="1" x14ac:dyDescent="0.25">
      <c r="A18" s="93"/>
      <c r="B18" s="94" t="s">
        <v>39</v>
      </c>
      <c r="C18" s="93"/>
      <c r="D18" s="344">
        <f>SUM(D13:D17)</f>
        <v>77</v>
      </c>
      <c r="E18" s="344"/>
      <c r="F18" s="100">
        <f>SUM(F13:F17)</f>
        <v>484798</v>
      </c>
      <c r="G18" s="284">
        <f>SUM(G13:G17)</f>
        <v>302502.83999999997</v>
      </c>
    </row>
    <row r="19" spans="1:7" s="176" customFormat="1" ht="51.75" customHeight="1" x14ac:dyDescent="0.25">
      <c r="A19" s="469" t="s">
        <v>1240</v>
      </c>
      <c r="B19" s="470"/>
      <c r="C19" s="470"/>
      <c r="D19" s="470"/>
      <c r="E19" s="470"/>
      <c r="F19" s="470"/>
      <c r="G19" s="471"/>
    </row>
    <row r="20" spans="1:7" s="176" customFormat="1" ht="24.75" customHeight="1" x14ac:dyDescent="0.25">
      <c r="A20" s="163"/>
      <c r="B20" s="475" t="s">
        <v>131</v>
      </c>
      <c r="C20" s="476"/>
      <c r="D20" s="476"/>
      <c r="E20" s="476"/>
      <c r="F20" s="476"/>
      <c r="G20" s="477"/>
    </row>
    <row r="21" spans="1:7" s="176" customFormat="1" x14ac:dyDescent="0.25">
      <c r="A21" s="345">
        <v>1</v>
      </c>
      <c r="B21" s="217" t="s">
        <v>475</v>
      </c>
      <c r="C21" s="116" t="s">
        <v>14</v>
      </c>
      <c r="D21" s="116">
        <v>4</v>
      </c>
      <c r="E21" s="117">
        <v>256670</v>
      </c>
      <c r="F21" s="117">
        <f t="shared" ref="F21" si="2">D21*E21</f>
        <v>1026680</v>
      </c>
      <c r="G21" s="117">
        <v>0</v>
      </c>
    </row>
    <row r="22" spans="1:7" s="374" customFormat="1" ht="27" customHeight="1" x14ac:dyDescent="0.25">
      <c r="A22" s="93"/>
      <c r="B22" s="94" t="s">
        <v>39</v>
      </c>
      <c r="C22" s="93"/>
      <c r="D22" s="299">
        <f>SUM(D21:D21)</f>
        <v>4</v>
      </c>
      <c r="E22" s="110"/>
      <c r="F22" s="284">
        <f>SUM(F21:F21)</f>
        <v>1026680</v>
      </c>
      <c r="G22" s="284">
        <f>SUM(G21:G21)</f>
        <v>0</v>
      </c>
    </row>
    <row r="23" spans="1:7" s="176" customFormat="1" ht="41.25" customHeight="1" x14ac:dyDescent="0.25">
      <c r="A23" s="469" t="s">
        <v>1224</v>
      </c>
      <c r="B23" s="470"/>
      <c r="C23" s="470"/>
      <c r="D23" s="470"/>
      <c r="E23" s="470"/>
      <c r="F23" s="470"/>
      <c r="G23" s="471"/>
    </row>
    <row r="24" spans="1:7" s="176" customFormat="1" ht="21.75" customHeight="1" x14ac:dyDescent="0.25">
      <c r="A24" s="346"/>
      <c r="B24" s="491" t="s">
        <v>131</v>
      </c>
      <c r="C24" s="491"/>
      <c r="D24" s="491"/>
      <c r="E24" s="491"/>
      <c r="F24" s="491"/>
      <c r="G24" s="491"/>
    </row>
    <row r="25" spans="1:7" s="176" customFormat="1" ht="22.5" customHeight="1" x14ac:dyDescent="0.25">
      <c r="A25" s="345">
        <v>40</v>
      </c>
      <c r="B25" s="285" t="s">
        <v>1244</v>
      </c>
      <c r="C25" s="283" t="s">
        <v>14</v>
      </c>
      <c r="D25" s="368">
        <v>3</v>
      </c>
      <c r="E25" s="302">
        <v>46200</v>
      </c>
      <c r="F25" s="288">
        <f t="shared" ref="F25" si="3">D25*E25</f>
        <v>138600</v>
      </c>
      <c r="G25" s="288">
        <f>+D25*32183.42</f>
        <v>96550.26</v>
      </c>
    </row>
    <row r="26" spans="1:7" s="374" customFormat="1" ht="29.25" customHeight="1" x14ac:dyDescent="0.25">
      <c r="A26" s="168"/>
      <c r="B26" s="208" t="s">
        <v>39</v>
      </c>
      <c r="C26" s="349"/>
      <c r="D26" s="299">
        <f>SUM(D25:D25)</f>
        <v>3</v>
      </c>
      <c r="E26" s="299"/>
      <c r="F26" s="284">
        <f>SUM(F25:F25)</f>
        <v>138600</v>
      </c>
      <c r="G26" s="284">
        <f>SUM(G25:G25)</f>
        <v>96550.26</v>
      </c>
    </row>
    <row r="27" spans="1:7" s="176" customFormat="1" ht="31.5" customHeight="1" x14ac:dyDescent="0.25">
      <c r="A27" s="168"/>
      <c r="B27" s="208" t="s">
        <v>558</v>
      </c>
      <c r="C27" s="168"/>
      <c r="D27" s="299">
        <f>D26+D22+D18</f>
        <v>84</v>
      </c>
      <c r="E27" s="299"/>
      <c r="F27" s="284">
        <f t="shared" ref="F27:G27" si="4">F26+F22+F18</f>
        <v>1650078</v>
      </c>
      <c r="G27" s="284">
        <f t="shared" si="4"/>
        <v>399053.1</v>
      </c>
    </row>
    <row r="28" spans="1:7" s="176" customFormat="1" x14ac:dyDescent="0.25">
      <c r="F28" s="369"/>
    </row>
    <row r="29" spans="1:7" x14ac:dyDescent="0.3">
      <c r="F29" s="226"/>
    </row>
    <row r="30" spans="1:7" x14ac:dyDescent="0.3">
      <c r="F30" s="226"/>
    </row>
    <row r="31" spans="1:7" x14ac:dyDescent="0.3">
      <c r="F31" s="226"/>
    </row>
    <row r="32" spans="1:7" x14ac:dyDescent="0.3">
      <c r="F32" s="226"/>
    </row>
    <row r="33" spans="6:6" x14ac:dyDescent="0.3">
      <c r="F33" s="226"/>
    </row>
    <row r="34" spans="6:6" x14ac:dyDescent="0.3">
      <c r="F34" s="226"/>
    </row>
    <row r="35" spans="6:6" x14ac:dyDescent="0.3">
      <c r="F35" s="226"/>
    </row>
    <row r="36" spans="6:6" x14ac:dyDescent="0.3">
      <c r="F36" s="226"/>
    </row>
    <row r="37" spans="6:6" x14ac:dyDescent="0.3">
      <c r="F37" s="226"/>
    </row>
    <row r="38" spans="6:6" x14ac:dyDescent="0.3">
      <c r="F38" s="226"/>
    </row>
  </sheetData>
  <mergeCells count="14">
    <mergeCell ref="A23:G23"/>
    <mergeCell ref="B24:G24"/>
    <mergeCell ref="F1:G1"/>
    <mergeCell ref="B12:G12"/>
    <mergeCell ref="A19:G19"/>
    <mergeCell ref="B20:G20"/>
    <mergeCell ref="A11:G11"/>
    <mergeCell ref="D2:G2"/>
    <mergeCell ref="D3:G3"/>
    <mergeCell ref="A5:G5"/>
    <mergeCell ref="A6:G6"/>
    <mergeCell ref="B8:B9"/>
    <mergeCell ref="C8:C9"/>
    <mergeCell ref="D8:D9"/>
  </mergeCells>
  <pageMargins left="0" right="0" top="0" bottom="0" header="0" footer="0"/>
  <pageSetup paperSize="9" scale="90"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0"/>
  <sheetViews>
    <sheetView topLeftCell="A19" workbookViewId="0">
      <selection activeCell="A6" sqref="A6:G6"/>
    </sheetView>
  </sheetViews>
  <sheetFormatPr defaultRowHeight="16.5" x14ac:dyDescent="0.3"/>
  <cols>
    <col min="1" max="1" width="5.140625" style="226" customWidth="1"/>
    <col min="2" max="2" width="36.7109375" style="226" customWidth="1"/>
    <col min="3" max="3" width="6.5703125" style="226" customWidth="1"/>
    <col min="4" max="4" width="9.28515625" style="226" customWidth="1"/>
    <col min="5" max="5" width="16.140625" style="226" customWidth="1"/>
    <col min="6" max="6" width="18.28515625" style="399" customWidth="1"/>
    <col min="7" max="7" width="17.7109375" style="226" customWidth="1"/>
    <col min="8" max="16384" width="9.140625" style="226"/>
  </cols>
  <sheetData>
    <row r="1" spans="1:7" x14ac:dyDescent="0.3">
      <c r="D1" s="367"/>
      <c r="E1" s="367"/>
      <c r="F1" s="485" t="s">
        <v>77</v>
      </c>
      <c r="G1" s="485"/>
    </row>
    <row r="2" spans="1:7" x14ac:dyDescent="0.3">
      <c r="D2" s="465" t="s">
        <v>1</v>
      </c>
      <c r="E2" s="465"/>
      <c r="F2" s="465"/>
      <c r="G2" s="465"/>
    </row>
    <row r="3" spans="1:7" x14ac:dyDescent="0.3">
      <c r="D3" s="465" t="s">
        <v>2</v>
      </c>
      <c r="E3" s="465"/>
      <c r="F3" s="465"/>
      <c r="G3" s="465"/>
    </row>
    <row r="5" spans="1:7" x14ac:dyDescent="0.3">
      <c r="A5" s="489" t="s">
        <v>3</v>
      </c>
      <c r="B5" s="489"/>
      <c r="C5" s="489"/>
      <c r="D5" s="489"/>
      <c r="E5" s="489"/>
      <c r="F5" s="489"/>
      <c r="G5" s="489"/>
    </row>
    <row r="6" spans="1:7" ht="138.75" customHeight="1" x14ac:dyDescent="0.3">
      <c r="A6" s="490" t="s">
        <v>1254</v>
      </c>
      <c r="B6" s="490"/>
      <c r="C6" s="490"/>
      <c r="D6" s="490"/>
      <c r="E6" s="490"/>
      <c r="F6" s="490"/>
      <c r="G6" s="490"/>
    </row>
    <row r="7" spans="1:7" x14ac:dyDescent="0.3">
      <c r="D7" s="268"/>
      <c r="E7" s="268"/>
      <c r="F7" s="369"/>
    </row>
    <row r="8" spans="1:7" ht="49.5" customHeight="1" x14ac:dyDescent="0.3">
      <c r="A8" s="342" t="s">
        <v>4</v>
      </c>
      <c r="B8" s="481" t="s">
        <v>5</v>
      </c>
      <c r="C8" s="481" t="s">
        <v>6</v>
      </c>
      <c r="D8" s="483" t="s">
        <v>7</v>
      </c>
      <c r="E8" s="344" t="s">
        <v>1228</v>
      </c>
      <c r="F8" s="370" t="s">
        <v>9</v>
      </c>
      <c r="G8" s="344" t="s">
        <v>10</v>
      </c>
    </row>
    <row r="9" spans="1:7" ht="23.25" customHeight="1" x14ac:dyDescent="0.3">
      <c r="A9" s="343" t="s">
        <v>11</v>
      </c>
      <c r="B9" s="482"/>
      <c r="C9" s="482"/>
      <c r="D9" s="484"/>
      <c r="E9" s="370" t="s">
        <v>12</v>
      </c>
      <c r="F9" s="370" t="s">
        <v>12</v>
      </c>
      <c r="G9" s="84" t="s">
        <v>12</v>
      </c>
    </row>
    <row r="10" spans="1:7" ht="25.5" customHeight="1" x14ac:dyDescent="0.3">
      <c r="A10" s="84">
        <v>1</v>
      </c>
      <c r="B10" s="84">
        <v>2</v>
      </c>
      <c r="C10" s="84">
        <v>3</v>
      </c>
      <c r="D10" s="84">
        <v>4</v>
      </c>
      <c r="E10" s="84">
        <v>5</v>
      </c>
      <c r="F10" s="372">
        <v>6</v>
      </c>
      <c r="G10" s="84">
        <v>7</v>
      </c>
    </row>
    <row r="11" spans="1:7" s="176" customFormat="1" ht="45" customHeight="1" x14ac:dyDescent="0.25">
      <c r="A11" s="469" t="s">
        <v>1241</v>
      </c>
      <c r="B11" s="470"/>
      <c r="C11" s="470"/>
      <c r="D11" s="470"/>
      <c r="E11" s="470"/>
      <c r="F11" s="470"/>
      <c r="G11" s="471"/>
    </row>
    <row r="12" spans="1:7" s="176" customFormat="1" ht="23.25" customHeight="1" x14ac:dyDescent="0.25">
      <c r="A12" s="346"/>
      <c r="B12" s="470" t="s">
        <v>131</v>
      </c>
      <c r="C12" s="470"/>
      <c r="D12" s="470"/>
      <c r="E12" s="470"/>
      <c r="F12" s="470"/>
      <c r="G12" s="471"/>
    </row>
    <row r="13" spans="1:7" s="176" customFormat="1" x14ac:dyDescent="0.25">
      <c r="A13" s="345">
        <v>1</v>
      </c>
      <c r="B13" s="350" t="s">
        <v>163</v>
      </c>
      <c r="C13" s="345" t="s">
        <v>14</v>
      </c>
      <c r="D13" s="14">
        <v>1</v>
      </c>
      <c r="E13" s="279">
        <v>16000</v>
      </c>
      <c r="F13" s="279">
        <f t="shared" ref="F13:F16" si="0">D13*E13</f>
        <v>16000</v>
      </c>
      <c r="G13" s="280">
        <v>0</v>
      </c>
    </row>
    <row r="14" spans="1:7" s="176" customFormat="1" ht="25.5" customHeight="1" x14ac:dyDescent="0.25">
      <c r="A14" s="345">
        <v>2</v>
      </c>
      <c r="B14" s="350" t="s">
        <v>164</v>
      </c>
      <c r="C14" s="345" t="s">
        <v>14</v>
      </c>
      <c r="D14" s="14">
        <v>1</v>
      </c>
      <c r="E14" s="279">
        <v>29250</v>
      </c>
      <c r="F14" s="279">
        <f t="shared" si="0"/>
        <v>29250</v>
      </c>
      <c r="G14" s="280">
        <v>0</v>
      </c>
    </row>
    <row r="15" spans="1:7" s="176" customFormat="1" ht="25.5" customHeight="1" x14ac:dyDescent="0.25">
      <c r="A15" s="345">
        <v>3</v>
      </c>
      <c r="B15" s="350" t="s">
        <v>176</v>
      </c>
      <c r="C15" s="345" t="s">
        <v>14</v>
      </c>
      <c r="D15" s="14">
        <v>1</v>
      </c>
      <c r="E15" s="279">
        <v>11056</v>
      </c>
      <c r="F15" s="279">
        <f t="shared" si="0"/>
        <v>11056</v>
      </c>
      <c r="G15" s="280">
        <v>0</v>
      </c>
    </row>
    <row r="16" spans="1:7" s="176" customFormat="1" ht="25.5" customHeight="1" x14ac:dyDescent="0.25">
      <c r="A16" s="345">
        <v>4</v>
      </c>
      <c r="B16" s="350" t="s">
        <v>215</v>
      </c>
      <c r="C16" s="345" t="s">
        <v>14</v>
      </c>
      <c r="D16" s="14">
        <v>2</v>
      </c>
      <c r="E16" s="279">
        <v>6000</v>
      </c>
      <c r="F16" s="279">
        <f t="shared" si="0"/>
        <v>12000</v>
      </c>
      <c r="G16" s="96">
        <v>2400</v>
      </c>
    </row>
    <row r="17" spans="1:7" s="176" customFormat="1" ht="25.5" customHeight="1" x14ac:dyDescent="0.25">
      <c r="A17" s="345">
        <v>5</v>
      </c>
      <c r="B17" s="350" t="s">
        <v>240</v>
      </c>
      <c r="C17" s="345" t="s">
        <v>14</v>
      </c>
      <c r="D17" s="14">
        <v>10</v>
      </c>
      <c r="E17" s="279">
        <v>2000</v>
      </c>
      <c r="F17" s="279">
        <f t="shared" ref="F17:F20" si="1">D17*E17</f>
        <v>20000</v>
      </c>
      <c r="G17" s="96">
        <v>0</v>
      </c>
    </row>
    <row r="18" spans="1:7" s="176" customFormat="1" ht="25.5" customHeight="1" x14ac:dyDescent="0.25">
      <c r="A18" s="345">
        <v>6</v>
      </c>
      <c r="B18" s="350" t="s">
        <v>250</v>
      </c>
      <c r="C18" s="345" t="s">
        <v>14</v>
      </c>
      <c r="D18" s="14">
        <v>1</v>
      </c>
      <c r="E18" s="279">
        <v>9732</v>
      </c>
      <c r="F18" s="279">
        <f t="shared" si="1"/>
        <v>9732</v>
      </c>
      <c r="G18" s="96">
        <v>3244</v>
      </c>
    </row>
    <row r="19" spans="1:7" s="176" customFormat="1" ht="29.25" customHeight="1" x14ac:dyDescent="0.25">
      <c r="A19" s="345">
        <v>7</v>
      </c>
      <c r="B19" s="350" t="s">
        <v>251</v>
      </c>
      <c r="C19" s="345" t="s">
        <v>14</v>
      </c>
      <c r="D19" s="14">
        <v>2</v>
      </c>
      <c r="E19" s="279">
        <v>10693</v>
      </c>
      <c r="F19" s="279">
        <f t="shared" si="1"/>
        <v>21386</v>
      </c>
      <c r="G19" s="96">
        <v>7128.68</v>
      </c>
    </row>
    <row r="20" spans="1:7" s="176" customFormat="1" ht="27.75" customHeight="1" x14ac:dyDescent="0.25">
      <c r="A20" s="345">
        <v>8</v>
      </c>
      <c r="B20" s="350" t="s">
        <v>265</v>
      </c>
      <c r="C20" s="345" t="s">
        <v>14</v>
      </c>
      <c r="D20" s="14">
        <v>24</v>
      </c>
      <c r="E20" s="279">
        <v>700</v>
      </c>
      <c r="F20" s="279">
        <f t="shared" si="1"/>
        <v>16800</v>
      </c>
      <c r="G20" s="96">
        <v>0</v>
      </c>
    </row>
    <row r="21" spans="1:7" s="176" customFormat="1" ht="27.75" customHeight="1" x14ac:dyDescent="0.25">
      <c r="A21" s="345">
        <v>9</v>
      </c>
      <c r="B21" s="350" t="s">
        <v>184</v>
      </c>
      <c r="C21" s="345" t="s">
        <v>14</v>
      </c>
      <c r="D21" s="14">
        <v>36</v>
      </c>
      <c r="E21" s="279">
        <v>1200</v>
      </c>
      <c r="F21" s="279">
        <f t="shared" ref="F21:F22" si="2">D21*E21</f>
        <v>43200</v>
      </c>
      <c r="G21" s="280">
        <v>14400</v>
      </c>
    </row>
    <row r="22" spans="1:7" s="176" customFormat="1" x14ac:dyDescent="0.25">
      <c r="A22" s="345">
        <v>10</v>
      </c>
      <c r="B22" s="350" t="s">
        <v>303</v>
      </c>
      <c r="C22" s="345" t="s">
        <v>14</v>
      </c>
      <c r="D22" s="14">
        <v>1</v>
      </c>
      <c r="E22" s="279">
        <v>4000</v>
      </c>
      <c r="F22" s="279">
        <f t="shared" si="2"/>
        <v>4000</v>
      </c>
      <c r="G22" s="96">
        <v>1333.34</v>
      </c>
    </row>
    <row r="23" spans="1:7" s="176" customFormat="1" ht="25.5" customHeight="1" x14ac:dyDescent="0.25">
      <c r="A23" s="93"/>
      <c r="B23" s="94" t="s">
        <v>39</v>
      </c>
      <c r="C23" s="93"/>
      <c r="D23" s="344">
        <f>SUM(D13:D22)</f>
        <v>79</v>
      </c>
      <c r="E23" s="344"/>
      <c r="F23" s="100">
        <f>SUM(F13:F22)</f>
        <v>183424</v>
      </c>
      <c r="G23" s="284">
        <f>SUM(G13:G22)</f>
        <v>28506.02</v>
      </c>
    </row>
    <row r="24" spans="1:7" s="176" customFormat="1" ht="44.25" customHeight="1" x14ac:dyDescent="0.25">
      <c r="A24" s="469" t="s">
        <v>1224</v>
      </c>
      <c r="B24" s="470"/>
      <c r="C24" s="470"/>
      <c r="D24" s="470"/>
      <c r="E24" s="470"/>
      <c r="F24" s="470"/>
      <c r="G24" s="471"/>
    </row>
    <row r="25" spans="1:7" s="176" customFormat="1" ht="21.75" customHeight="1" x14ac:dyDescent="0.25">
      <c r="A25" s="346"/>
      <c r="B25" s="470" t="s">
        <v>131</v>
      </c>
      <c r="C25" s="470"/>
      <c r="D25" s="470"/>
      <c r="E25" s="470"/>
      <c r="F25" s="470"/>
      <c r="G25" s="471"/>
    </row>
    <row r="26" spans="1:7" s="176" customFormat="1" ht="23.25" customHeight="1" x14ac:dyDescent="0.25">
      <c r="A26" s="345">
        <v>1</v>
      </c>
      <c r="B26" s="285" t="s">
        <v>1245</v>
      </c>
      <c r="C26" s="283" t="s">
        <v>14</v>
      </c>
      <c r="D26" s="368">
        <v>20</v>
      </c>
      <c r="E26" s="302">
        <v>1</v>
      </c>
      <c r="F26" s="288">
        <f t="shared" ref="F26" si="3">D26*E26</f>
        <v>20</v>
      </c>
      <c r="G26" s="288">
        <f>+D26*0</f>
        <v>0</v>
      </c>
    </row>
    <row r="27" spans="1:7" s="176" customFormat="1" ht="33" x14ac:dyDescent="0.25">
      <c r="A27" s="345">
        <v>2</v>
      </c>
      <c r="B27" s="285" t="s">
        <v>1246</v>
      </c>
      <c r="C27" s="283" t="s">
        <v>14</v>
      </c>
      <c r="D27" s="368">
        <v>1</v>
      </c>
      <c r="E27" s="302">
        <v>141000</v>
      </c>
      <c r="F27" s="288">
        <f t="shared" ref="F27" si="4">D27*E27</f>
        <v>141000</v>
      </c>
      <c r="G27" s="288">
        <v>70594.759999999995</v>
      </c>
    </row>
    <row r="28" spans="1:7" s="374" customFormat="1" ht="23.25" customHeight="1" x14ac:dyDescent="0.25">
      <c r="A28" s="168"/>
      <c r="B28" s="208" t="s">
        <v>39</v>
      </c>
      <c r="C28" s="349"/>
      <c r="D28" s="299">
        <f>SUM(D26:D27)</f>
        <v>21</v>
      </c>
      <c r="E28" s="299"/>
      <c r="F28" s="284">
        <f>SUM(F26:F27)</f>
        <v>141020</v>
      </c>
      <c r="G28" s="284">
        <f>SUM(G26:G27)</f>
        <v>70594.759999999995</v>
      </c>
    </row>
    <row r="29" spans="1:7" s="176" customFormat="1" ht="23.25" customHeight="1" x14ac:dyDescent="0.25">
      <c r="A29" s="168"/>
      <c r="B29" s="208" t="s">
        <v>558</v>
      </c>
      <c r="C29" s="168"/>
      <c r="D29" s="299">
        <f>D28+D23</f>
        <v>100</v>
      </c>
      <c r="E29" s="299"/>
      <c r="F29" s="284">
        <f t="shared" ref="F29:G29" si="5">F28+F23</f>
        <v>324444</v>
      </c>
      <c r="G29" s="284">
        <f t="shared" si="5"/>
        <v>99100.78</v>
      </c>
    </row>
    <row r="30" spans="1:7" s="176" customFormat="1" x14ac:dyDescent="0.25">
      <c r="F30" s="369"/>
    </row>
    <row r="31" spans="1:7" x14ac:dyDescent="0.3">
      <c r="F31" s="226"/>
    </row>
    <row r="32" spans="1:7" x14ac:dyDescent="0.3">
      <c r="F32" s="226"/>
    </row>
    <row r="33" spans="6:6" x14ac:dyDescent="0.3">
      <c r="F33" s="226"/>
    </row>
    <row r="34" spans="6:6" x14ac:dyDescent="0.3">
      <c r="F34" s="226"/>
    </row>
    <row r="35" spans="6:6" x14ac:dyDescent="0.3">
      <c r="F35" s="226"/>
    </row>
    <row r="36" spans="6:6" x14ac:dyDescent="0.3">
      <c r="F36" s="226"/>
    </row>
    <row r="37" spans="6:6" x14ac:dyDescent="0.3">
      <c r="F37" s="226"/>
    </row>
    <row r="38" spans="6:6" x14ac:dyDescent="0.3">
      <c r="F38" s="226"/>
    </row>
    <row r="39" spans="6:6" x14ac:dyDescent="0.3">
      <c r="F39" s="226"/>
    </row>
    <row r="40" spans="6:6" x14ac:dyDescent="0.3">
      <c r="F40" s="226"/>
    </row>
  </sheetData>
  <mergeCells count="12">
    <mergeCell ref="A24:G24"/>
    <mergeCell ref="B25:G25"/>
    <mergeCell ref="F1:G1"/>
    <mergeCell ref="A11:G11"/>
    <mergeCell ref="B12:G12"/>
    <mergeCell ref="D2:G2"/>
    <mergeCell ref="D3:G3"/>
    <mergeCell ref="A5:G5"/>
    <mergeCell ref="A6:G6"/>
    <mergeCell ref="B8:B9"/>
    <mergeCell ref="C8:C9"/>
    <mergeCell ref="D8:D9"/>
  </mergeCells>
  <pageMargins left="0" right="0" top="0" bottom="0" header="0" footer="0"/>
  <pageSetup paperSize="9" scale="90"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7"/>
  <sheetViews>
    <sheetView topLeftCell="A13" workbookViewId="0">
      <selection activeCell="AA13" sqref="AA13"/>
    </sheetView>
  </sheetViews>
  <sheetFormatPr defaultRowHeight="16.5" x14ac:dyDescent="0.3"/>
  <cols>
    <col min="1" max="1" width="5.140625" style="226" customWidth="1"/>
    <col min="2" max="2" width="36.140625" style="226" customWidth="1"/>
    <col min="3" max="3" width="6.5703125" style="226" customWidth="1"/>
    <col min="4" max="4" width="9.28515625" style="226" customWidth="1"/>
    <col min="5" max="5" width="16.140625" style="226" customWidth="1"/>
    <col min="6" max="6" width="18.28515625" style="399" customWidth="1"/>
    <col min="7" max="7" width="17.7109375" style="226" customWidth="1"/>
    <col min="8" max="8" width="6.5703125" style="226" hidden="1" customWidth="1"/>
    <col min="9" max="9" width="16.140625" style="226" hidden="1" customWidth="1"/>
    <col min="10" max="10" width="6.7109375" style="226" hidden="1" customWidth="1"/>
    <col min="11" max="11" width="16.5703125" style="226" hidden="1" customWidth="1"/>
    <col min="12" max="12" width="6.85546875" style="226" hidden="1" customWidth="1"/>
    <col min="13" max="13" width="14.28515625" style="226" hidden="1" customWidth="1"/>
    <col min="14" max="14" width="6.7109375" style="226" hidden="1" customWidth="1"/>
    <col min="15" max="15" width="16.85546875" style="226" hidden="1" customWidth="1"/>
    <col min="16" max="16" width="6.42578125" style="226" hidden="1" customWidth="1"/>
    <col min="17" max="17" width="18.7109375" style="226" hidden="1" customWidth="1"/>
    <col min="18" max="18" width="5.5703125" style="226" hidden="1" customWidth="1"/>
    <col min="19" max="19" width="14.7109375" style="226" hidden="1" customWidth="1"/>
    <col min="20" max="20" width="6.42578125" style="226" hidden="1" customWidth="1"/>
    <col min="21" max="21" width="14.7109375" style="226" hidden="1" customWidth="1"/>
    <col min="22" max="22" width="5.5703125" style="226" hidden="1" customWidth="1"/>
    <col min="23" max="23" width="14.7109375" style="226" hidden="1" customWidth="1"/>
    <col min="24" max="16384" width="9.140625" style="226"/>
  </cols>
  <sheetData>
    <row r="1" spans="1:23" x14ac:dyDescent="0.3">
      <c r="D1" s="423"/>
      <c r="E1" s="423"/>
      <c r="F1" s="485" t="s">
        <v>78</v>
      </c>
      <c r="G1" s="485"/>
    </row>
    <row r="2" spans="1:23" x14ac:dyDescent="0.3">
      <c r="D2" s="465" t="s">
        <v>1</v>
      </c>
      <c r="E2" s="465"/>
      <c r="F2" s="465"/>
      <c r="G2" s="465"/>
    </row>
    <row r="3" spans="1:23" x14ac:dyDescent="0.3">
      <c r="D3" s="465" t="s">
        <v>2</v>
      </c>
      <c r="E3" s="465"/>
      <c r="F3" s="465"/>
      <c r="G3" s="465"/>
    </row>
    <row r="5" spans="1:23" x14ac:dyDescent="0.3">
      <c r="A5" s="489" t="s">
        <v>3</v>
      </c>
      <c r="B5" s="489"/>
      <c r="C5" s="489"/>
      <c r="D5" s="489"/>
      <c r="E5" s="489"/>
      <c r="F5" s="489"/>
      <c r="G5" s="489"/>
    </row>
    <row r="6" spans="1:23" ht="161.25" customHeight="1" x14ac:dyDescent="0.3">
      <c r="A6" s="490" t="s">
        <v>1397</v>
      </c>
      <c r="B6" s="490"/>
      <c r="C6" s="490"/>
      <c r="D6" s="490"/>
      <c r="E6" s="490"/>
      <c r="F6" s="490"/>
      <c r="G6" s="490"/>
    </row>
    <row r="7" spans="1:23" x14ac:dyDescent="0.3">
      <c r="D7" s="268"/>
      <c r="E7" s="268"/>
      <c r="F7" s="369"/>
    </row>
    <row r="8" spans="1:23" ht="49.5" customHeight="1" x14ac:dyDescent="0.3">
      <c r="A8" s="424" t="s">
        <v>4</v>
      </c>
      <c r="B8" s="481" t="s">
        <v>5</v>
      </c>
      <c r="C8" s="481" t="s">
        <v>6</v>
      </c>
      <c r="D8" s="483" t="s">
        <v>7</v>
      </c>
      <c r="E8" s="425" t="s">
        <v>1228</v>
      </c>
      <c r="F8" s="370" t="s">
        <v>9</v>
      </c>
      <c r="G8" s="425" t="s">
        <v>10</v>
      </c>
      <c r="H8" s="469" t="s">
        <v>1229</v>
      </c>
      <c r="I8" s="471"/>
      <c r="J8" s="469" t="s">
        <v>1230</v>
      </c>
      <c r="K8" s="471"/>
      <c r="L8" s="469" t="s">
        <v>1231</v>
      </c>
      <c r="M8" s="471"/>
      <c r="N8" s="475" t="s">
        <v>1232</v>
      </c>
      <c r="O8" s="477"/>
      <c r="P8" s="469" t="s">
        <v>1233</v>
      </c>
      <c r="Q8" s="471"/>
      <c r="R8" s="469" t="s">
        <v>1234</v>
      </c>
      <c r="S8" s="471"/>
      <c r="T8" s="469" t="s">
        <v>1235</v>
      </c>
      <c r="U8" s="471"/>
      <c r="V8" s="469" t="s">
        <v>1236</v>
      </c>
      <c r="W8" s="471"/>
    </row>
    <row r="9" spans="1:23" ht="27.75" customHeight="1" x14ac:dyDescent="0.3">
      <c r="A9" s="426" t="s">
        <v>11</v>
      </c>
      <c r="B9" s="482"/>
      <c r="C9" s="482"/>
      <c r="D9" s="484"/>
      <c r="E9" s="370" t="s">
        <v>12</v>
      </c>
      <c r="F9" s="370" t="s">
        <v>12</v>
      </c>
      <c r="G9" s="84" t="s">
        <v>12</v>
      </c>
      <c r="H9" s="371" t="s">
        <v>1237</v>
      </c>
      <c r="I9" s="371" t="s">
        <v>1238</v>
      </c>
      <c r="J9" s="371" t="s">
        <v>1237</v>
      </c>
      <c r="K9" s="371" t="s">
        <v>1238</v>
      </c>
      <c r="L9" s="371" t="s">
        <v>1237</v>
      </c>
      <c r="M9" s="371" t="s">
        <v>1238</v>
      </c>
      <c r="N9" s="371" t="s">
        <v>1237</v>
      </c>
      <c r="O9" s="371" t="s">
        <v>1238</v>
      </c>
      <c r="P9" s="371" t="s">
        <v>1237</v>
      </c>
      <c r="Q9" s="371" t="s">
        <v>1238</v>
      </c>
      <c r="R9" s="371" t="s">
        <v>1237</v>
      </c>
      <c r="S9" s="371" t="s">
        <v>1238</v>
      </c>
      <c r="T9" s="371" t="s">
        <v>1237</v>
      </c>
      <c r="U9" s="371" t="s">
        <v>1238</v>
      </c>
      <c r="V9" s="371" t="s">
        <v>1237</v>
      </c>
      <c r="W9" s="371" t="s">
        <v>1238</v>
      </c>
    </row>
    <row r="10" spans="1:23" x14ac:dyDescent="0.3">
      <c r="A10" s="84">
        <v>1</v>
      </c>
      <c r="B10" s="84">
        <v>2</v>
      </c>
      <c r="C10" s="84">
        <v>3</v>
      </c>
      <c r="D10" s="84">
        <v>4</v>
      </c>
      <c r="E10" s="84">
        <v>5</v>
      </c>
      <c r="F10" s="372">
        <v>6</v>
      </c>
      <c r="G10" s="84">
        <v>7</v>
      </c>
      <c r="H10" s="206"/>
      <c r="I10" s="206"/>
      <c r="J10" s="206"/>
      <c r="K10" s="206"/>
      <c r="L10" s="206"/>
      <c r="M10" s="206"/>
      <c r="N10" s="206"/>
      <c r="O10" s="206"/>
      <c r="P10" s="206"/>
      <c r="Q10" s="206"/>
      <c r="R10" s="206"/>
      <c r="S10" s="206"/>
      <c r="T10" s="206"/>
      <c r="U10" s="206"/>
      <c r="V10" s="206"/>
      <c r="W10" s="206"/>
    </row>
    <row r="11" spans="1:23" s="176" customFormat="1" ht="52.5" customHeight="1" x14ac:dyDescent="0.25">
      <c r="A11" s="469" t="s">
        <v>1226</v>
      </c>
      <c r="B11" s="470"/>
      <c r="C11" s="470"/>
      <c r="D11" s="470"/>
      <c r="E11" s="470"/>
      <c r="F11" s="470"/>
      <c r="G11" s="471"/>
      <c r="H11" s="163"/>
      <c r="I11" s="163"/>
      <c r="J11" s="163"/>
      <c r="K11" s="163"/>
      <c r="L11" s="163"/>
      <c r="M11" s="163"/>
      <c r="N11" s="163"/>
      <c r="O11" s="163"/>
      <c r="P11" s="163"/>
      <c r="Q11" s="163"/>
      <c r="R11" s="163"/>
      <c r="S11" s="163"/>
      <c r="T11" s="163"/>
      <c r="U11" s="163"/>
      <c r="V11" s="163"/>
      <c r="W11" s="163"/>
    </row>
    <row r="12" spans="1:23" s="176" customFormat="1" ht="27" customHeight="1" x14ac:dyDescent="0.25">
      <c r="A12" s="163"/>
      <c r="B12" s="475" t="s">
        <v>131</v>
      </c>
      <c r="C12" s="476"/>
      <c r="D12" s="476"/>
      <c r="E12" s="476"/>
      <c r="F12" s="476"/>
      <c r="G12" s="477"/>
      <c r="H12" s="163"/>
      <c r="I12" s="163"/>
      <c r="J12" s="163"/>
      <c r="K12" s="163"/>
      <c r="L12" s="163"/>
      <c r="M12" s="163"/>
      <c r="N12" s="163"/>
      <c r="O12" s="163"/>
      <c r="P12" s="163"/>
      <c r="Q12" s="163"/>
      <c r="R12" s="163"/>
      <c r="S12" s="163"/>
      <c r="T12" s="163"/>
      <c r="U12" s="163"/>
      <c r="V12" s="163"/>
      <c r="W12" s="163"/>
    </row>
    <row r="13" spans="1:23" s="176" customFormat="1" ht="26.25" customHeight="1" x14ac:dyDescent="0.25">
      <c r="A13" s="406">
        <v>1</v>
      </c>
      <c r="B13" s="217" t="s">
        <v>866</v>
      </c>
      <c r="C13" s="116" t="s">
        <v>14</v>
      </c>
      <c r="D13" s="116">
        <v>34</v>
      </c>
      <c r="E13" s="117">
        <v>40676</v>
      </c>
      <c r="F13" s="117">
        <f t="shared" ref="F13:F15" si="0">D13*E13</f>
        <v>1382984</v>
      </c>
      <c r="G13" s="117">
        <v>0</v>
      </c>
      <c r="H13" s="163"/>
      <c r="I13" s="117">
        <f t="shared" ref="I13:I15" si="1">H13*E13</f>
        <v>0</v>
      </c>
      <c r="J13" s="163"/>
      <c r="K13" s="117">
        <f t="shared" ref="K13:K15" si="2">J13*E13</f>
        <v>0</v>
      </c>
      <c r="L13" s="163"/>
      <c r="M13" s="117"/>
      <c r="N13" s="163"/>
      <c r="O13" s="163"/>
      <c r="P13" s="163"/>
      <c r="Q13" s="163">
        <f t="shared" ref="Q13:Q15" si="3">P13*E13</f>
        <v>0</v>
      </c>
      <c r="R13" s="163"/>
      <c r="S13" s="163">
        <f t="shared" ref="S13:S15" si="4">R13*E13</f>
        <v>0</v>
      </c>
      <c r="T13" s="163"/>
      <c r="U13" s="163"/>
      <c r="V13" s="163"/>
      <c r="W13" s="163"/>
    </row>
    <row r="14" spans="1:23" s="176" customFormat="1" ht="26.25" customHeight="1" x14ac:dyDescent="0.25">
      <c r="A14" s="406">
        <v>2</v>
      </c>
      <c r="B14" s="217" t="s">
        <v>449</v>
      </c>
      <c r="C14" s="116" t="s">
        <v>14</v>
      </c>
      <c r="D14" s="116">
        <v>27</v>
      </c>
      <c r="E14" s="117">
        <v>26000</v>
      </c>
      <c r="F14" s="117">
        <f t="shared" si="0"/>
        <v>702000</v>
      </c>
      <c r="G14" s="117">
        <v>0</v>
      </c>
      <c r="H14" s="163"/>
      <c r="I14" s="117">
        <f t="shared" si="1"/>
        <v>0</v>
      </c>
      <c r="J14" s="163"/>
      <c r="K14" s="117">
        <f t="shared" si="2"/>
        <v>0</v>
      </c>
      <c r="L14" s="163"/>
      <c r="M14" s="117"/>
      <c r="N14" s="163"/>
      <c r="O14" s="163"/>
      <c r="P14" s="163"/>
      <c r="Q14" s="163">
        <f t="shared" si="3"/>
        <v>0</v>
      </c>
      <c r="R14" s="163"/>
      <c r="S14" s="163">
        <f t="shared" si="4"/>
        <v>0</v>
      </c>
      <c r="T14" s="163"/>
      <c r="U14" s="163"/>
      <c r="V14" s="163"/>
      <c r="W14" s="163"/>
    </row>
    <row r="15" spans="1:23" s="176" customFormat="1" ht="26.25" customHeight="1" x14ac:dyDescent="0.25">
      <c r="A15" s="406">
        <v>3</v>
      </c>
      <c r="B15" s="217" t="s">
        <v>1251</v>
      </c>
      <c r="C15" s="116" t="s">
        <v>14</v>
      </c>
      <c r="D15" s="116">
        <v>140</v>
      </c>
      <c r="E15" s="117">
        <v>29202</v>
      </c>
      <c r="F15" s="117">
        <f t="shared" si="0"/>
        <v>4088280</v>
      </c>
      <c r="G15" s="117">
        <v>3270624</v>
      </c>
      <c r="H15" s="163"/>
      <c r="I15" s="117">
        <f t="shared" si="1"/>
        <v>0</v>
      </c>
      <c r="J15" s="163"/>
      <c r="K15" s="117">
        <f t="shared" si="2"/>
        <v>0</v>
      </c>
      <c r="L15" s="163"/>
      <c r="M15" s="117"/>
      <c r="N15" s="163"/>
      <c r="O15" s="163"/>
      <c r="P15" s="163"/>
      <c r="Q15" s="163">
        <f t="shared" si="3"/>
        <v>0</v>
      </c>
      <c r="R15" s="163"/>
      <c r="S15" s="163">
        <f t="shared" si="4"/>
        <v>0</v>
      </c>
      <c r="T15" s="163"/>
      <c r="U15" s="163"/>
      <c r="V15" s="163"/>
      <c r="W15" s="163"/>
    </row>
    <row r="16" spans="1:23" s="374" customFormat="1" ht="26.25" customHeight="1" x14ac:dyDescent="0.25">
      <c r="A16" s="93"/>
      <c r="B16" s="94" t="s">
        <v>39</v>
      </c>
      <c r="C16" s="93"/>
      <c r="D16" s="299">
        <f>SUM(D13:D15)</f>
        <v>201</v>
      </c>
      <c r="E16" s="110"/>
      <c r="F16" s="284">
        <f t="shared" ref="F16:M16" si="5">SUM(F13:F15)</f>
        <v>6173264</v>
      </c>
      <c r="G16" s="284">
        <f t="shared" si="5"/>
        <v>3270624</v>
      </c>
      <c r="H16" s="168">
        <f t="shared" si="5"/>
        <v>0</v>
      </c>
      <c r="I16" s="378">
        <f t="shared" si="5"/>
        <v>0</v>
      </c>
      <c r="J16" s="168">
        <f t="shared" si="5"/>
        <v>0</v>
      </c>
      <c r="K16" s="378">
        <f t="shared" si="5"/>
        <v>0</v>
      </c>
      <c r="L16" s="390">
        <f t="shared" si="5"/>
        <v>0</v>
      </c>
      <c r="M16" s="378">
        <f t="shared" si="5"/>
        <v>0</v>
      </c>
      <c r="N16" s="168"/>
      <c r="O16" s="168"/>
      <c r="P16" s="168">
        <f>SUM(P12:P15)</f>
        <v>0</v>
      </c>
      <c r="Q16" s="168">
        <f>SUM(Q12:Q15)</f>
        <v>0</v>
      </c>
      <c r="R16" s="168">
        <f>SUM(R12:R15)</f>
        <v>0</v>
      </c>
      <c r="S16" s="168">
        <f>SUM(S12:S15)</f>
        <v>0</v>
      </c>
      <c r="T16" s="168">
        <f>SUM(T13:T15)</f>
        <v>0</v>
      </c>
      <c r="U16" s="359">
        <f>SUM(U13:U15)</f>
        <v>0</v>
      </c>
      <c r="V16" s="168">
        <f>SUM(V13:V15)</f>
        <v>0</v>
      </c>
      <c r="W16" s="168">
        <f>SUM(W13:W15)</f>
        <v>0</v>
      </c>
    </row>
    <row r="17" spans="6:6" x14ac:dyDescent="0.3">
      <c r="F17" s="226"/>
    </row>
    <row r="18" spans="6:6" x14ac:dyDescent="0.3">
      <c r="F18" s="226"/>
    </row>
    <row r="19" spans="6:6" x14ac:dyDescent="0.3">
      <c r="F19" s="226"/>
    </row>
    <row r="20" spans="6:6" x14ac:dyDescent="0.3">
      <c r="F20" s="226"/>
    </row>
    <row r="21" spans="6:6" x14ac:dyDescent="0.3">
      <c r="F21" s="226"/>
    </row>
    <row r="22" spans="6:6" x14ac:dyDescent="0.3">
      <c r="F22" s="226"/>
    </row>
    <row r="23" spans="6:6" x14ac:dyDescent="0.3">
      <c r="F23" s="226"/>
    </row>
    <row r="24" spans="6:6" x14ac:dyDescent="0.3">
      <c r="F24" s="226"/>
    </row>
    <row r="25" spans="6:6" x14ac:dyDescent="0.3">
      <c r="F25" s="226"/>
    </row>
    <row r="26" spans="6:6" x14ac:dyDescent="0.3">
      <c r="F26" s="226"/>
    </row>
    <row r="27" spans="6:6" x14ac:dyDescent="0.3">
      <c r="F27" s="226"/>
    </row>
    <row r="28" spans="6:6" x14ac:dyDescent="0.3">
      <c r="F28" s="226"/>
    </row>
    <row r="29" spans="6:6" x14ac:dyDescent="0.3">
      <c r="F29" s="226"/>
    </row>
    <row r="30" spans="6:6" x14ac:dyDescent="0.3">
      <c r="F30" s="226"/>
    </row>
    <row r="31" spans="6:6" x14ac:dyDescent="0.3">
      <c r="F31" s="226"/>
    </row>
    <row r="32" spans="6:6" x14ac:dyDescent="0.3">
      <c r="F32" s="226"/>
    </row>
    <row r="33" spans="6:6" x14ac:dyDescent="0.3">
      <c r="F33" s="226"/>
    </row>
    <row r="34" spans="6:6" x14ac:dyDescent="0.3">
      <c r="F34" s="226"/>
    </row>
    <row r="35" spans="6:6" x14ac:dyDescent="0.3">
      <c r="F35" s="226"/>
    </row>
    <row r="36" spans="6:6" x14ac:dyDescent="0.3">
      <c r="F36" s="226"/>
    </row>
    <row r="37" spans="6:6" x14ac:dyDescent="0.3">
      <c r="F37" s="226"/>
    </row>
    <row r="38" spans="6:6" x14ac:dyDescent="0.3">
      <c r="F38" s="226"/>
    </row>
    <row r="39" spans="6:6" x14ac:dyDescent="0.3">
      <c r="F39" s="226"/>
    </row>
    <row r="40" spans="6:6" x14ac:dyDescent="0.3">
      <c r="F40" s="226"/>
    </row>
    <row r="41" spans="6:6" x14ac:dyDescent="0.3">
      <c r="F41" s="226"/>
    </row>
    <row r="42" spans="6:6" x14ac:dyDescent="0.3">
      <c r="F42" s="226"/>
    </row>
    <row r="43" spans="6:6" x14ac:dyDescent="0.3">
      <c r="F43" s="226"/>
    </row>
    <row r="44" spans="6:6" x14ac:dyDescent="0.3">
      <c r="F44" s="226"/>
    </row>
    <row r="45" spans="6:6" x14ac:dyDescent="0.3">
      <c r="F45" s="226"/>
    </row>
    <row r="46" spans="6:6" x14ac:dyDescent="0.3">
      <c r="F46" s="226"/>
    </row>
    <row r="47" spans="6:6" x14ac:dyDescent="0.3">
      <c r="F47" s="226"/>
    </row>
    <row r="48" spans="6:6" x14ac:dyDescent="0.3">
      <c r="F48" s="226"/>
    </row>
    <row r="49" spans="6:6" x14ac:dyDescent="0.3">
      <c r="F49" s="226"/>
    </row>
    <row r="50" spans="6:6" x14ac:dyDescent="0.3">
      <c r="F50" s="226"/>
    </row>
    <row r="51" spans="6:6" x14ac:dyDescent="0.3">
      <c r="F51" s="226"/>
    </row>
    <row r="52" spans="6:6" x14ac:dyDescent="0.3">
      <c r="F52" s="226"/>
    </row>
    <row r="53" spans="6:6" x14ac:dyDescent="0.3">
      <c r="F53" s="226"/>
    </row>
    <row r="54" spans="6:6" x14ac:dyDescent="0.3">
      <c r="F54" s="226"/>
    </row>
    <row r="55" spans="6:6" x14ac:dyDescent="0.3">
      <c r="F55" s="226"/>
    </row>
    <row r="56" spans="6:6" x14ac:dyDescent="0.3">
      <c r="F56" s="226"/>
    </row>
    <row r="57" spans="6:6" x14ac:dyDescent="0.3">
      <c r="F57" s="226"/>
    </row>
    <row r="58" spans="6:6" x14ac:dyDescent="0.3">
      <c r="F58" s="226"/>
    </row>
    <row r="59" spans="6:6" x14ac:dyDescent="0.3">
      <c r="F59" s="226"/>
    </row>
    <row r="60" spans="6:6" x14ac:dyDescent="0.3">
      <c r="F60" s="226"/>
    </row>
    <row r="61" spans="6:6" x14ac:dyDescent="0.3">
      <c r="F61" s="226"/>
    </row>
    <row r="62" spans="6:6" x14ac:dyDescent="0.3">
      <c r="F62" s="226"/>
    </row>
    <row r="63" spans="6:6" x14ac:dyDescent="0.3">
      <c r="F63" s="226"/>
    </row>
    <row r="64" spans="6:6" x14ac:dyDescent="0.3">
      <c r="F64" s="226"/>
    </row>
    <row r="65" spans="6:6" x14ac:dyDescent="0.3">
      <c r="F65" s="226"/>
    </row>
    <row r="66" spans="6:6" x14ac:dyDescent="0.3">
      <c r="F66" s="226"/>
    </row>
    <row r="67" spans="6:6" x14ac:dyDescent="0.3">
      <c r="F67" s="226"/>
    </row>
    <row r="68" spans="6:6" x14ac:dyDescent="0.3">
      <c r="F68" s="226"/>
    </row>
    <row r="69" spans="6:6" x14ac:dyDescent="0.3">
      <c r="F69" s="226"/>
    </row>
    <row r="70" spans="6:6" x14ac:dyDescent="0.3">
      <c r="F70" s="226"/>
    </row>
    <row r="71" spans="6:6" x14ac:dyDescent="0.3">
      <c r="F71" s="226"/>
    </row>
    <row r="72" spans="6:6" x14ac:dyDescent="0.3">
      <c r="F72" s="226"/>
    </row>
    <row r="73" spans="6:6" x14ac:dyDescent="0.3">
      <c r="F73" s="226"/>
    </row>
    <row r="74" spans="6:6" x14ac:dyDescent="0.3">
      <c r="F74" s="226"/>
    </row>
    <row r="75" spans="6:6" x14ac:dyDescent="0.3">
      <c r="F75" s="226"/>
    </row>
    <row r="76" spans="6:6" x14ac:dyDescent="0.3">
      <c r="F76" s="226"/>
    </row>
    <row r="77" spans="6:6" x14ac:dyDescent="0.3">
      <c r="F77" s="226"/>
    </row>
    <row r="78" spans="6:6" x14ac:dyDescent="0.3">
      <c r="F78" s="226"/>
    </row>
    <row r="79" spans="6:6" x14ac:dyDescent="0.3">
      <c r="F79" s="226"/>
    </row>
    <row r="80" spans="6:6" x14ac:dyDescent="0.3">
      <c r="F80" s="226"/>
    </row>
    <row r="81" spans="6:6" x14ac:dyDescent="0.3">
      <c r="F81" s="226"/>
    </row>
    <row r="82" spans="6:6" x14ac:dyDescent="0.3">
      <c r="F82" s="226"/>
    </row>
    <row r="83" spans="6:6" x14ac:dyDescent="0.3">
      <c r="F83" s="226"/>
    </row>
    <row r="84" spans="6:6" x14ac:dyDescent="0.3">
      <c r="F84" s="226"/>
    </row>
    <row r="85" spans="6:6" x14ac:dyDescent="0.3">
      <c r="F85" s="226"/>
    </row>
    <row r="86" spans="6:6" x14ac:dyDescent="0.3">
      <c r="F86" s="226"/>
    </row>
    <row r="87" spans="6:6" x14ac:dyDescent="0.3">
      <c r="F87" s="226"/>
    </row>
    <row r="88" spans="6:6" x14ac:dyDescent="0.3">
      <c r="F88" s="226"/>
    </row>
    <row r="89" spans="6:6" x14ac:dyDescent="0.3">
      <c r="F89" s="226"/>
    </row>
    <row r="90" spans="6:6" x14ac:dyDescent="0.3">
      <c r="F90" s="226"/>
    </row>
    <row r="91" spans="6:6" x14ac:dyDescent="0.3">
      <c r="F91" s="226"/>
    </row>
    <row r="92" spans="6:6" x14ac:dyDescent="0.3">
      <c r="F92" s="226"/>
    </row>
    <row r="93" spans="6:6" x14ac:dyDescent="0.3">
      <c r="F93" s="226"/>
    </row>
    <row r="94" spans="6:6" x14ac:dyDescent="0.3">
      <c r="F94" s="226"/>
    </row>
    <row r="97" spans="6:6" x14ac:dyDescent="0.3">
      <c r="F97" s="226"/>
    </row>
  </sheetData>
  <mergeCells count="18">
    <mergeCell ref="B12:G12"/>
    <mergeCell ref="T8:U8"/>
    <mergeCell ref="V8:W8"/>
    <mergeCell ref="A11:G11"/>
    <mergeCell ref="H8:I8"/>
    <mergeCell ref="J8:K8"/>
    <mergeCell ref="L8:M8"/>
    <mergeCell ref="N8:O8"/>
    <mergeCell ref="P8:Q8"/>
    <mergeCell ref="R8:S8"/>
    <mergeCell ref="B8:B9"/>
    <mergeCell ref="C8:C9"/>
    <mergeCell ref="D8:D9"/>
    <mergeCell ref="F1:G1"/>
    <mergeCell ref="D2:G2"/>
    <mergeCell ref="D3:G3"/>
    <mergeCell ref="A5:G5"/>
    <mergeCell ref="A6:G6"/>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433"/>
  <sheetViews>
    <sheetView topLeftCell="A220" workbookViewId="0">
      <selection activeCell="Y6" sqref="Y6"/>
    </sheetView>
  </sheetViews>
  <sheetFormatPr defaultRowHeight="16.5" x14ac:dyDescent="0.3"/>
  <cols>
    <col min="1" max="1" width="5.140625" style="226" customWidth="1"/>
    <col min="2" max="2" width="36.140625" style="226" customWidth="1"/>
    <col min="3" max="3" width="6.5703125" style="226" customWidth="1"/>
    <col min="4" max="4" width="9.28515625" style="226" customWidth="1"/>
    <col min="5" max="5" width="16.140625" style="226" customWidth="1"/>
    <col min="6" max="6" width="18.28515625" style="399" customWidth="1"/>
    <col min="7" max="7" width="17.7109375" style="226" customWidth="1"/>
    <col min="8" max="8" width="6.5703125" style="226" hidden="1" customWidth="1"/>
    <col min="9" max="9" width="16.140625" style="226" hidden="1" customWidth="1"/>
    <col min="10" max="10" width="6.7109375" style="226" hidden="1" customWidth="1"/>
    <col min="11" max="11" width="16.5703125" style="226" hidden="1" customWidth="1"/>
    <col min="12" max="12" width="6.85546875" style="226" hidden="1" customWidth="1"/>
    <col min="13" max="13" width="14.28515625" style="226" hidden="1" customWidth="1"/>
    <col min="14" max="14" width="6.7109375" style="226" hidden="1" customWidth="1"/>
    <col min="15" max="15" width="16.85546875" style="226" hidden="1" customWidth="1"/>
    <col min="16" max="16" width="6.42578125" style="226" hidden="1" customWidth="1"/>
    <col min="17" max="17" width="18.7109375" style="226" hidden="1" customWidth="1"/>
    <col min="18" max="18" width="5.5703125" style="226" hidden="1" customWidth="1"/>
    <col min="19" max="19" width="14.7109375" style="226" hidden="1" customWidth="1"/>
    <col min="20" max="20" width="6.42578125" style="226" hidden="1" customWidth="1"/>
    <col min="21" max="21" width="14.7109375" style="226" hidden="1" customWidth="1"/>
    <col min="22" max="22" width="5.5703125" style="226" hidden="1" customWidth="1"/>
    <col min="23" max="23" width="14.7109375" style="226" hidden="1" customWidth="1"/>
    <col min="24" max="16384" width="9.140625" style="226"/>
  </cols>
  <sheetData>
    <row r="1" spans="1:23" x14ac:dyDescent="0.3">
      <c r="D1" s="341"/>
      <c r="E1" s="341"/>
      <c r="F1" s="485" t="s">
        <v>79</v>
      </c>
      <c r="G1" s="485"/>
    </row>
    <row r="2" spans="1:23" x14ac:dyDescent="0.3">
      <c r="D2" s="465" t="s">
        <v>1</v>
      </c>
      <c r="E2" s="465"/>
      <c r="F2" s="465"/>
      <c r="G2" s="465"/>
    </row>
    <row r="3" spans="1:23" x14ac:dyDescent="0.3">
      <c r="D3" s="465" t="s">
        <v>2</v>
      </c>
      <c r="E3" s="465"/>
      <c r="F3" s="465"/>
      <c r="G3" s="465"/>
    </row>
    <row r="5" spans="1:23" x14ac:dyDescent="0.3">
      <c r="A5" s="489" t="s">
        <v>3</v>
      </c>
      <c r="B5" s="489"/>
      <c r="C5" s="489"/>
      <c r="D5" s="489"/>
      <c r="E5" s="489"/>
      <c r="F5" s="489"/>
      <c r="G5" s="489"/>
    </row>
    <row r="6" spans="1:23" ht="225" customHeight="1" x14ac:dyDescent="0.3">
      <c r="A6" s="490" t="s">
        <v>1253</v>
      </c>
      <c r="B6" s="490"/>
      <c r="C6" s="490"/>
      <c r="D6" s="490"/>
      <c r="E6" s="490"/>
      <c r="F6" s="490"/>
      <c r="G6" s="490"/>
    </row>
    <row r="7" spans="1:23" x14ac:dyDescent="0.3">
      <c r="D7" s="268"/>
      <c r="E7" s="268"/>
      <c r="F7" s="369"/>
    </row>
    <row r="8" spans="1:23" ht="49.5" customHeight="1" x14ac:dyDescent="0.3">
      <c r="A8" s="342" t="s">
        <v>4</v>
      </c>
      <c r="B8" s="481" t="s">
        <v>5</v>
      </c>
      <c r="C8" s="481" t="s">
        <v>6</v>
      </c>
      <c r="D8" s="483" t="s">
        <v>7</v>
      </c>
      <c r="E8" s="344" t="s">
        <v>1228</v>
      </c>
      <c r="F8" s="370" t="s">
        <v>9</v>
      </c>
      <c r="G8" s="344" t="s">
        <v>10</v>
      </c>
      <c r="H8" s="469" t="s">
        <v>1229</v>
      </c>
      <c r="I8" s="471"/>
      <c r="J8" s="469" t="s">
        <v>1230</v>
      </c>
      <c r="K8" s="471"/>
      <c r="L8" s="469" t="s">
        <v>1231</v>
      </c>
      <c r="M8" s="471"/>
      <c r="N8" s="475" t="s">
        <v>1232</v>
      </c>
      <c r="O8" s="477"/>
      <c r="P8" s="469" t="s">
        <v>1233</v>
      </c>
      <c r="Q8" s="471"/>
      <c r="R8" s="469" t="s">
        <v>1234</v>
      </c>
      <c r="S8" s="471"/>
      <c r="T8" s="469" t="s">
        <v>1235</v>
      </c>
      <c r="U8" s="471"/>
      <c r="V8" s="469" t="s">
        <v>1236</v>
      </c>
      <c r="W8" s="471"/>
    </row>
    <row r="9" spans="1:23" ht="27.75" customHeight="1" x14ac:dyDescent="0.3">
      <c r="A9" s="343" t="s">
        <v>11</v>
      </c>
      <c r="B9" s="482"/>
      <c r="C9" s="482"/>
      <c r="D9" s="484"/>
      <c r="E9" s="370" t="s">
        <v>12</v>
      </c>
      <c r="F9" s="370" t="s">
        <v>12</v>
      </c>
      <c r="G9" s="84" t="s">
        <v>12</v>
      </c>
      <c r="H9" s="371" t="s">
        <v>1237</v>
      </c>
      <c r="I9" s="371" t="s">
        <v>1238</v>
      </c>
      <c r="J9" s="371" t="s">
        <v>1237</v>
      </c>
      <c r="K9" s="371" t="s">
        <v>1238</v>
      </c>
      <c r="L9" s="371" t="s">
        <v>1237</v>
      </c>
      <c r="M9" s="371" t="s">
        <v>1238</v>
      </c>
      <c r="N9" s="371" t="s">
        <v>1237</v>
      </c>
      <c r="O9" s="371" t="s">
        <v>1238</v>
      </c>
      <c r="P9" s="371" t="s">
        <v>1237</v>
      </c>
      <c r="Q9" s="371" t="s">
        <v>1238</v>
      </c>
      <c r="R9" s="371" t="s">
        <v>1237</v>
      </c>
      <c r="S9" s="371" t="s">
        <v>1238</v>
      </c>
      <c r="T9" s="371" t="s">
        <v>1237</v>
      </c>
      <c r="U9" s="371" t="s">
        <v>1238</v>
      </c>
      <c r="V9" s="371" t="s">
        <v>1237</v>
      </c>
      <c r="W9" s="371" t="s">
        <v>1238</v>
      </c>
    </row>
    <row r="10" spans="1:23" x14ac:dyDescent="0.3">
      <c r="A10" s="84">
        <v>1</v>
      </c>
      <c r="B10" s="84">
        <v>2</v>
      </c>
      <c r="C10" s="84">
        <v>3</v>
      </c>
      <c r="D10" s="84">
        <v>4</v>
      </c>
      <c r="E10" s="84">
        <v>5</v>
      </c>
      <c r="F10" s="372">
        <v>6</v>
      </c>
      <c r="G10" s="84">
        <v>7</v>
      </c>
      <c r="H10" s="206"/>
      <c r="I10" s="206"/>
      <c r="J10" s="206"/>
      <c r="K10" s="206"/>
      <c r="L10" s="206"/>
      <c r="M10" s="206"/>
      <c r="N10" s="206"/>
      <c r="O10" s="206"/>
      <c r="P10" s="206"/>
      <c r="Q10" s="206"/>
      <c r="R10" s="206"/>
      <c r="S10" s="206"/>
      <c r="T10" s="206"/>
      <c r="U10" s="206"/>
      <c r="V10" s="206"/>
      <c r="W10" s="206"/>
    </row>
    <row r="11" spans="1:23" s="176" customFormat="1" ht="41.25" customHeight="1" x14ac:dyDescent="0.25">
      <c r="A11" s="469" t="s">
        <v>1220</v>
      </c>
      <c r="B11" s="470"/>
      <c r="C11" s="470"/>
      <c r="D11" s="470"/>
      <c r="E11" s="470"/>
      <c r="F11" s="470"/>
      <c r="G11" s="471"/>
      <c r="H11" s="163"/>
      <c r="I11" s="163"/>
      <c r="J11" s="163"/>
      <c r="K11" s="163"/>
      <c r="L11" s="163"/>
      <c r="M11" s="163"/>
      <c r="N11" s="163"/>
      <c r="O11" s="163"/>
      <c r="P11" s="163"/>
      <c r="Q11" s="163"/>
      <c r="R11" s="163"/>
      <c r="S11" s="163"/>
      <c r="T11" s="163"/>
      <c r="U11" s="163"/>
      <c r="V11" s="163"/>
      <c r="W11" s="163"/>
    </row>
    <row r="12" spans="1:23" s="176" customFormat="1" x14ac:dyDescent="0.25">
      <c r="A12" s="346"/>
      <c r="B12" s="470" t="s">
        <v>131</v>
      </c>
      <c r="C12" s="470"/>
      <c r="D12" s="470"/>
      <c r="E12" s="470"/>
      <c r="F12" s="470"/>
      <c r="G12" s="471"/>
      <c r="H12" s="163"/>
      <c r="I12" s="163"/>
      <c r="J12" s="163"/>
      <c r="K12" s="163"/>
      <c r="L12" s="163"/>
      <c r="M12" s="163"/>
      <c r="N12" s="163"/>
      <c r="O12" s="163"/>
      <c r="P12" s="163"/>
      <c r="Q12" s="163"/>
      <c r="R12" s="163"/>
      <c r="S12" s="163"/>
      <c r="T12" s="163"/>
      <c r="U12" s="163"/>
      <c r="V12" s="163"/>
      <c r="W12" s="163"/>
    </row>
    <row r="13" spans="1:23" s="176" customFormat="1" x14ac:dyDescent="0.25">
      <c r="A13" s="345">
        <v>1</v>
      </c>
      <c r="B13" s="350" t="s">
        <v>174</v>
      </c>
      <c r="C13" s="345" t="s">
        <v>14</v>
      </c>
      <c r="D13" s="14">
        <v>6</v>
      </c>
      <c r="E13" s="279">
        <v>29500</v>
      </c>
      <c r="F13" s="279">
        <f t="shared" ref="F13:F36" si="0">D13*E13</f>
        <v>177000</v>
      </c>
      <c r="G13" s="280">
        <v>0</v>
      </c>
      <c r="H13" s="163"/>
      <c r="I13" s="163"/>
      <c r="J13" s="163"/>
      <c r="K13" s="163"/>
      <c r="L13" s="163"/>
      <c r="M13" s="373">
        <f t="shared" ref="M13:M36" si="1">L13*E13</f>
        <v>0</v>
      </c>
      <c r="N13" s="163"/>
      <c r="O13" s="163"/>
      <c r="P13" s="163"/>
      <c r="Q13" s="163"/>
      <c r="R13" s="163"/>
      <c r="S13" s="163"/>
      <c r="T13" s="163"/>
      <c r="U13" s="163"/>
      <c r="V13" s="163"/>
      <c r="W13" s="163"/>
    </row>
    <row r="14" spans="1:23" s="176" customFormat="1" ht="33" x14ac:dyDescent="0.25">
      <c r="A14" s="345">
        <v>2</v>
      </c>
      <c r="B14" s="350" t="s">
        <v>194</v>
      </c>
      <c r="C14" s="345" t="s">
        <v>14</v>
      </c>
      <c r="D14" s="14">
        <v>1</v>
      </c>
      <c r="E14" s="279">
        <v>40000</v>
      </c>
      <c r="F14" s="279">
        <f t="shared" si="0"/>
        <v>40000</v>
      </c>
      <c r="G14" s="96">
        <v>13333.34</v>
      </c>
      <c r="H14" s="163"/>
      <c r="I14" s="163"/>
      <c r="J14" s="163"/>
      <c r="K14" s="163"/>
      <c r="L14" s="163"/>
      <c r="M14" s="373">
        <f t="shared" si="1"/>
        <v>0</v>
      </c>
      <c r="N14" s="163"/>
      <c r="O14" s="163"/>
      <c r="P14" s="163"/>
      <c r="Q14" s="163"/>
      <c r="R14" s="163"/>
      <c r="S14" s="163"/>
      <c r="T14" s="163"/>
      <c r="U14" s="163"/>
      <c r="V14" s="163"/>
      <c r="W14" s="163"/>
    </row>
    <row r="15" spans="1:23" s="176" customFormat="1" x14ac:dyDescent="0.25">
      <c r="A15" s="345">
        <v>3</v>
      </c>
      <c r="B15" s="350" t="s">
        <v>197</v>
      </c>
      <c r="C15" s="345" t="s">
        <v>14</v>
      </c>
      <c r="D15" s="14">
        <v>1</v>
      </c>
      <c r="E15" s="279">
        <v>8000</v>
      </c>
      <c r="F15" s="279">
        <f t="shared" si="0"/>
        <v>8000</v>
      </c>
      <c r="G15" s="96">
        <v>2666.66</v>
      </c>
      <c r="H15" s="163"/>
      <c r="I15" s="163"/>
      <c r="J15" s="163"/>
      <c r="K15" s="163"/>
      <c r="L15" s="163"/>
      <c r="M15" s="373">
        <f t="shared" si="1"/>
        <v>0</v>
      </c>
      <c r="N15" s="163"/>
      <c r="O15" s="163"/>
      <c r="P15" s="163"/>
      <c r="Q15" s="163"/>
      <c r="R15" s="163"/>
      <c r="S15" s="163"/>
      <c r="T15" s="163"/>
      <c r="U15" s="163"/>
      <c r="V15" s="163"/>
      <c r="W15" s="163"/>
    </row>
    <row r="16" spans="1:23" s="176" customFormat="1" x14ac:dyDescent="0.25">
      <c r="A16" s="406">
        <v>4</v>
      </c>
      <c r="B16" s="350" t="s">
        <v>198</v>
      </c>
      <c r="C16" s="345" t="s">
        <v>14</v>
      </c>
      <c r="D16" s="14">
        <v>1</v>
      </c>
      <c r="E16" s="279">
        <v>9500</v>
      </c>
      <c r="F16" s="279">
        <f t="shared" si="0"/>
        <v>9500</v>
      </c>
      <c r="G16" s="96">
        <v>0</v>
      </c>
      <c r="H16" s="163"/>
      <c r="I16" s="163"/>
      <c r="J16" s="163"/>
      <c r="K16" s="163"/>
      <c r="L16" s="163"/>
      <c r="M16" s="373">
        <f t="shared" si="1"/>
        <v>0</v>
      </c>
      <c r="N16" s="163"/>
      <c r="O16" s="163"/>
      <c r="P16" s="163"/>
      <c r="Q16" s="163"/>
      <c r="R16" s="163"/>
      <c r="S16" s="163"/>
      <c r="T16" s="163"/>
      <c r="U16" s="163"/>
      <c r="V16" s="163"/>
      <c r="W16" s="163"/>
    </row>
    <row r="17" spans="1:23" s="176" customFormat="1" x14ac:dyDescent="0.25">
      <c r="A17" s="406">
        <v>5</v>
      </c>
      <c r="B17" s="350" t="s">
        <v>199</v>
      </c>
      <c r="C17" s="345" t="s">
        <v>14</v>
      </c>
      <c r="D17" s="14">
        <v>1</v>
      </c>
      <c r="E17" s="279">
        <v>1</v>
      </c>
      <c r="F17" s="279">
        <f t="shared" si="0"/>
        <v>1</v>
      </c>
      <c r="G17" s="96">
        <v>1</v>
      </c>
      <c r="H17" s="163"/>
      <c r="I17" s="163"/>
      <c r="J17" s="163"/>
      <c r="K17" s="163"/>
      <c r="L17" s="163"/>
      <c r="M17" s="373">
        <f t="shared" si="1"/>
        <v>0</v>
      </c>
      <c r="N17" s="163"/>
      <c r="O17" s="163"/>
      <c r="P17" s="163"/>
      <c r="Q17" s="163"/>
      <c r="R17" s="163"/>
      <c r="S17" s="163"/>
      <c r="T17" s="163"/>
      <c r="U17" s="163"/>
      <c r="V17" s="163"/>
      <c r="W17" s="163"/>
    </row>
    <row r="18" spans="1:23" s="176" customFormat="1" x14ac:dyDescent="0.25">
      <c r="A18" s="406">
        <v>6</v>
      </c>
      <c r="B18" s="350" t="s">
        <v>200</v>
      </c>
      <c r="C18" s="345" t="s">
        <v>14</v>
      </c>
      <c r="D18" s="14">
        <v>5</v>
      </c>
      <c r="E18" s="279">
        <v>16548</v>
      </c>
      <c r="F18" s="279">
        <f t="shared" si="0"/>
        <v>82740</v>
      </c>
      <c r="G18" s="96">
        <v>0</v>
      </c>
      <c r="H18" s="163"/>
      <c r="I18" s="163"/>
      <c r="J18" s="163"/>
      <c r="K18" s="163"/>
      <c r="L18" s="163"/>
      <c r="M18" s="373">
        <f t="shared" si="1"/>
        <v>0</v>
      </c>
      <c r="N18" s="163"/>
      <c r="O18" s="163"/>
      <c r="P18" s="163"/>
      <c r="Q18" s="163"/>
      <c r="R18" s="163"/>
      <c r="S18" s="163"/>
      <c r="T18" s="163"/>
      <c r="U18" s="163"/>
      <c r="V18" s="163"/>
      <c r="W18" s="163"/>
    </row>
    <row r="19" spans="1:23" s="176" customFormat="1" x14ac:dyDescent="0.25">
      <c r="A19" s="406">
        <v>7</v>
      </c>
      <c r="B19" s="350" t="s">
        <v>201</v>
      </c>
      <c r="C19" s="345" t="s">
        <v>14</v>
      </c>
      <c r="D19" s="14">
        <v>1</v>
      </c>
      <c r="E19" s="279">
        <v>12729</v>
      </c>
      <c r="F19" s="279">
        <f t="shared" si="0"/>
        <v>12729</v>
      </c>
      <c r="G19" s="96">
        <v>0</v>
      </c>
      <c r="H19" s="163"/>
      <c r="I19" s="163"/>
      <c r="J19" s="163"/>
      <c r="K19" s="163"/>
      <c r="L19" s="163"/>
      <c r="M19" s="373">
        <f t="shared" si="1"/>
        <v>0</v>
      </c>
      <c r="N19" s="163"/>
      <c r="O19" s="163"/>
      <c r="P19" s="163"/>
      <c r="Q19" s="163"/>
      <c r="R19" s="163"/>
      <c r="S19" s="163"/>
      <c r="T19" s="163"/>
      <c r="U19" s="163"/>
      <c r="V19" s="163"/>
      <c r="W19" s="163"/>
    </row>
    <row r="20" spans="1:23" s="176" customFormat="1" x14ac:dyDescent="0.25">
      <c r="A20" s="406">
        <v>8</v>
      </c>
      <c r="B20" s="350" t="s">
        <v>202</v>
      </c>
      <c r="C20" s="345" t="s">
        <v>14</v>
      </c>
      <c r="D20" s="14">
        <v>1</v>
      </c>
      <c r="E20" s="279">
        <v>20000</v>
      </c>
      <c r="F20" s="279">
        <f t="shared" si="0"/>
        <v>20000</v>
      </c>
      <c r="G20" s="96">
        <v>0</v>
      </c>
      <c r="H20" s="163"/>
      <c r="I20" s="163"/>
      <c r="J20" s="163"/>
      <c r="K20" s="163"/>
      <c r="L20" s="163"/>
      <c r="M20" s="373">
        <f t="shared" si="1"/>
        <v>0</v>
      </c>
      <c r="N20" s="163"/>
      <c r="O20" s="163"/>
      <c r="P20" s="163"/>
      <c r="Q20" s="163"/>
      <c r="R20" s="163"/>
      <c r="S20" s="163"/>
      <c r="T20" s="163"/>
      <c r="U20" s="163"/>
      <c r="V20" s="163"/>
      <c r="W20" s="163"/>
    </row>
    <row r="21" spans="1:23" s="375" customFormat="1" x14ac:dyDescent="0.25">
      <c r="A21" s="406">
        <v>9</v>
      </c>
      <c r="B21" s="351" t="s">
        <v>203</v>
      </c>
      <c r="C21" s="290" t="s">
        <v>14</v>
      </c>
      <c r="D21" s="40">
        <v>1</v>
      </c>
      <c r="E21" s="279">
        <v>13000</v>
      </c>
      <c r="F21" s="279">
        <f t="shared" si="0"/>
        <v>13000</v>
      </c>
      <c r="G21" s="352">
        <v>0</v>
      </c>
      <c r="H21" s="153"/>
      <c r="I21" s="153"/>
      <c r="J21" s="153"/>
      <c r="K21" s="153"/>
      <c r="L21" s="163"/>
      <c r="M21" s="373">
        <f t="shared" si="1"/>
        <v>0</v>
      </c>
      <c r="N21" s="153"/>
      <c r="O21" s="153"/>
      <c r="P21" s="153"/>
      <c r="Q21" s="153"/>
      <c r="R21" s="153"/>
      <c r="S21" s="153"/>
      <c r="T21" s="153"/>
      <c r="U21" s="153"/>
      <c r="V21" s="153"/>
      <c r="W21" s="153"/>
    </row>
    <row r="22" spans="1:23" s="176" customFormat="1" x14ac:dyDescent="0.25">
      <c r="A22" s="406">
        <v>10</v>
      </c>
      <c r="B22" s="350" t="s">
        <v>204</v>
      </c>
      <c r="C22" s="345" t="s">
        <v>14</v>
      </c>
      <c r="D22" s="14">
        <v>1</v>
      </c>
      <c r="E22" s="279">
        <v>3000</v>
      </c>
      <c r="F22" s="279">
        <f t="shared" si="0"/>
        <v>3000</v>
      </c>
      <c r="G22" s="96">
        <v>0</v>
      </c>
      <c r="H22" s="163"/>
      <c r="I22" s="163"/>
      <c r="J22" s="163"/>
      <c r="K22" s="163"/>
      <c r="L22" s="163"/>
      <c r="M22" s="373">
        <f t="shared" si="1"/>
        <v>0</v>
      </c>
      <c r="N22" s="163"/>
      <c r="O22" s="163"/>
      <c r="P22" s="163"/>
      <c r="Q22" s="163"/>
      <c r="R22" s="163"/>
      <c r="S22" s="163"/>
      <c r="T22" s="163"/>
      <c r="U22" s="163"/>
      <c r="V22" s="163"/>
      <c r="W22" s="163"/>
    </row>
    <row r="23" spans="1:23" s="176" customFormat="1" ht="33" x14ac:dyDescent="0.25">
      <c r="A23" s="406">
        <v>11</v>
      </c>
      <c r="B23" s="350" t="s">
        <v>205</v>
      </c>
      <c r="C23" s="345" t="s">
        <v>14</v>
      </c>
      <c r="D23" s="14">
        <v>2</v>
      </c>
      <c r="E23" s="279">
        <v>8000</v>
      </c>
      <c r="F23" s="279">
        <f t="shared" si="0"/>
        <v>16000</v>
      </c>
      <c r="G23" s="96">
        <v>0</v>
      </c>
      <c r="H23" s="163"/>
      <c r="I23" s="163"/>
      <c r="J23" s="163"/>
      <c r="K23" s="163"/>
      <c r="L23" s="163"/>
      <c r="M23" s="373">
        <f t="shared" si="1"/>
        <v>0</v>
      </c>
      <c r="N23" s="163"/>
      <c r="O23" s="163"/>
      <c r="P23" s="163"/>
      <c r="Q23" s="163"/>
      <c r="R23" s="163"/>
      <c r="S23" s="163"/>
      <c r="T23" s="163"/>
      <c r="U23" s="163"/>
      <c r="V23" s="163"/>
      <c r="W23" s="163"/>
    </row>
    <row r="24" spans="1:23" s="176" customFormat="1" x14ac:dyDescent="0.25">
      <c r="A24" s="406">
        <v>12</v>
      </c>
      <c r="B24" s="350" t="s">
        <v>207</v>
      </c>
      <c r="C24" s="345" t="s">
        <v>14</v>
      </c>
      <c r="D24" s="14">
        <v>1</v>
      </c>
      <c r="E24" s="279">
        <v>9000</v>
      </c>
      <c r="F24" s="279">
        <f t="shared" si="0"/>
        <v>9000</v>
      </c>
      <c r="G24" s="96">
        <v>0</v>
      </c>
      <c r="H24" s="163"/>
      <c r="I24" s="163"/>
      <c r="J24" s="163"/>
      <c r="K24" s="163"/>
      <c r="L24" s="163"/>
      <c r="M24" s="373">
        <f t="shared" si="1"/>
        <v>0</v>
      </c>
      <c r="N24" s="163"/>
      <c r="O24" s="163"/>
      <c r="P24" s="163"/>
      <c r="Q24" s="163"/>
      <c r="R24" s="163"/>
      <c r="S24" s="163"/>
      <c r="T24" s="163"/>
      <c r="U24" s="163"/>
      <c r="V24" s="163"/>
      <c r="W24" s="163"/>
    </row>
    <row r="25" spans="1:23" s="176" customFormat="1" x14ac:dyDescent="0.25">
      <c r="A25" s="406">
        <v>13</v>
      </c>
      <c r="B25" s="350" t="s">
        <v>208</v>
      </c>
      <c r="C25" s="345" t="s">
        <v>14</v>
      </c>
      <c r="D25" s="14">
        <v>1</v>
      </c>
      <c r="E25" s="279">
        <v>6000</v>
      </c>
      <c r="F25" s="279">
        <f t="shared" si="0"/>
        <v>6000</v>
      </c>
      <c r="G25" s="96">
        <v>0</v>
      </c>
      <c r="H25" s="163"/>
      <c r="I25" s="163"/>
      <c r="J25" s="163"/>
      <c r="K25" s="163"/>
      <c r="L25" s="163"/>
      <c r="M25" s="373">
        <f t="shared" si="1"/>
        <v>0</v>
      </c>
      <c r="N25" s="163"/>
      <c r="O25" s="163"/>
      <c r="P25" s="163"/>
      <c r="Q25" s="163"/>
      <c r="R25" s="163"/>
      <c r="S25" s="163"/>
      <c r="T25" s="163"/>
      <c r="U25" s="163"/>
      <c r="V25" s="163"/>
      <c r="W25" s="163"/>
    </row>
    <row r="26" spans="1:23" s="176" customFormat="1" x14ac:dyDescent="0.25">
      <c r="A26" s="406">
        <v>14</v>
      </c>
      <c r="B26" s="350" t="s">
        <v>208</v>
      </c>
      <c r="C26" s="345" t="s">
        <v>14</v>
      </c>
      <c r="D26" s="14">
        <v>1</v>
      </c>
      <c r="E26" s="279">
        <v>20621</v>
      </c>
      <c r="F26" s="279">
        <f t="shared" si="0"/>
        <v>20621</v>
      </c>
      <c r="G26" s="96">
        <v>6873.66</v>
      </c>
      <c r="H26" s="163"/>
      <c r="I26" s="163"/>
      <c r="J26" s="163"/>
      <c r="K26" s="163"/>
      <c r="L26" s="163"/>
      <c r="M26" s="373">
        <f t="shared" si="1"/>
        <v>0</v>
      </c>
      <c r="N26" s="163"/>
      <c r="O26" s="163"/>
      <c r="P26" s="163"/>
      <c r="Q26" s="163"/>
      <c r="R26" s="163"/>
      <c r="S26" s="163"/>
      <c r="T26" s="163"/>
      <c r="U26" s="163"/>
      <c r="V26" s="163"/>
      <c r="W26" s="163"/>
    </row>
    <row r="27" spans="1:23" s="375" customFormat="1" ht="23.25" customHeight="1" x14ac:dyDescent="0.25">
      <c r="A27" s="406">
        <v>15</v>
      </c>
      <c r="B27" s="351" t="s">
        <v>209</v>
      </c>
      <c r="C27" s="290" t="s">
        <v>14</v>
      </c>
      <c r="D27" s="40">
        <v>2</v>
      </c>
      <c r="E27" s="204">
        <v>87500</v>
      </c>
      <c r="F27" s="204">
        <f t="shared" si="0"/>
        <v>175000</v>
      </c>
      <c r="G27" s="352">
        <f>250000/4*2</f>
        <v>125000</v>
      </c>
      <c r="H27" s="153"/>
      <c r="I27" s="153"/>
      <c r="J27" s="153"/>
      <c r="K27" s="153"/>
      <c r="L27" s="153">
        <v>2</v>
      </c>
      <c r="M27" s="377">
        <f t="shared" si="1"/>
        <v>175000</v>
      </c>
      <c r="N27" s="153"/>
      <c r="O27" s="153"/>
      <c r="P27" s="153"/>
      <c r="Q27" s="153"/>
      <c r="R27" s="153"/>
      <c r="S27" s="153"/>
      <c r="T27" s="153"/>
      <c r="U27" s="153"/>
      <c r="V27" s="153"/>
      <c r="W27" s="153"/>
    </row>
    <row r="28" spans="1:23" s="375" customFormat="1" ht="23.25" customHeight="1" x14ac:dyDescent="0.25">
      <c r="A28" s="406">
        <v>16</v>
      </c>
      <c r="B28" s="351" t="s">
        <v>210</v>
      </c>
      <c r="C28" s="290" t="s">
        <v>14</v>
      </c>
      <c r="D28" s="40">
        <v>1</v>
      </c>
      <c r="E28" s="204">
        <v>9000</v>
      </c>
      <c r="F28" s="204">
        <f t="shared" si="0"/>
        <v>9000</v>
      </c>
      <c r="G28" s="352">
        <v>0</v>
      </c>
      <c r="H28" s="153"/>
      <c r="I28" s="153"/>
      <c r="J28" s="153"/>
      <c r="K28" s="153"/>
      <c r="L28" s="153"/>
      <c r="M28" s="377">
        <f t="shared" si="1"/>
        <v>0</v>
      </c>
      <c r="N28" s="153"/>
      <c r="O28" s="153"/>
      <c r="P28" s="153"/>
      <c r="Q28" s="153"/>
      <c r="R28" s="153"/>
      <c r="S28" s="153"/>
      <c r="T28" s="153"/>
      <c r="U28" s="153"/>
      <c r="V28" s="153"/>
      <c r="W28" s="153"/>
    </row>
    <row r="29" spans="1:23" s="375" customFormat="1" ht="23.25" customHeight="1" x14ac:dyDescent="0.25">
      <c r="A29" s="406">
        <v>17</v>
      </c>
      <c r="B29" s="351" t="s">
        <v>211</v>
      </c>
      <c r="C29" s="290" t="s">
        <v>14</v>
      </c>
      <c r="D29" s="40">
        <v>1</v>
      </c>
      <c r="E29" s="204">
        <v>1000</v>
      </c>
      <c r="F29" s="204">
        <f t="shared" si="0"/>
        <v>1000</v>
      </c>
      <c r="G29" s="352">
        <v>0</v>
      </c>
      <c r="H29" s="153"/>
      <c r="I29" s="153"/>
      <c r="J29" s="153"/>
      <c r="K29" s="153"/>
      <c r="L29" s="153"/>
      <c r="M29" s="377">
        <f t="shared" si="1"/>
        <v>0</v>
      </c>
      <c r="N29" s="153"/>
      <c r="O29" s="153"/>
      <c r="P29" s="153"/>
      <c r="Q29" s="153"/>
      <c r="R29" s="153"/>
      <c r="S29" s="153"/>
      <c r="T29" s="153"/>
      <c r="U29" s="153"/>
      <c r="V29" s="153"/>
      <c r="W29" s="153"/>
    </row>
    <row r="30" spans="1:23" s="375" customFormat="1" ht="23.25" customHeight="1" x14ac:dyDescent="0.25">
      <c r="A30" s="406">
        <v>18</v>
      </c>
      <c r="B30" s="351" t="s">
        <v>212</v>
      </c>
      <c r="C30" s="290" t="s">
        <v>14</v>
      </c>
      <c r="D30" s="40">
        <v>3</v>
      </c>
      <c r="E30" s="204">
        <v>32078</v>
      </c>
      <c r="F30" s="204">
        <f t="shared" si="0"/>
        <v>96234</v>
      </c>
      <c r="G30" s="352">
        <f>128312/8*3</f>
        <v>48117</v>
      </c>
      <c r="H30" s="153"/>
      <c r="I30" s="153"/>
      <c r="J30" s="153"/>
      <c r="K30" s="153"/>
      <c r="L30" s="153">
        <v>5</v>
      </c>
      <c r="M30" s="377">
        <f t="shared" si="1"/>
        <v>160390</v>
      </c>
      <c r="N30" s="153"/>
      <c r="O30" s="153"/>
      <c r="P30" s="153"/>
      <c r="Q30" s="153"/>
      <c r="R30" s="153"/>
      <c r="S30" s="153"/>
      <c r="T30" s="153"/>
      <c r="U30" s="153"/>
      <c r="V30" s="153"/>
      <c r="W30" s="153"/>
    </row>
    <row r="31" spans="1:23" s="176" customFormat="1" x14ac:dyDescent="0.25">
      <c r="A31" s="406">
        <v>19</v>
      </c>
      <c r="B31" s="350" t="s">
        <v>213</v>
      </c>
      <c r="C31" s="345" t="s">
        <v>14</v>
      </c>
      <c r="D31" s="14">
        <v>1</v>
      </c>
      <c r="E31" s="279">
        <v>49898</v>
      </c>
      <c r="F31" s="279">
        <f t="shared" si="0"/>
        <v>49898</v>
      </c>
      <c r="G31" s="96">
        <v>24949</v>
      </c>
      <c r="H31" s="163"/>
      <c r="I31" s="163"/>
      <c r="J31" s="163"/>
      <c r="K31" s="163"/>
      <c r="L31" s="163"/>
      <c r="M31" s="373">
        <f t="shared" si="1"/>
        <v>0</v>
      </c>
      <c r="N31" s="163"/>
      <c r="O31" s="163"/>
      <c r="P31" s="163"/>
      <c r="Q31" s="163"/>
      <c r="R31" s="163"/>
      <c r="S31" s="163"/>
      <c r="T31" s="163"/>
      <c r="U31" s="163"/>
      <c r="V31" s="163"/>
      <c r="W31" s="163"/>
    </row>
    <row r="32" spans="1:23" s="375" customFormat="1" x14ac:dyDescent="0.25">
      <c r="A32" s="406">
        <v>20</v>
      </c>
      <c r="B32" s="351" t="s">
        <v>214</v>
      </c>
      <c r="C32" s="290" t="s">
        <v>14</v>
      </c>
      <c r="D32" s="40">
        <v>2</v>
      </c>
      <c r="E32" s="204">
        <v>120744</v>
      </c>
      <c r="F32" s="204">
        <f t="shared" si="0"/>
        <v>241488</v>
      </c>
      <c r="G32" s="352">
        <v>120774</v>
      </c>
      <c r="H32" s="153"/>
      <c r="I32" s="376"/>
      <c r="J32" s="153"/>
      <c r="K32" s="376"/>
      <c r="L32" s="153"/>
      <c r="M32" s="377">
        <f t="shared" si="1"/>
        <v>0</v>
      </c>
      <c r="N32" s="153"/>
      <c r="O32" s="153"/>
      <c r="P32" s="153"/>
      <c r="Q32" s="153"/>
      <c r="R32" s="153"/>
      <c r="S32" s="153"/>
      <c r="T32" s="153"/>
      <c r="U32" s="153"/>
      <c r="V32" s="153"/>
      <c r="W32" s="153"/>
    </row>
    <row r="33" spans="1:23" s="176" customFormat="1" x14ac:dyDescent="0.25">
      <c r="A33" s="406">
        <v>21</v>
      </c>
      <c r="B33" s="350" t="s">
        <v>216</v>
      </c>
      <c r="C33" s="345" t="s">
        <v>14</v>
      </c>
      <c r="D33" s="14">
        <v>1</v>
      </c>
      <c r="E33" s="279">
        <v>2500</v>
      </c>
      <c r="F33" s="279">
        <f t="shared" si="0"/>
        <v>2500</v>
      </c>
      <c r="G33" s="96">
        <v>0</v>
      </c>
      <c r="H33" s="163"/>
      <c r="I33" s="163"/>
      <c r="J33" s="163"/>
      <c r="K33" s="163"/>
      <c r="L33" s="163"/>
      <c r="M33" s="373">
        <f t="shared" si="1"/>
        <v>0</v>
      </c>
      <c r="N33" s="163"/>
      <c r="O33" s="163"/>
      <c r="P33" s="163"/>
      <c r="Q33" s="163"/>
      <c r="R33" s="163"/>
      <c r="S33" s="163"/>
      <c r="T33" s="163"/>
      <c r="U33" s="163"/>
      <c r="V33" s="163"/>
      <c r="W33" s="163"/>
    </row>
    <row r="34" spans="1:23" s="176" customFormat="1" x14ac:dyDescent="0.25">
      <c r="A34" s="406">
        <v>22</v>
      </c>
      <c r="B34" s="350" t="s">
        <v>217</v>
      </c>
      <c r="C34" s="345" t="s">
        <v>14</v>
      </c>
      <c r="D34" s="14">
        <v>2</v>
      </c>
      <c r="E34" s="279">
        <v>5000</v>
      </c>
      <c r="F34" s="279">
        <f t="shared" si="0"/>
        <v>10000</v>
      </c>
      <c r="G34" s="96">
        <v>3333.32</v>
      </c>
      <c r="H34" s="163"/>
      <c r="I34" s="163"/>
      <c r="J34" s="163"/>
      <c r="K34" s="163"/>
      <c r="L34" s="163"/>
      <c r="M34" s="373">
        <f t="shared" si="1"/>
        <v>0</v>
      </c>
      <c r="N34" s="163"/>
      <c r="O34" s="163"/>
      <c r="P34" s="163"/>
      <c r="Q34" s="163"/>
      <c r="R34" s="163"/>
      <c r="S34" s="163"/>
      <c r="T34" s="163"/>
      <c r="U34" s="163"/>
      <c r="V34" s="163"/>
      <c r="W34" s="163"/>
    </row>
    <row r="35" spans="1:23" s="176" customFormat="1" ht="24" customHeight="1" x14ac:dyDescent="0.25">
      <c r="A35" s="406">
        <v>23</v>
      </c>
      <c r="B35" s="350" t="s">
        <v>220</v>
      </c>
      <c r="C35" s="345" t="s">
        <v>14</v>
      </c>
      <c r="D35" s="14">
        <v>8</v>
      </c>
      <c r="E35" s="279">
        <v>40632</v>
      </c>
      <c r="F35" s="279">
        <f t="shared" si="0"/>
        <v>325056</v>
      </c>
      <c r="G35" s="96">
        <v>195033.60000000001</v>
      </c>
      <c r="H35" s="163"/>
      <c r="I35" s="163"/>
      <c r="J35" s="163"/>
      <c r="K35" s="163"/>
      <c r="L35" s="163"/>
      <c r="M35" s="373">
        <f t="shared" si="1"/>
        <v>0</v>
      </c>
      <c r="N35" s="163"/>
      <c r="O35" s="163"/>
      <c r="P35" s="163"/>
      <c r="Q35" s="163"/>
      <c r="R35" s="163"/>
      <c r="S35" s="163"/>
      <c r="T35" s="163"/>
      <c r="U35" s="163"/>
      <c r="V35" s="163"/>
      <c r="W35" s="163"/>
    </row>
    <row r="36" spans="1:23" s="176" customFormat="1" ht="24" customHeight="1" x14ac:dyDescent="0.25">
      <c r="A36" s="406">
        <v>24</v>
      </c>
      <c r="B36" s="350" t="s">
        <v>220</v>
      </c>
      <c r="C36" s="345" t="s">
        <v>14</v>
      </c>
      <c r="D36" s="14">
        <v>5</v>
      </c>
      <c r="E36" s="279">
        <v>13000</v>
      </c>
      <c r="F36" s="279">
        <f t="shared" si="0"/>
        <v>65000</v>
      </c>
      <c r="G36" s="96">
        <v>21666.7</v>
      </c>
      <c r="H36" s="163"/>
      <c r="I36" s="163"/>
      <c r="J36" s="163"/>
      <c r="K36" s="163"/>
      <c r="L36" s="163"/>
      <c r="M36" s="373">
        <f t="shared" si="1"/>
        <v>0</v>
      </c>
      <c r="N36" s="163"/>
      <c r="O36" s="163"/>
      <c r="P36" s="163"/>
      <c r="Q36" s="163"/>
      <c r="R36" s="163"/>
      <c r="S36" s="163"/>
      <c r="T36" s="163"/>
      <c r="U36" s="163"/>
      <c r="V36" s="163"/>
      <c r="W36" s="163"/>
    </row>
    <row r="37" spans="1:23" s="176" customFormat="1" ht="24" customHeight="1" x14ac:dyDescent="0.25">
      <c r="A37" s="406">
        <v>25</v>
      </c>
      <c r="B37" s="350" t="s">
        <v>222</v>
      </c>
      <c r="C37" s="345" t="s">
        <v>14</v>
      </c>
      <c r="D37" s="14">
        <v>1</v>
      </c>
      <c r="E37" s="279">
        <v>15000</v>
      </c>
      <c r="F37" s="279">
        <f t="shared" ref="F37:F72" si="2">D37*E37</f>
        <v>15000</v>
      </c>
      <c r="G37" s="96">
        <v>9000</v>
      </c>
      <c r="H37" s="163"/>
      <c r="I37" s="163"/>
      <c r="J37" s="163"/>
      <c r="K37" s="163"/>
      <c r="L37" s="163"/>
      <c r="M37" s="373">
        <f t="shared" ref="M37:M72" si="3">L37*E37</f>
        <v>0</v>
      </c>
      <c r="N37" s="163"/>
      <c r="O37" s="163"/>
      <c r="P37" s="163"/>
      <c r="Q37" s="163"/>
      <c r="R37" s="163"/>
      <c r="S37" s="163"/>
      <c r="T37" s="163"/>
      <c r="U37" s="373"/>
      <c r="V37" s="373"/>
      <c r="W37" s="373"/>
    </row>
    <row r="38" spans="1:23" s="176" customFormat="1" ht="24" customHeight="1" x14ac:dyDescent="0.25">
      <c r="A38" s="406">
        <v>26</v>
      </c>
      <c r="B38" s="350" t="s">
        <v>48</v>
      </c>
      <c r="C38" s="345" t="s">
        <v>14</v>
      </c>
      <c r="D38" s="14">
        <v>11</v>
      </c>
      <c r="E38" s="279">
        <v>32841</v>
      </c>
      <c r="F38" s="279">
        <f t="shared" si="2"/>
        <v>361251</v>
      </c>
      <c r="G38" s="96">
        <v>216750.6</v>
      </c>
      <c r="H38" s="163"/>
      <c r="I38" s="163"/>
      <c r="J38" s="163"/>
      <c r="K38" s="163"/>
      <c r="L38" s="163"/>
      <c r="M38" s="373">
        <f t="shared" si="3"/>
        <v>0</v>
      </c>
      <c r="N38" s="163"/>
      <c r="O38" s="163"/>
      <c r="P38" s="163"/>
      <c r="Q38" s="163"/>
      <c r="R38" s="163"/>
      <c r="S38" s="163"/>
      <c r="T38" s="163"/>
      <c r="U38" s="373"/>
      <c r="V38" s="373"/>
      <c r="W38" s="373"/>
    </row>
    <row r="39" spans="1:23" s="176" customFormat="1" ht="24" customHeight="1" x14ac:dyDescent="0.25">
      <c r="A39" s="406">
        <v>27</v>
      </c>
      <c r="B39" s="350" t="s">
        <v>224</v>
      </c>
      <c r="C39" s="345" t="s">
        <v>14</v>
      </c>
      <c r="D39" s="14">
        <v>5</v>
      </c>
      <c r="E39" s="279">
        <v>11000</v>
      </c>
      <c r="F39" s="279">
        <f t="shared" si="2"/>
        <v>55000</v>
      </c>
      <c r="G39" s="96">
        <v>18333.3</v>
      </c>
      <c r="H39" s="163"/>
      <c r="I39" s="163"/>
      <c r="J39" s="163"/>
      <c r="K39" s="163"/>
      <c r="L39" s="163"/>
      <c r="M39" s="373">
        <f t="shared" si="3"/>
        <v>0</v>
      </c>
      <c r="N39" s="163"/>
      <c r="O39" s="163"/>
      <c r="P39" s="163"/>
      <c r="Q39" s="163"/>
      <c r="R39" s="163"/>
      <c r="S39" s="163"/>
      <c r="T39" s="163"/>
      <c r="U39" s="373"/>
      <c r="V39" s="373"/>
      <c r="W39" s="373"/>
    </row>
    <row r="40" spans="1:23" s="176" customFormat="1" ht="24" customHeight="1" x14ac:dyDescent="0.25">
      <c r="A40" s="406">
        <v>28</v>
      </c>
      <c r="B40" s="350" t="s">
        <v>225</v>
      </c>
      <c r="C40" s="345" t="s">
        <v>14</v>
      </c>
      <c r="D40" s="14">
        <v>1</v>
      </c>
      <c r="E40" s="279">
        <v>26477</v>
      </c>
      <c r="F40" s="279">
        <f t="shared" si="2"/>
        <v>26477</v>
      </c>
      <c r="G40" s="96">
        <v>0</v>
      </c>
      <c r="H40" s="163"/>
      <c r="I40" s="163"/>
      <c r="J40" s="163"/>
      <c r="K40" s="163"/>
      <c r="L40" s="163"/>
      <c r="M40" s="373">
        <f t="shared" si="3"/>
        <v>0</v>
      </c>
      <c r="N40" s="163"/>
      <c r="O40" s="163"/>
      <c r="P40" s="163"/>
      <c r="Q40" s="163"/>
      <c r="R40" s="163"/>
      <c r="S40" s="163"/>
      <c r="T40" s="163"/>
      <c r="U40" s="373"/>
      <c r="V40" s="373"/>
      <c r="W40" s="373"/>
    </row>
    <row r="41" spans="1:23" s="176" customFormat="1" ht="24" customHeight="1" x14ac:dyDescent="0.25">
      <c r="A41" s="406">
        <v>29</v>
      </c>
      <c r="B41" s="350" t="s">
        <v>225</v>
      </c>
      <c r="C41" s="345" t="s">
        <v>14</v>
      </c>
      <c r="D41" s="14">
        <v>5</v>
      </c>
      <c r="E41" s="279">
        <v>60540</v>
      </c>
      <c r="F41" s="279">
        <f t="shared" si="2"/>
        <v>302700</v>
      </c>
      <c r="G41" s="96">
        <v>181620</v>
      </c>
      <c r="H41" s="163"/>
      <c r="I41" s="163"/>
      <c r="J41" s="163"/>
      <c r="K41" s="163"/>
      <c r="L41" s="163"/>
      <c r="M41" s="373">
        <f t="shared" si="3"/>
        <v>0</v>
      </c>
      <c r="N41" s="163"/>
      <c r="O41" s="163"/>
      <c r="P41" s="163"/>
      <c r="Q41" s="163"/>
      <c r="R41" s="163"/>
      <c r="S41" s="163"/>
      <c r="T41" s="163"/>
      <c r="U41" s="373"/>
      <c r="V41" s="373"/>
      <c r="W41" s="373"/>
    </row>
    <row r="42" spans="1:23" s="176" customFormat="1" ht="24" customHeight="1" x14ac:dyDescent="0.25">
      <c r="A42" s="406">
        <v>30</v>
      </c>
      <c r="B42" s="350" t="s">
        <v>226</v>
      </c>
      <c r="C42" s="345" t="s">
        <v>14</v>
      </c>
      <c r="D42" s="14">
        <v>20</v>
      </c>
      <c r="E42" s="279">
        <v>5000</v>
      </c>
      <c r="F42" s="279">
        <f t="shared" si="2"/>
        <v>100000</v>
      </c>
      <c r="G42" s="96">
        <v>33333.199999999997</v>
      </c>
      <c r="H42" s="163"/>
      <c r="I42" s="163"/>
      <c r="J42" s="163"/>
      <c r="K42" s="163"/>
      <c r="L42" s="163"/>
      <c r="M42" s="373">
        <f t="shared" si="3"/>
        <v>0</v>
      </c>
      <c r="N42" s="163"/>
      <c r="O42" s="163"/>
      <c r="P42" s="163"/>
      <c r="Q42" s="163"/>
      <c r="R42" s="163"/>
      <c r="S42" s="163"/>
      <c r="T42" s="163"/>
      <c r="U42" s="373"/>
      <c r="V42" s="373"/>
      <c r="W42" s="373"/>
    </row>
    <row r="43" spans="1:23" s="176" customFormat="1" ht="24" customHeight="1" x14ac:dyDescent="0.25">
      <c r="A43" s="406">
        <v>31</v>
      </c>
      <c r="B43" s="350" t="s">
        <v>226</v>
      </c>
      <c r="C43" s="345" t="s">
        <v>14</v>
      </c>
      <c r="D43" s="14">
        <v>45</v>
      </c>
      <c r="E43" s="279">
        <v>5500</v>
      </c>
      <c r="F43" s="279">
        <f t="shared" si="2"/>
        <v>247500</v>
      </c>
      <c r="G43" s="96">
        <v>82499.850000000006</v>
      </c>
      <c r="H43" s="163"/>
      <c r="I43" s="163"/>
      <c r="J43" s="163"/>
      <c r="K43" s="163"/>
      <c r="L43" s="163"/>
      <c r="M43" s="373">
        <f t="shared" si="3"/>
        <v>0</v>
      </c>
      <c r="N43" s="163"/>
      <c r="O43" s="163"/>
      <c r="P43" s="163"/>
      <c r="Q43" s="163"/>
      <c r="R43" s="163"/>
      <c r="S43" s="163"/>
      <c r="T43" s="163"/>
      <c r="U43" s="373"/>
      <c r="V43" s="373"/>
      <c r="W43" s="373"/>
    </row>
    <row r="44" spans="1:23" s="176" customFormat="1" ht="24" customHeight="1" x14ac:dyDescent="0.25">
      <c r="A44" s="406">
        <v>32</v>
      </c>
      <c r="B44" s="350" t="s">
        <v>227</v>
      </c>
      <c r="C44" s="345" t="s">
        <v>14</v>
      </c>
      <c r="D44" s="14">
        <v>2</v>
      </c>
      <c r="E44" s="279">
        <v>6000</v>
      </c>
      <c r="F44" s="279">
        <f t="shared" si="2"/>
        <v>12000</v>
      </c>
      <c r="G44" s="96">
        <v>0</v>
      </c>
      <c r="H44" s="163"/>
      <c r="I44" s="163"/>
      <c r="J44" s="163"/>
      <c r="K44" s="163"/>
      <c r="L44" s="163"/>
      <c r="M44" s="373">
        <f t="shared" si="3"/>
        <v>0</v>
      </c>
      <c r="N44" s="163"/>
      <c r="O44" s="163"/>
      <c r="P44" s="163"/>
      <c r="Q44" s="163"/>
      <c r="R44" s="163"/>
      <c r="S44" s="163"/>
      <c r="T44" s="163"/>
      <c r="U44" s="373"/>
      <c r="V44" s="373"/>
      <c r="W44" s="373"/>
    </row>
    <row r="45" spans="1:23" s="176" customFormat="1" x14ac:dyDescent="0.25">
      <c r="A45" s="406">
        <v>33</v>
      </c>
      <c r="B45" s="350" t="s">
        <v>228</v>
      </c>
      <c r="C45" s="345" t="s">
        <v>14</v>
      </c>
      <c r="D45" s="14">
        <v>1</v>
      </c>
      <c r="E45" s="279">
        <v>225306</v>
      </c>
      <c r="F45" s="279">
        <f t="shared" si="2"/>
        <v>225306</v>
      </c>
      <c r="G45" s="96">
        <v>135183.6</v>
      </c>
      <c r="H45" s="163"/>
      <c r="I45" s="163"/>
      <c r="J45" s="163"/>
      <c r="K45" s="163"/>
      <c r="L45" s="163"/>
      <c r="M45" s="373">
        <f t="shared" si="3"/>
        <v>0</v>
      </c>
      <c r="N45" s="163"/>
      <c r="O45" s="163"/>
      <c r="P45" s="163"/>
      <c r="Q45" s="163"/>
      <c r="R45" s="163"/>
      <c r="S45" s="163"/>
      <c r="T45" s="163"/>
      <c r="U45" s="373"/>
      <c r="V45" s="373"/>
      <c r="W45" s="373"/>
    </row>
    <row r="46" spans="1:23" s="176" customFormat="1" x14ac:dyDescent="0.25">
      <c r="A46" s="406">
        <v>34</v>
      </c>
      <c r="B46" s="350" t="s">
        <v>233</v>
      </c>
      <c r="C46" s="345" t="s">
        <v>14</v>
      </c>
      <c r="D46" s="14">
        <v>22</v>
      </c>
      <c r="E46" s="279">
        <v>2000</v>
      </c>
      <c r="F46" s="279">
        <f t="shared" si="2"/>
        <v>44000</v>
      </c>
      <c r="G46" s="96">
        <v>8800</v>
      </c>
      <c r="H46" s="163"/>
      <c r="I46" s="163"/>
      <c r="J46" s="163"/>
      <c r="K46" s="163"/>
      <c r="L46" s="163"/>
      <c r="M46" s="373">
        <f t="shared" si="3"/>
        <v>0</v>
      </c>
      <c r="N46" s="163"/>
      <c r="O46" s="163"/>
      <c r="P46" s="163"/>
      <c r="Q46" s="163"/>
      <c r="R46" s="163"/>
      <c r="S46" s="163"/>
      <c r="T46" s="163"/>
      <c r="U46" s="373"/>
      <c r="V46" s="373"/>
      <c r="W46" s="373"/>
    </row>
    <row r="47" spans="1:23" s="176" customFormat="1" x14ac:dyDescent="0.25">
      <c r="A47" s="406">
        <v>35</v>
      </c>
      <c r="B47" s="350" t="s">
        <v>234</v>
      </c>
      <c r="C47" s="345" t="s">
        <v>14</v>
      </c>
      <c r="D47" s="14">
        <v>30</v>
      </c>
      <c r="E47" s="279">
        <v>700</v>
      </c>
      <c r="F47" s="279">
        <f t="shared" si="2"/>
        <v>21000</v>
      </c>
      <c r="G47" s="96">
        <v>4200</v>
      </c>
      <c r="H47" s="163"/>
      <c r="I47" s="163"/>
      <c r="J47" s="163"/>
      <c r="K47" s="163"/>
      <c r="L47" s="163"/>
      <c r="M47" s="373">
        <f t="shared" si="3"/>
        <v>0</v>
      </c>
      <c r="N47" s="163"/>
      <c r="O47" s="163"/>
      <c r="P47" s="163"/>
      <c r="Q47" s="163"/>
      <c r="R47" s="163"/>
      <c r="S47" s="163"/>
      <c r="T47" s="163"/>
      <c r="U47" s="373"/>
      <c r="V47" s="373"/>
      <c r="W47" s="373"/>
    </row>
    <row r="48" spans="1:23" s="176" customFormat="1" x14ac:dyDescent="0.25">
      <c r="A48" s="406">
        <v>36</v>
      </c>
      <c r="B48" s="350" t="s">
        <v>235</v>
      </c>
      <c r="C48" s="345" t="s">
        <v>14</v>
      </c>
      <c r="D48" s="14">
        <v>26</v>
      </c>
      <c r="E48" s="279">
        <v>2500</v>
      </c>
      <c r="F48" s="279">
        <f t="shared" si="2"/>
        <v>65000</v>
      </c>
      <c r="G48" s="96">
        <v>13000</v>
      </c>
      <c r="H48" s="163"/>
      <c r="I48" s="163"/>
      <c r="J48" s="163"/>
      <c r="K48" s="163"/>
      <c r="L48" s="163"/>
      <c r="M48" s="373">
        <f t="shared" si="3"/>
        <v>0</v>
      </c>
      <c r="N48" s="163"/>
      <c r="O48" s="163"/>
      <c r="P48" s="163"/>
      <c r="Q48" s="163"/>
      <c r="R48" s="163"/>
      <c r="S48" s="163"/>
      <c r="T48" s="163"/>
      <c r="U48" s="373"/>
      <c r="V48" s="373"/>
      <c r="W48" s="373"/>
    </row>
    <row r="49" spans="1:23" s="176" customFormat="1" x14ac:dyDescent="0.25">
      <c r="A49" s="406">
        <v>37</v>
      </c>
      <c r="B49" s="350" t="s">
        <v>236</v>
      </c>
      <c r="C49" s="345" t="s">
        <v>14</v>
      </c>
      <c r="D49" s="14">
        <v>50</v>
      </c>
      <c r="E49" s="279">
        <v>800</v>
      </c>
      <c r="F49" s="279">
        <f t="shared" si="2"/>
        <v>40000</v>
      </c>
      <c r="G49" s="96">
        <v>8000</v>
      </c>
      <c r="H49" s="163"/>
      <c r="I49" s="163"/>
      <c r="J49" s="163"/>
      <c r="K49" s="163"/>
      <c r="L49" s="163"/>
      <c r="M49" s="373">
        <f t="shared" si="3"/>
        <v>0</v>
      </c>
      <c r="N49" s="163"/>
      <c r="O49" s="163"/>
      <c r="P49" s="163"/>
      <c r="Q49" s="163"/>
      <c r="R49" s="163"/>
      <c r="S49" s="163"/>
      <c r="T49" s="163"/>
      <c r="U49" s="163"/>
      <c r="V49" s="163"/>
      <c r="W49" s="163"/>
    </row>
    <row r="50" spans="1:23" s="176" customFormat="1" x14ac:dyDescent="0.25">
      <c r="A50" s="406">
        <v>38</v>
      </c>
      <c r="B50" s="350" t="s">
        <v>237</v>
      </c>
      <c r="C50" s="345" t="s">
        <v>14</v>
      </c>
      <c r="D50" s="14">
        <v>22</v>
      </c>
      <c r="E50" s="279">
        <v>1500</v>
      </c>
      <c r="F50" s="279">
        <f t="shared" si="2"/>
        <v>33000</v>
      </c>
      <c r="G50" s="96">
        <v>6600</v>
      </c>
      <c r="H50" s="163"/>
      <c r="I50" s="163"/>
      <c r="J50" s="163"/>
      <c r="K50" s="163"/>
      <c r="L50" s="163"/>
      <c r="M50" s="373">
        <f t="shared" si="3"/>
        <v>0</v>
      </c>
      <c r="N50" s="163"/>
      <c r="O50" s="163"/>
      <c r="P50" s="163"/>
      <c r="Q50" s="163"/>
      <c r="R50" s="163"/>
      <c r="S50" s="163"/>
      <c r="T50" s="163"/>
      <c r="U50" s="163"/>
      <c r="V50" s="163"/>
      <c r="W50" s="163"/>
    </row>
    <row r="51" spans="1:23" s="176" customFormat="1" x14ac:dyDescent="0.25">
      <c r="A51" s="406">
        <v>39</v>
      </c>
      <c r="B51" s="350" t="s">
        <v>238</v>
      </c>
      <c r="C51" s="345" t="s">
        <v>14</v>
      </c>
      <c r="D51" s="14">
        <v>42</v>
      </c>
      <c r="E51" s="279">
        <v>600</v>
      </c>
      <c r="F51" s="279">
        <f t="shared" si="2"/>
        <v>25200</v>
      </c>
      <c r="G51" s="96">
        <v>5040</v>
      </c>
      <c r="H51" s="163"/>
      <c r="I51" s="163"/>
      <c r="J51" s="163"/>
      <c r="K51" s="163"/>
      <c r="L51" s="163"/>
      <c r="M51" s="373">
        <f t="shared" si="3"/>
        <v>0</v>
      </c>
      <c r="N51" s="163"/>
      <c r="O51" s="163"/>
      <c r="P51" s="163"/>
      <c r="Q51" s="163"/>
      <c r="R51" s="163"/>
      <c r="S51" s="163"/>
      <c r="T51" s="163"/>
      <c r="U51" s="163"/>
      <c r="V51" s="163"/>
      <c r="W51" s="163"/>
    </row>
    <row r="52" spans="1:23" s="176" customFormat="1" x14ac:dyDescent="0.25">
      <c r="A52" s="406">
        <v>40</v>
      </c>
      <c r="B52" s="350" t="s">
        <v>239</v>
      </c>
      <c r="C52" s="345" t="s">
        <v>14</v>
      </c>
      <c r="D52" s="14">
        <v>4</v>
      </c>
      <c r="E52" s="279">
        <v>8000</v>
      </c>
      <c r="F52" s="279">
        <f t="shared" si="2"/>
        <v>32000</v>
      </c>
      <c r="G52" s="96">
        <f>24000/6*4</f>
        <v>16000</v>
      </c>
      <c r="H52" s="163"/>
      <c r="I52" s="163"/>
      <c r="J52" s="163"/>
      <c r="K52" s="163"/>
      <c r="L52" s="163">
        <v>2</v>
      </c>
      <c r="M52" s="373">
        <f t="shared" si="3"/>
        <v>16000</v>
      </c>
      <c r="N52" s="163"/>
      <c r="O52" s="163"/>
      <c r="P52" s="163"/>
      <c r="Q52" s="163"/>
      <c r="R52" s="163"/>
      <c r="S52" s="163"/>
      <c r="T52" s="163"/>
      <c r="U52" s="163"/>
      <c r="V52" s="163"/>
      <c r="W52" s="163"/>
    </row>
    <row r="53" spans="1:23" s="176" customFormat="1" ht="22.5" customHeight="1" x14ac:dyDescent="0.25">
      <c r="A53" s="406">
        <v>41</v>
      </c>
      <c r="B53" s="350" t="s">
        <v>158</v>
      </c>
      <c r="C53" s="345" t="s">
        <v>14</v>
      </c>
      <c r="D53" s="14">
        <v>3</v>
      </c>
      <c r="E53" s="279">
        <v>7000</v>
      </c>
      <c r="F53" s="279">
        <f t="shared" si="2"/>
        <v>21000</v>
      </c>
      <c r="G53" s="96">
        <v>4200</v>
      </c>
      <c r="H53" s="163"/>
      <c r="I53" s="163"/>
      <c r="J53" s="163"/>
      <c r="K53" s="163"/>
      <c r="L53" s="163"/>
      <c r="M53" s="373">
        <f t="shared" si="3"/>
        <v>0</v>
      </c>
      <c r="N53" s="163"/>
      <c r="O53" s="163"/>
      <c r="P53" s="163"/>
      <c r="Q53" s="163"/>
      <c r="R53" s="163"/>
      <c r="S53" s="163"/>
      <c r="T53" s="163"/>
      <c r="U53" s="163"/>
      <c r="V53" s="163"/>
      <c r="W53" s="163"/>
    </row>
    <row r="54" spans="1:23" s="176" customFormat="1" ht="22.5" customHeight="1" x14ac:dyDescent="0.25">
      <c r="A54" s="406">
        <v>42</v>
      </c>
      <c r="B54" s="350" t="s">
        <v>241</v>
      </c>
      <c r="C54" s="345" t="s">
        <v>14</v>
      </c>
      <c r="D54" s="14">
        <v>1</v>
      </c>
      <c r="E54" s="279">
        <v>2000</v>
      </c>
      <c r="F54" s="279">
        <f t="shared" si="2"/>
        <v>2000</v>
      </c>
      <c r="G54" s="96">
        <v>0</v>
      </c>
      <c r="H54" s="163"/>
      <c r="I54" s="163"/>
      <c r="J54" s="163"/>
      <c r="K54" s="163"/>
      <c r="L54" s="163"/>
      <c r="M54" s="373">
        <f t="shared" si="3"/>
        <v>0</v>
      </c>
      <c r="N54" s="163"/>
      <c r="O54" s="163"/>
      <c r="P54" s="163"/>
      <c r="Q54" s="163"/>
      <c r="R54" s="163"/>
      <c r="S54" s="163"/>
      <c r="T54" s="163"/>
      <c r="U54" s="163"/>
      <c r="V54" s="163"/>
      <c r="W54" s="163"/>
    </row>
    <row r="55" spans="1:23" s="176" customFormat="1" ht="22.5" customHeight="1" x14ac:dyDescent="0.25">
      <c r="A55" s="406">
        <v>43</v>
      </c>
      <c r="B55" s="350" t="s">
        <v>242</v>
      </c>
      <c r="C55" s="345" t="s">
        <v>14</v>
      </c>
      <c r="D55" s="14">
        <v>1</v>
      </c>
      <c r="E55" s="279">
        <v>11915</v>
      </c>
      <c r="F55" s="279">
        <f t="shared" si="2"/>
        <v>11915</v>
      </c>
      <c r="G55" s="96">
        <v>3971.66</v>
      </c>
      <c r="H55" s="163"/>
      <c r="I55" s="163"/>
      <c r="J55" s="163"/>
      <c r="K55" s="163"/>
      <c r="L55" s="163"/>
      <c r="M55" s="373">
        <f t="shared" si="3"/>
        <v>0</v>
      </c>
      <c r="N55" s="163"/>
      <c r="O55" s="163"/>
      <c r="P55" s="163"/>
      <c r="Q55" s="163"/>
      <c r="R55" s="163"/>
      <c r="S55" s="163"/>
      <c r="T55" s="163"/>
      <c r="U55" s="163"/>
      <c r="V55" s="163"/>
      <c r="W55" s="163"/>
    </row>
    <row r="56" spans="1:23" s="176" customFormat="1" ht="22.5" customHeight="1" x14ac:dyDescent="0.25">
      <c r="A56" s="406">
        <v>44</v>
      </c>
      <c r="B56" s="350" t="s">
        <v>243</v>
      </c>
      <c r="C56" s="345" t="s">
        <v>14</v>
      </c>
      <c r="D56" s="14">
        <v>1</v>
      </c>
      <c r="E56" s="279">
        <v>8000</v>
      </c>
      <c r="F56" s="279">
        <f t="shared" si="2"/>
        <v>8000</v>
      </c>
      <c r="G56" s="96">
        <v>2666.66</v>
      </c>
      <c r="H56" s="163"/>
      <c r="I56" s="163"/>
      <c r="J56" s="163"/>
      <c r="K56" s="163"/>
      <c r="L56" s="163"/>
      <c r="M56" s="373">
        <f t="shared" si="3"/>
        <v>0</v>
      </c>
      <c r="N56" s="163"/>
      <c r="O56" s="163"/>
      <c r="P56" s="163"/>
      <c r="Q56" s="163"/>
      <c r="R56" s="163"/>
      <c r="S56" s="163"/>
      <c r="T56" s="163"/>
      <c r="U56" s="163"/>
      <c r="V56" s="163"/>
      <c r="W56" s="163"/>
    </row>
    <row r="57" spans="1:23" s="176" customFormat="1" ht="22.5" customHeight="1" x14ac:dyDescent="0.25">
      <c r="A57" s="406">
        <v>45</v>
      </c>
      <c r="B57" s="350" t="s">
        <v>245</v>
      </c>
      <c r="C57" s="345" t="s">
        <v>14</v>
      </c>
      <c r="D57" s="14">
        <v>36</v>
      </c>
      <c r="E57" s="279">
        <v>800</v>
      </c>
      <c r="F57" s="279">
        <f t="shared" si="2"/>
        <v>28800</v>
      </c>
      <c r="G57" s="96">
        <v>0</v>
      </c>
      <c r="H57" s="163"/>
      <c r="I57" s="163"/>
      <c r="J57" s="163"/>
      <c r="K57" s="163"/>
      <c r="L57" s="163"/>
      <c r="M57" s="373">
        <f t="shared" si="3"/>
        <v>0</v>
      </c>
      <c r="N57" s="163"/>
      <c r="O57" s="163"/>
      <c r="P57" s="163"/>
      <c r="Q57" s="163"/>
      <c r="R57" s="163"/>
      <c r="S57" s="163"/>
      <c r="T57" s="163"/>
      <c r="U57" s="163"/>
      <c r="V57" s="163"/>
      <c r="W57" s="163"/>
    </row>
    <row r="58" spans="1:23" s="176" customFormat="1" x14ac:dyDescent="0.25">
      <c r="A58" s="406">
        <v>46</v>
      </c>
      <c r="B58" s="350" t="s">
        <v>247</v>
      </c>
      <c r="C58" s="345" t="s">
        <v>14</v>
      </c>
      <c r="D58" s="14">
        <v>2</v>
      </c>
      <c r="E58" s="279">
        <v>11456</v>
      </c>
      <c r="F58" s="279">
        <f t="shared" si="2"/>
        <v>22912</v>
      </c>
      <c r="G58" s="96">
        <v>12728.9</v>
      </c>
      <c r="H58" s="163"/>
      <c r="I58" s="163"/>
      <c r="J58" s="163"/>
      <c r="K58" s="163"/>
      <c r="L58" s="163"/>
      <c r="M58" s="373">
        <f t="shared" si="3"/>
        <v>0</v>
      </c>
      <c r="N58" s="163"/>
      <c r="O58" s="163"/>
      <c r="P58" s="163"/>
      <c r="Q58" s="163"/>
      <c r="R58" s="163"/>
      <c r="S58" s="163"/>
      <c r="T58" s="163"/>
      <c r="U58" s="163"/>
      <c r="V58" s="163"/>
      <c r="W58" s="163"/>
    </row>
    <row r="59" spans="1:23" s="176" customFormat="1" x14ac:dyDescent="0.25">
      <c r="A59" s="406">
        <v>47</v>
      </c>
      <c r="B59" s="350" t="s">
        <v>252</v>
      </c>
      <c r="C59" s="345" t="s">
        <v>14</v>
      </c>
      <c r="D59" s="14">
        <v>14</v>
      </c>
      <c r="E59" s="279">
        <v>4000</v>
      </c>
      <c r="F59" s="279">
        <f t="shared" si="2"/>
        <v>56000</v>
      </c>
      <c r="G59" s="280">
        <v>18666.759999999998</v>
      </c>
      <c r="H59" s="163"/>
      <c r="I59" s="163"/>
      <c r="J59" s="163"/>
      <c r="K59" s="163"/>
      <c r="L59" s="163"/>
      <c r="M59" s="373">
        <f t="shared" si="3"/>
        <v>0</v>
      </c>
      <c r="N59" s="163"/>
      <c r="O59" s="163"/>
      <c r="P59" s="163"/>
      <c r="Q59" s="163"/>
      <c r="R59" s="163"/>
      <c r="S59" s="163"/>
      <c r="T59" s="163"/>
      <c r="U59" s="163"/>
      <c r="V59" s="163"/>
      <c r="W59" s="163"/>
    </row>
    <row r="60" spans="1:23" s="176" customFormat="1" x14ac:dyDescent="0.25">
      <c r="A60" s="406">
        <v>48</v>
      </c>
      <c r="B60" s="350" t="s">
        <v>220</v>
      </c>
      <c r="C60" s="345" t="s">
        <v>14</v>
      </c>
      <c r="D60" s="14">
        <v>9</v>
      </c>
      <c r="E60" s="279">
        <v>9165</v>
      </c>
      <c r="F60" s="279">
        <f t="shared" si="2"/>
        <v>82485</v>
      </c>
      <c r="G60" s="280">
        <v>27495</v>
      </c>
      <c r="H60" s="163"/>
      <c r="I60" s="163"/>
      <c r="J60" s="163"/>
      <c r="K60" s="163"/>
      <c r="L60" s="163"/>
      <c r="M60" s="373">
        <f t="shared" si="3"/>
        <v>0</v>
      </c>
      <c r="N60" s="163"/>
      <c r="O60" s="163"/>
      <c r="P60" s="163"/>
      <c r="Q60" s="163"/>
      <c r="R60" s="163"/>
      <c r="S60" s="163"/>
      <c r="T60" s="163"/>
      <c r="U60" s="163"/>
      <c r="V60" s="163"/>
      <c r="W60" s="163"/>
    </row>
    <row r="61" spans="1:23" s="176" customFormat="1" x14ac:dyDescent="0.25">
      <c r="A61" s="406">
        <v>49</v>
      </c>
      <c r="B61" s="350" t="s">
        <v>255</v>
      </c>
      <c r="C61" s="345" t="s">
        <v>14</v>
      </c>
      <c r="D61" s="14">
        <v>1</v>
      </c>
      <c r="E61" s="279">
        <v>42770</v>
      </c>
      <c r="F61" s="279">
        <f t="shared" si="2"/>
        <v>42770</v>
      </c>
      <c r="G61" s="280">
        <v>0</v>
      </c>
      <c r="H61" s="163"/>
      <c r="I61" s="163"/>
      <c r="J61" s="163"/>
      <c r="K61" s="163"/>
      <c r="L61" s="163"/>
      <c r="M61" s="373">
        <f t="shared" si="3"/>
        <v>0</v>
      </c>
      <c r="N61" s="163"/>
      <c r="O61" s="163"/>
      <c r="P61" s="163"/>
      <c r="Q61" s="163"/>
      <c r="R61" s="163"/>
      <c r="S61" s="163"/>
      <c r="T61" s="163"/>
      <c r="U61" s="163"/>
      <c r="V61" s="163"/>
      <c r="W61" s="163"/>
    </row>
    <row r="62" spans="1:23" s="176" customFormat="1" ht="24" customHeight="1" x14ac:dyDescent="0.25">
      <c r="A62" s="406">
        <v>50</v>
      </c>
      <c r="B62" s="350" t="s">
        <v>256</v>
      </c>
      <c r="C62" s="345" t="s">
        <v>14</v>
      </c>
      <c r="D62" s="14">
        <v>9</v>
      </c>
      <c r="E62" s="279">
        <v>7000</v>
      </c>
      <c r="F62" s="279">
        <f t="shared" si="2"/>
        <v>63000</v>
      </c>
      <c r="G62" s="280">
        <v>21000.06</v>
      </c>
      <c r="H62" s="163"/>
      <c r="I62" s="163"/>
      <c r="J62" s="163"/>
      <c r="K62" s="163"/>
      <c r="L62" s="163"/>
      <c r="M62" s="373">
        <f t="shared" si="3"/>
        <v>0</v>
      </c>
      <c r="N62" s="163"/>
      <c r="O62" s="163"/>
      <c r="P62" s="163"/>
      <c r="Q62" s="163"/>
      <c r="R62" s="163"/>
      <c r="S62" s="163"/>
      <c r="T62" s="163"/>
      <c r="U62" s="163"/>
      <c r="V62" s="163"/>
      <c r="W62" s="163"/>
    </row>
    <row r="63" spans="1:23" s="176" customFormat="1" ht="24" customHeight="1" x14ac:dyDescent="0.25">
      <c r="A63" s="406">
        <v>51</v>
      </c>
      <c r="B63" s="350" t="s">
        <v>184</v>
      </c>
      <c r="C63" s="345" t="s">
        <v>14</v>
      </c>
      <c r="D63" s="14">
        <v>2</v>
      </c>
      <c r="E63" s="279">
        <v>2000</v>
      </c>
      <c r="F63" s="279">
        <f t="shared" si="2"/>
        <v>4000</v>
      </c>
      <c r="G63" s="280">
        <v>0</v>
      </c>
      <c r="H63" s="163"/>
      <c r="I63" s="163"/>
      <c r="J63" s="163"/>
      <c r="K63" s="163"/>
      <c r="L63" s="163"/>
      <c r="M63" s="373">
        <f t="shared" si="3"/>
        <v>0</v>
      </c>
      <c r="N63" s="163"/>
      <c r="O63" s="163"/>
      <c r="P63" s="163"/>
      <c r="Q63" s="163"/>
      <c r="R63" s="163"/>
      <c r="S63" s="163"/>
      <c r="T63" s="163"/>
      <c r="U63" s="163"/>
      <c r="V63" s="163"/>
      <c r="W63" s="163"/>
    </row>
    <row r="64" spans="1:23" s="176" customFormat="1" ht="24" customHeight="1" x14ac:dyDescent="0.25">
      <c r="A64" s="406">
        <v>52</v>
      </c>
      <c r="B64" s="350" t="s">
        <v>257</v>
      </c>
      <c r="C64" s="345" t="s">
        <v>14</v>
      </c>
      <c r="D64" s="14">
        <v>1</v>
      </c>
      <c r="E64" s="279">
        <v>4888</v>
      </c>
      <c r="F64" s="279">
        <f t="shared" si="2"/>
        <v>4888</v>
      </c>
      <c r="G64" s="96">
        <v>2444</v>
      </c>
      <c r="H64" s="163"/>
      <c r="I64" s="163"/>
      <c r="J64" s="163"/>
      <c r="K64" s="163"/>
      <c r="L64" s="163"/>
      <c r="M64" s="373">
        <f t="shared" si="3"/>
        <v>0</v>
      </c>
      <c r="N64" s="163"/>
      <c r="O64" s="163"/>
      <c r="P64" s="163"/>
      <c r="Q64" s="163"/>
      <c r="R64" s="163"/>
      <c r="S64" s="163"/>
      <c r="T64" s="163"/>
      <c r="U64" s="163"/>
      <c r="V64" s="163"/>
      <c r="W64" s="163"/>
    </row>
    <row r="65" spans="1:23" s="176" customFormat="1" ht="24" customHeight="1" x14ac:dyDescent="0.25">
      <c r="A65" s="406">
        <v>53</v>
      </c>
      <c r="B65" s="350" t="s">
        <v>257</v>
      </c>
      <c r="C65" s="345" t="s">
        <v>14</v>
      </c>
      <c r="D65" s="14">
        <v>1</v>
      </c>
      <c r="E65" s="279">
        <v>47201</v>
      </c>
      <c r="F65" s="279">
        <f t="shared" si="2"/>
        <v>47201</v>
      </c>
      <c r="G65" s="96">
        <v>23600.5</v>
      </c>
      <c r="H65" s="163"/>
      <c r="I65" s="163"/>
      <c r="J65" s="163"/>
      <c r="K65" s="163"/>
      <c r="L65" s="163"/>
      <c r="M65" s="373">
        <f t="shared" si="3"/>
        <v>0</v>
      </c>
      <c r="N65" s="163"/>
      <c r="O65" s="163"/>
      <c r="P65" s="163"/>
      <c r="Q65" s="163"/>
      <c r="R65" s="163"/>
      <c r="S65" s="163"/>
      <c r="T65" s="163"/>
      <c r="U65" s="163"/>
      <c r="V65" s="163"/>
      <c r="W65" s="163"/>
    </row>
    <row r="66" spans="1:23" s="176" customFormat="1" x14ac:dyDescent="0.25">
      <c r="A66" s="406">
        <v>54</v>
      </c>
      <c r="B66" s="350" t="s">
        <v>258</v>
      </c>
      <c r="C66" s="345" t="s">
        <v>14</v>
      </c>
      <c r="D66" s="14">
        <v>1</v>
      </c>
      <c r="E66" s="279">
        <v>40000</v>
      </c>
      <c r="F66" s="279">
        <f t="shared" si="2"/>
        <v>40000</v>
      </c>
      <c r="G66" s="96">
        <v>13333.34</v>
      </c>
      <c r="H66" s="163"/>
      <c r="I66" s="163"/>
      <c r="J66" s="163"/>
      <c r="K66" s="163"/>
      <c r="L66" s="163"/>
      <c r="M66" s="373">
        <f t="shared" si="3"/>
        <v>0</v>
      </c>
      <c r="N66" s="163"/>
      <c r="O66" s="163"/>
      <c r="P66" s="163"/>
      <c r="Q66" s="163"/>
      <c r="R66" s="163"/>
      <c r="S66" s="163"/>
      <c r="T66" s="163"/>
      <c r="U66" s="163"/>
      <c r="V66" s="163"/>
      <c r="W66" s="163"/>
    </row>
    <row r="67" spans="1:23" s="176" customFormat="1" x14ac:dyDescent="0.25">
      <c r="A67" s="406">
        <v>55</v>
      </c>
      <c r="B67" s="350" t="s">
        <v>259</v>
      </c>
      <c r="C67" s="345" t="s">
        <v>14</v>
      </c>
      <c r="D67" s="14">
        <v>2</v>
      </c>
      <c r="E67" s="279">
        <v>30000</v>
      </c>
      <c r="F67" s="279">
        <f t="shared" si="2"/>
        <v>60000</v>
      </c>
      <c r="G67" s="96">
        <v>20000</v>
      </c>
      <c r="H67" s="163"/>
      <c r="I67" s="163"/>
      <c r="J67" s="163"/>
      <c r="K67" s="163"/>
      <c r="L67" s="163"/>
      <c r="M67" s="373">
        <f t="shared" si="3"/>
        <v>0</v>
      </c>
      <c r="N67" s="163"/>
      <c r="O67" s="163"/>
      <c r="P67" s="163"/>
      <c r="Q67" s="163"/>
      <c r="R67" s="163"/>
      <c r="S67" s="163"/>
      <c r="T67" s="163"/>
      <c r="U67" s="163"/>
      <c r="V67" s="163"/>
      <c r="W67" s="163"/>
    </row>
    <row r="68" spans="1:23" s="176" customFormat="1" x14ac:dyDescent="0.25">
      <c r="A68" s="406">
        <v>56</v>
      </c>
      <c r="B68" s="350" t="s">
        <v>260</v>
      </c>
      <c r="C68" s="345" t="s">
        <v>14</v>
      </c>
      <c r="D68" s="14">
        <v>1</v>
      </c>
      <c r="E68" s="279">
        <v>20000</v>
      </c>
      <c r="F68" s="279">
        <f t="shared" si="2"/>
        <v>20000</v>
      </c>
      <c r="G68" s="96">
        <v>0</v>
      </c>
      <c r="H68" s="163"/>
      <c r="I68" s="163"/>
      <c r="J68" s="163"/>
      <c r="K68" s="163"/>
      <c r="L68" s="163"/>
      <c r="M68" s="373">
        <f t="shared" si="3"/>
        <v>0</v>
      </c>
      <c r="N68" s="163"/>
      <c r="O68" s="163"/>
      <c r="P68" s="163"/>
      <c r="Q68" s="163"/>
      <c r="R68" s="163"/>
      <c r="S68" s="163"/>
      <c r="T68" s="163"/>
      <c r="U68" s="163"/>
      <c r="V68" s="163"/>
      <c r="W68" s="163"/>
    </row>
    <row r="69" spans="1:23" s="176" customFormat="1" x14ac:dyDescent="0.25">
      <c r="A69" s="406">
        <v>57</v>
      </c>
      <c r="B69" s="350" t="s">
        <v>261</v>
      </c>
      <c r="C69" s="345" t="s">
        <v>14</v>
      </c>
      <c r="D69" s="14">
        <v>1</v>
      </c>
      <c r="E69" s="279">
        <v>35000</v>
      </c>
      <c r="F69" s="279">
        <f t="shared" si="2"/>
        <v>35000</v>
      </c>
      <c r="G69" s="96">
        <v>11666.67</v>
      </c>
      <c r="H69" s="163"/>
      <c r="I69" s="163"/>
      <c r="J69" s="163"/>
      <c r="K69" s="163"/>
      <c r="L69" s="163"/>
      <c r="M69" s="373">
        <f t="shared" si="3"/>
        <v>0</v>
      </c>
      <c r="N69" s="163"/>
      <c r="O69" s="163"/>
      <c r="P69" s="163"/>
      <c r="Q69" s="163"/>
      <c r="R69" s="163"/>
      <c r="S69" s="163"/>
      <c r="T69" s="163"/>
      <c r="U69" s="163"/>
      <c r="V69" s="163"/>
      <c r="W69" s="163"/>
    </row>
    <row r="70" spans="1:23" s="176" customFormat="1" x14ac:dyDescent="0.25">
      <c r="A70" s="406">
        <v>58</v>
      </c>
      <c r="B70" s="350" t="s">
        <v>262</v>
      </c>
      <c r="C70" s="345" t="s">
        <v>14</v>
      </c>
      <c r="D70" s="14">
        <v>3</v>
      </c>
      <c r="E70" s="279">
        <v>7128</v>
      </c>
      <c r="F70" s="279">
        <f t="shared" si="2"/>
        <v>21384</v>
      </c>
      <c r="G70" s="96">
        <v>12830.4</v>
      </c>
      <c r="H70" s="163"/>
      <c r="I70" s="163"/>
      <c r="J70" s="163"/>
      <c r="K70" s="163"/>
      <c r="L70" s="163"/>
      <c r="M70" s="373">
        <f t="shared" si="3"/>
        <v>0</v>
      </c>
      <c r="N70" s="163"/>
      <c r="O70" s="163"/>
      <c r="P70" s="163"/>
      <c r="Q70" s="163"/>
      <c r="R70" s="163"/>
      <c r="S70" s="163"/>
      <c r="T70" s="163"/>
      <c r="U70" s="163"/>
      <c r="V70" s="163"/>
      <c r="W70" s="163"/>
    </row>
    <row r="71" spans="1:23" s="176" customFormat="1" ht="22.5" customHeight="1" x14ac:dyDescent="0.25">
      <c r="A71" s="406">
        <v>59</v>
      </c>
      <c r="B71" s="350" t="s">
        <v>264</v>
      </c>
      <c r="C71" s="345" t="s">
        <v>14</v>
      </c>
      <c r="D71" s="14">
        <v>3</v>
      </c>
      <c r="E71" s="279">
        <v>1000</v>
      </c>
      <c r="F71" s="279">
        <f t="shared" si="2"/>
        <v>3000</v>
      </c>
      <c r="G71" s="96">
        <v>0</v>
      </c>
      <c r="H71" s="163"/>
      <c r="I71" s="163"/>
      <c r="J71" s="163"/>
      <c r="K71" s="163"/>
      <c r="L71" s="163"/>
      <c r="M71" s="373">
        <f t="shared" si="3"/>
        <v>0</v>
      </c>
      <c r="N71" s="163"/>
      <c r="O71" s="163"/>
      <c r="P71" s="163"/>
      <c r="Q71" s="163"/>
      <c r="R71" s="163"/>
      <c r="S71" s="163"/>
      <c r="T71" s="163"/>
      <c r="U71" s="163"/>
      <c r="V71" s="163"/>
      <c r="W71" s="163"/>
    </row>
    <row r="72" spans="1:23" s="176" customFormat="1" x14ac:dyDescent="0.25">
      <c r="A72" s="406">
        <v>60</v>
      </c>
      <c r="B72" s="350" t="s">
        <v>266</v>
      </c>
      <c r="C72" s="345" t="s">
        <v>14</v>
      </c>
      <c r="D72" s="14">
        <v>1</v>
      </c>
      <c r="E72" s="279">
        <v>5000</v>
      </c>
      <c r="F72" s="279">
        <f t="shared" si="2"/>
        <v>5000</v>
      </c>
      <c r="G72" s="96">
        <v>1666.66</v>
      </c>
      <c r="H72" s="163"/>
      <c r="I72" s="163"/>
      <c r="J72" s="163"/>
      <c r="K72" s="163"/>
      <c r="L72" s="163"/>
      <c r="M72" s="373">
        <f t="shared" si="3"/>
        <v>0</v>
      </c>
      <c r="N72" s="163"/>
      <c r="O72" s="163"/>
      <c r="P72" s="163"/>
      <c r="Q72" s="163"/>
      <c r="R72" s="163"/>
      <c r="S72" s="163"/>
      <c r="T72" s="163"/>
      <c r="U72" s="163"/>
      <c r="V72" s="163"/>
      <c r="W72" s="373"/>
    </row>
    <row r="73" spans="1:23" s="176" customFormat="1" x14ac:dyDescent="0.25">
      <c r="A73" s="406">
        <v>61</v>
      </c>
      <c r="B73" s="350" t="s">
        <v>268</v>
      </c>
      <c r="C73" s="345" t="s">
        <v>14</v>
      </c>
      <c r="D73" s="14">
        <v>1</v>
      </c>
      <c r="E73" s="279">
        <v>3000</v>
      </c>
      <c r="F73" s="279">
        <f t="shared" ref="F73:F110" si="4">D73*E73</f>
        <v>3000</v>
      </c>
      <c r="G73" s="96">
        <v>0</v>
      </c>
      <c r="H73" s="163"/>
      <c r="I73" s="163"/>
      <c r="J73" s="163"/>
      <c r="K73" s="163"/>
      <c r="L73" s="163"/>
      <c r="M73" s="373">
        <f t="shared" ref="M73:M110" si="5">L73*E73</f>
        <v>0</v>
      </c>
      <c r="N73" s="163"/>
      <c r="O73" s="163"/>
      <c r="P73" s="163"/>
      <c r="Q73" s="163"/>
      <c r="R73" s="163"/>
      <c r="S73" s="163"/>
      <c r="T73" s="163"/>
      <c r="U73" s="163"/>
      <c r="V73" s="163"/>
      <c r="W73" s="373"/>
    </row>
    <row r="74" spans="1:23" s="176" customFormat="1" x14ac:dyDescent="0.25">
      <c r="A74" s="406">
        <v>62</v>
      </c>
      <c r="B74" s="350" t="s">
        <v>270</v>
      </c>
      <c r="C74" s="345" t="s">
        <v>14</v>
      </c>
      <c r="D74" s="14">
        <v>1</v>
      </c>
      <c r="E74" s="279">
        <v>3000</v>
      </c>
      <c r="F74" s="279">
        <f t="shared" si="4"/>
        <v>3000</v>
      </c>
      <c r="G74" s="96">
        <v>0</v>
      </c>
      <c r="H74" s="163"/>
      <c r="I74" s="163"/>
      <c r="J74" s="163"/>
      <c r="K74" s="163"/>
      <c r="L74" s="163"/>
      <c r="M74" s="373">
        <f t="shared" si="5"/>
        <v>0</v>
      </c>
      <c r="N74" s="163"/>
      <c r="O74" s="163"/>
      <c r="P74" s="163"/>
      <c r="Q74" s="163"/>
      <c r="R74" s="163"/>
      <c r="S74" s="163"/>
      <c r="T74" s="163"/>
      <c r="U74" s="163"/>
      <c r="V74" s="163"/>
      <c r="W74" s="163"/>
    </row>
    <row r="75" spans="1:23" s="176" customFormat="1" ht="24" customHeight="1" x14ac:dyDescent="0.25">
      <c r="A75" s="406">
        <v>63</v>
      </c>
      <c r="B75" s="350" t="s">
        <v>114</v>
      </c>
      <c r="C75" s="345" t="s">
        <v>14</v>
      </c>
      <c r="D75" s="14">
        <v>2</v>
      </c>
      <c r="E75" s="279">
        <v>3000</v>
      </c>
      <c r="F75" s="279">
        <f t="shared" si="4"/>
        <v>6000</v>
      </c>
      <c r="G75" s="96">
        <v>0</v>
      </c>
      <c r="H75" s="163"/>
      <c r="I75" s="163"/>
      <c r="J75" s="163"/>
      <c r="K75" s="163"/>
      <c r="L75" s="163"/>
      <c r="M75" s="373">
        <f t="shared" si="5"/>
        <v>0</v>
      </c>
      <c r="N75" s="163"/>
      <c r="O75" s="163"/>
      <c r="P75" s="163"/>
      <c r="Q75" s="163"/>
      <c r="R75" s="163"/>
      <c r="S75" s="163"/>
      <c r="T75" s="163"/>
      <c r="U75" s="163"/>
      <c r="V75" s="163"/>
      <c r="W75" s="163"/>
    </row>
    <row r="76" spans="1:23" s="176" customFormat="1" ht="24" customHeight="1" x14ac:dyDescent="0.25">
      <c r="A76" s="406">
        <v>64</v>
      </c>
      <c r="B76" s="350" t="s">
        <v>272</v>
      </c>
      <c r="C76" s="345" t="s">
        <v>14</v>
      </c>
      <c r="D76" s="14">
        <v>1</v>
      </c>
      <c r="E76" s="279">
        <v>5000</v>
      </c>
      <c r="F76" s="279">
        <f t="shared" si="4"/>
        <v>5000</v>
      </c>
      <c r="G76" s="96">
        <v>1666.66</v>
      </c>
      <c r="H76" s="163"/>
      <c r="I76" s="163"/>
      <c r="J76" s="163"/>
      <c r="K76" s="163"/>
      <c r="L76" s="163"/>
      <c r="M76" s="373">
        <f t="shared" si="5"/>
        <v>0</v>
      </c>
      <c r="N76" s="163"/>
      <c r="O76" s="163"/>
      <c r="P76" s="163"/>
      <c r="Q76" s="163"/>
      <c r="R76" s="163"/>
      <c r="S76" s="163"/>
      <c r="T76" s="163"/>
      <c r="U76" s="163"/>
      <c r="V76" s="163"/>
      <c r="W76" s="163"/>
    </row>
    <row r="77" spans="1:23" s="176" customFormat="1" ht="24" customHeight="1" x14ac:dyDescent="0.25">
      <c r="A77" s="406">
        <v>65</v>
      </c>
      <c r="B77" s="350" t="s">
        <v>273</v>
      </c>
      <c r="C77" s="345" t="s">
        <v>14</v>
      </c>
      <c r="D77" s="14">
        <v>1</v>
      </c>
      <c r="E77" s="279">
        <v>3000</v>
      </c>
      <c r="F77" s="279">
        <f t="shared" si="4"/>
        <v>3000</v>
      </c>
      <c r="G77" s="96">
        <v>0</v>
      </c>
      <c r="H77" s="163"/>
      <c r="I77" s="163"/>
      <c r="J77" s="163"/>
      <c r="K77" s="163"/>
      <c r="L77" s="163"/>
      <c r="M77" s="373">
        <f t="shared" si="5"/>
        <v>0</v>
      </c>
      <c r="N77" s="163"/>
      <c r="O77" s="163"/>
      <c r="P77" s="163"/>
      <c r="Q77" s="163"/>
      <c r="R77" s="163"/>
      <c r="S77" s="163"/>
      <c r="T77" s="163"/>
      <c r="U77" s="163"/>
      <c r="V77" s="163"/>
      <c r="W77" s="163"/>
    </row>
    <row r="78" spans="1:23" s="176" customFormat="1" x14ac:dyDescent="0.25">
      <c r="A78" s="406">
        <v>66</v>
      </c>
      <c r="B78" s="350" t="s">
        <v>274</v>
      </c>
      <c r="C78" s="345" t="s">
        <v>14</v>
      </c>
      <c r="D78" s="14">
        <v>1</v>
      </c>
      <c r="E78" s="279">
        <v>3000</v>
      </c>
      <c r="F78" s="279">
        <f t="shared" si="4"/>
        <v>3000</v>
      </c>
      <c r="G78" s="96">
        <v>0</v>
      </c>
      <c r="H78" s="163"/>
      <c r="I78" s="163"/>
      <c r="J78" s="163"/>
      <c r="K78" s="163"/>
      <c r="L78" s="163"/>
      <c r="M78" s="373">
        <f t="shared" si="5"/>
        <v>0</v>
      </c>
      <c r="N78" s="163"/>
      <c r="O78" s="163"/>
      <c r="P78" s="163"/>
      <c r="Q78" s="163"/>
      <c r="R78" s="163"/>
      <c r="S78" s="163"/>
      <c r="T78" s="163"/>
      <c r="U78" s="163"/>
      <c r="V78" s="163"/>
      <c r="W78" s="163"/>
    </row>
    <row r="79" spans="1:23" s="176" customFormat="1" ht="22.5" customHeight="1" x14ac:dyDescent="0.25">
      <c r="A79" s="406">
        <v>67</v>
      </c>
      <c r="B79" s="350" t="s">
        <v>275</v>
      </c>
      <c r="C79" s="345" t="s">
        <v>14</v>
      </c>
      <c r="D79" s="14">
        <v>2</v>
      </c>
      <c r="E79" s="279">
        <v>2000</v>
      </c>
      <c r="F79" s="279">
        <f t="shared" si="4"/>
        <v>4000</v>
      </c>
      <c r="G79" s="96">
        <v>0</v>
      </c>
      <c r="H79" s="163"/>
      <c r="I79" s="163"/>
      <c r="J79" s="163"/>
      <c r="K79" s="163"/>
      <c r="L79" s="163"/>
      <c r="M79" s="373">
        <f t="shared" si="5"/>
        <v>0</v>
      </c>
      <c r="N79" s="163"/>
      <c r="O79" s="163"/>
      <c r="P79" s="163"/>
      <c r="Q79" s="163"/>
      <c r="R79" s="163"/>
      <c r="S79" s="163"/>
      <c r="T79" s="163"/>
      <c r="U79" s="163"/>
      <c r="V79" s="163"/>
      <c r="W79" s="163"/>
    </row>
    <row r="80" spans="1:23" s="176" customFormat="1" x14ac:dyDescent="0.25">
      <c r="A80" s="406">
        <v>68</v>
      </c>
      <c r="B80" s="350" t="s">
        <v>276</v>
      </c>
      <c r="C80" s="345" t="s">
        <v>14</v>
      </c>
      <c r="D80" s="14">
        <v>1</v>
      </c>
      <c r="E80" s="279">
        <v>29786</v>
      </c>
      <c r="F80" s="279">
        <f t="shared" si="4"/>
        <v>29786</v>
      </c>
      <c r="G80" s="96">
        <v>20621.080000000002</v>
      </c>
      <c r="H80" s="163"/>
      <c r="I80" s="163"/>
      <c r="J80" s="163"/>
      <c r="K80" s="163"/>
      <c r="L80" s="163"/>
      <c r="M80" s="373">
        <f t="shared" si="5"/>
        <v>0</v>
      </c>
      <c r="N80" s="163"/>
      <c r="O80" s="163"/>
      <c r="P80" s="163"/>
      <c r="Q80" s="163"/>
      <c r="R80" s="163"/>
      <c r="S80" s="163"/>
      <c r="T80" s="163"/>
      <c r="U80" s="163"/>
      <c r="V80" s="163"/>
      <c r="W80" s="163"/>
    </row>
    <row r="81" spans="1:23" s="176" customFormat="1" ht="24" customHeight="1" x14ac:dyDescent="0.25">
      <c r="A81" s="406">
        <v>69</v>
      </c>
      <c r="B81" s="350" t="s">
        <v>279</v>
      </c>
      <c r="C81" s="345" t="s">
        <v>14</v>
      </c>
      <c r="D81" s="14">
        <v>1</v>
      </c>
      <c r="E81" s="279">
        <v>8000</v>
      </c>
      <c r="F81" s="279">
        <f t="shared" si="4"/>
        <v>8000</v>
      </c>
      <c r="G81" s="96">
        <v>2666.66</v>
      </c>
      <c r="H81" s="163"/>
      <c r="I81" s="163"/>
      <c r="J81" s="163"/>
      <c r="K81" s="163"/>
      <c r="L81" s="163"/>
      <c r="M81" s="373">
        <f t="shared" si="5"/>
        <v>0</v>
      </c>
      <c r="N81" s="163"/>
      <c r="O81" s="163"/>
      <c r="P81" s="163"/>
      <c r="Q81" s="163"/>
      <c r="R81" s="163"/>
      <c r="S81" s="163"/>
      <c r="T81" s="163"/>
      <c r="U81" s="163"/>
      <c r="V81" s="163"/>
      <c r="W81" s="163"/>
    </row>
    <row r="82" spans="1:23" s="176" customFormat="1" ht="24" customHeight="1" x14ac:dyDescent="0.25">
      <c r="A82" s="406">
        <v>70</v>
      </c>
      <c r="B82" s="350" t="s">
        <v>279</v>
      </c>
      <c r="C82" s="345" t="s">
        <v>14</v>
      </c>
      <c r="D82" s="14">
        <v>1</v>
      </c>
      <c r="E82" s="279">
        <v>99899</v>
      </c>
      <c r="F82" s="279">
        <f t="shared" si="4"/>
        <v>99899</v>
      </c>
      <c r="G82" s="96">
        <v>59939.4</v>
      </c>
      <c r="H82" s="163"/>
      <c r="I82" s="163"/>
      <c r="J82" s="163"/>
      <c r="K82" s="163"/>
      <c r="L82" s="163"/>
      <c r="M82" s="373">
        <f t="shared" si="5"/>
        <v>0</v>
      </c>
      <c r="N82" s="163"/>
      <c r="O82" s="163"/>
      <c r="P82" s="163"/>
      <c r="Q82" s="163"/>
      <c r="R82" s="163"/>
      <c r="S82" s="163"/>
      <c r="T82" s="163"/>
      <c r="U82" s="163"/>
      <c r="V82" s="163"/>
      <c r="W82" s="163"/>
    </row>
    <row r="83" spans="1:23" s="176" customFormat="1" ht="24" customHeight="1" x14ac:dyDescent="0.25">
      <c r="A83" s="406">
        <v>71</v>
      </c>
      <c r="B83" s="350" t="s">
        <v>144</v>
      </c>
      <c r="C83" s="345" t="s">
        <v>14</v>
      </c>
      <c r="D83" s="14">
        <v>1</v>
      </c>
      <c r="E83" s="279">
        <v>9000</v>
      </c>
      <c r="F83" s="279">
        <f t="shared" si="4"/>
        <v>9000</v>
      </c>
      <c r="G83" s="96">
        <v>0</v>
      </c>
      <c r="H83" s="163"/>
      <c r="I83" s="163"/>
      <c r="J83" s="163"/>
      <c r="K83" s="163"/>
      <c r="L83" s="163"/>
      <c r="M83" s="373">
        <f t="shared" si="5"/>
        <v>0</v>
      </c>
      <c r="N83" s="163"/>
      <c r="O83" s="163"/>
      <c r="P83" s="163"/>
      <c r="Q83" s="163"/>
      <c r="R83" s="163"/>
      <c r="S83" s="163"/>
      <c r="T83" s="163"/>
      <c r="U83" s="163"/>
      <c r="V83" s="163"/>
      <c r="W83" s="163"/>
    </row>
    <row r="84" spans="1:23" s="176" customFormat="1" ht="24" customHeight="1" x14ac:dyDescent="0.25">
      <c r="A84" s="406">
        <v>72</v>
      </c>
      <c r="B84" s="350" t="s">
        <v>282</v>
      </c>
      <c r="C84" s="345" t="s">
        <v>14</v>
      </c>
      <c r="D84" s="14">
        <v>1</v>
      </c>
      <c r="E84" s="279">
        <v>7000</v>
      </c>
      <c r="F84" s="279">
        <f t="shared" si="4"/>
        <v>7000</v>
      </c>
      <c r="G84" s="96">
        <v>0</v>
      </c>
      <c r="H84" s="163"/>
      <c r="I84" s="163"/>
      <c r="J84" s="163"/>
      <c r="K84" s="163"/>
      <c r="L84" s="163"/>
      <c r="M84" s="373">
        <f t="shared" si="5"/>
        <v>0</v>
      </c>
      <c r="N84" s="163"/>
      <c r="O84" s="163"/>
      <c r="P84" s="163"/>
      <c r="Q84" s="163"/>
      <c r="R84" s="163"/>
      <c r="S84" s="163"/>
      <c r="T84" s="163"/>
      <c r="U84" s="163"/>
      <c r="V84" s="163"/>
      <c r="W84" s="163"/>
    </row>
    <row r="85" spans="1:23" s="176" customFormat="1" ht="24" customHeight="1" x14ac:dyDescent="0.25">
      <c r="A85" s="406">
        <v>73</v>
      </c>
      <c r="B85" s="350" t="s">
        <v>283</v>
      </c>
      <c r="C85" s="345" t="s">
        <v>14</v>
      </c>
      <c r="D85" s="14">
        <v>1</v>
      </c>
      <c r="E85" s="279">
        <v>3000</v>
      </c>
      <c r="F85" s="279">
        <f t="shared" si="4"/>
        <v>3000</v>
      </c>
      <c r="G85" s="96">
        <v>0</v>
      </c>
      <c r="H85" s="163"/>
      <c r="I85" s="163"/>
      <c r="J85" s="163"/>
      <c r="K85" s="163"/>
      <c r="L85" s="163"/>
      <c r="M85" s="373">
        <f t="shared" si="5"/>
        <v>0</v>
      </c>
      <c r="N85" s="163"/>
      <c r="O85" s="163"/>
      <c r="P85" s="163"/>
      <c r="Q85" s="163"/>
      <c r="R85" s="163"/>
      <c r="S85" s="163"/>
      <c r="T85" s="163"/>
      <c r="U85" s="163"/>
      <c r="V85" s="163"/>
      <c r="W85" s="163"/>
    </row>
    <row r="86" spans="1:23" s="176" customFormat="1" x14ac:dyDescent="0.25">
      <c r="A86" s="406">
        <v>74</v>
      </c>
      <c r="B86" s="350" t="s">
        <v>284</v>
      </c>
      <c r="C86" s="345" t="s">
        <v>14</v>
      </c>
      <c r="D86" s="14">
        <v>16</v>
      </c>
      <c r="E86" s="279">
        <v>2000</v>
      </c>
      <c r="F86" s="279">
        <f t="shared" si="4"/>
        <v>32000</v>
      </c>
      <c r="G86" s="280">
        <v>19200</v>
      </c>
      <c r="H86" s="163"/>
      <c r="I86" s="163"/>
      <c r="J86" s="163"/>
      <c r="K86" s="163"/>
      <c r="L86" s="163"/>
      <c r="M86" s="373">
        <f t="shared" si="5"/>
        <v>0</v>
      </c>
      <c r="N86" s="163"/>
      <c r="O86" s="163"/>
      <c r="P86" s="163"/>
      <c r="Q86" s="163"/>
      <c r="R86" s="163"/>
      <c r="S86" s="163"/>
      <c r="T86" s="163"/>
      <c r="U86" s="163"/>
      <c r="V86" s="163"/>
      <c r="W86" s="163"/>
    </row>
    <row r="87" spans="1:23" s="375" customFormat="1" ht="24" customHeight="1" x14ac:dyDescent="0.25">
      <c r="A87" s="406">
        <v>75</v>
      </c>
      <c r="B87" s="351" t="s">
        <v>285</v>
      </c>
      <c r="C87" s="290" t="s">
        <v>14</v>
      </c>
      <c r="D87" s="40">
        <v>10</v>
      </c>
      <c r="E87" s="279">
        <v>1502</v>
      </c>
      <c r="F87" s="279">
        <f t="shared" si="4"/>
        <v>15020</v>
      </c>
      <c r="G87" s="205">
        <v>0</v>
      </c>
      <c r="H87" s="153"/>
      <c r="I87" s="153"/>
      <c r="J87" s="153"/>
      <c r="K87" s="153"/>
      <c r="L87" s="163"/>
      <c r="M87" s="373">
        <f t="shared" si="5"/>
        <v>0</v>
      </c>
      <c r="N87" s="153"/>
      <c r="O87" s="153"/>
      <c r="P87" s="153"/>
      <c r="Q87" s="153"/>
      <c r="R87" s="153"/>
      <c r="S87" s="153"/>
      <c r="T87" s="153"/>
      <c r="U87" s="153"/>
      <c r="V87" s="153"/>
      <c r="W87" s="153"/>
    </row>
    <row r="88" spans="1:23" s="176" customFormat="1" ht="24" customHeight="1" x14ac:dyDescent="0.25">
      <c r="A88" s="406">
        <v>76</v>
      </c>
      <c r="B88" s="350" t="s">
        <v>286</v>
      </c>
      <c r="C88" s="345" t="s">
        <v>14</v>
      </c>
      <c r="D88" s="14">
        <v>1</v>
      </c>
      <c r="E88" s="279">
        <v>10000</v>
      </c>
      <c r="F88" s="279">
        <f t="shared" si="4"/>
        <v>10000</v>
      </c>
      <c r="G88" s="280">
        <v>0</v>
      </c>
      <c r="H88" s="163"/>
      <c r="I88" s="163"/>
      <c r="J88" s="163"/>
      <c r="K88" s="163"/>
      <c r="L88" s="163"/>
      <c r="M88" s="373">
        <f t="shared" si="5"/>
        <v>0</v>
      </c>
      <c r="N88" s="163"/>
      <c r="O88" s="163"/>
      <c r="P88" s="163"/>
      <c r="Q88" s="163"/>
      <c r="R88" s="163"/>
      <c r="S88" s="163"/>
      <c r="T88" s="163"/>
      <c r="U88" s="163"/>
      <c r="V88" s="163"/>
      <c r="W88" s="163"/>
    </row>
    <row r="89" spans="1:23" s="176" customFormat="1" x14ac:dyDescent="0.25">
      <c r="A89" s="406">
        <v>77</v>
      </c>
      <c r="B89" s="350" t="s">
        <v>288</v>
      </c>
      <c r="C89" s="345" t="s">
        <v>14</v>
      </c>
      <c r="D89" s="14">
        <v>1</v>
      </c>
      <c r="E89" s="279">
        <v>9484</v>
      </c>
      <c r="F89" s="279">
        <f t="shared" si="4"/>
        <v>9484</v>
      </c>
      <c r="G89" s="96">
        <v>1896.8</v>
      </c>
      <c r="H89" s="163"/>
      <c r="I89" s="163"/>
      <c r="J89" s="163"/>
      <c r="K89" s="163"/>
      <c r="L89" s="163"/>
      <c r="M89" s="373">
        <f t="shared" si="5"/>
        <v>0</v>
      </c>
      <c r="N89" s="163"/>
      <c r="O89" s="163"/>
      <c r="P89" s="163"/>
      <c r="Q89" s="163"/>
      <c r="R89" s="163"/>
      <c r="S89" s="163"/>
      <c r="T89" s="163"/>
      <c r="U89" s="163"/>
      <c r="V89" s="163"/>
      <c r="W89" s="163"/>
    </row>
    <row r="90" spans="1:23" s="176" customFormat="1" ht="24" customHeight="1" x14ac:dyDescent="0.25">
      <c r="A90" s="406">
        <v>78</v>
      </c>
      <c r="B90" s="350" t="s">
        <v>289</v>
      </c>
      <c r="C90" s="345" t="s">
        <v>14</v>
      </c>
      <c r="D90" s="14">
        <v>1</v>
      </c>
      <c r="E90" s="279">
        <v>4000</v>
      </c>
      <c r="F90" s="279">
        <f t="shared" si="4"/>
        <v>4000</v>
      </c>
      <c r="G90" s="280">
        <v>0</v>
      </c>
      <c r="H90" s="163"/>
      <c r="I90" s="163"/>
      <c r="J90" s="163"/>
      <c r="K90" s="163"/>
      <c r="L90" s="163"/>
      <c r="M90" s="373">
        <f t="shared" si="5"/>
        <v>0</v>
      </c>
      <c r="N90" s="163"/>
      <c r="O90" s="163"/>
      <c r="P90" s="163"/>
      <c r="Q90" s="163"/>
      <c r="R90" s="163"/>
      <c r="S90" s="163"/>
      <c r="T90" s="163"/>
      <c r="U90" s="163"/>
      <c r="V90" s="163"/>
      <c r="W90" s="163"/>
    </row>
    <row r="91" spans="1:23" s="176" customFormat="1" ht="24" customHeight="1" x14ac:dyDescent="0.25">
      <c r="A91" s="406">
        <v>79</v>
      </c>
      <c r="B91" s="350" t="s">
        <v>290</v>
      </c>
      <c r="C91" s="345" t="s">
        <v>14</v>
      </c>
      <c r="D91" s="14">
        <v>1</v>
      </c>
      <c r="E91" s="279">
        <v>2500</v>
      </c>
      <c r="F91" s="279">
        <f t="shared" si="4"/>
        <v>2500</v>
      </c>
      <c r="G91" s="280">
        <v>0</v>
      </c>
      <c r="H91" s="163"/>
      <c r="I91" s="163"/>
      <c r="J91" s="163"/>
      <c r="K91" s="163"/>
      <c r="L91" s="163"/>
      <c r="M91" s="373">
        <f t="shared" si="5"/>
        <v>0</v>
      </c>
      <c r="N91" s="163"/>
      <c r="O91" s="163"/>
      <c r="P91" s="163"/>
      <c r="Q91" s="163"/>
      <c r="R91" s="163"/>
      <c r="S91" s="163"/>
      <c r="T91" s="163"/>
      <c r="U91" s="163"/>
      <c r="V91" s="163"/>
      <c r="W91" s="163"/>
    </row>
    <row r="92" spans="1:23" s="176" customFormat="1" x14ac:dyDescent="0.25">
      <c r="A92" s="406">
        <v>80</v>
      </c>
      <c r="B92" s="350" t="s">
        <v>291</v>
      </c>
      <c r="C92" s="345" t="s">
        <v>14</v>
      </c>
      <c r="D92" s="14">
        <v>1</v>
      </c>
      <c r="E92" s="279">
        <v>2000</v>
      </c>
      <c r="F92" s="279">
        <f t="shared" si="4"/>
        <v>2000</v>
      </c>
      <c r="G92" s="280">
        <v>0</v>
      </c>
      <c r="H92" s="163"/>
      <c r="I92" s="163"/>
      <c r="J92" s="163"/>
      <c r="K92" s="163"/>
      <c r="L92" s="163"/>
      <c r="M92" s="373">
        <f t="shared" si="5"/>
        <v>0</v>
      </c>
      <c r="N92" s="163"/>
      <c r="O92" s="163"/>
      <c r="P92" s="163"/>
      <c r="Q92" s="163"/>
      <c r="R92" s="163"/>
      <c r="S92" s="163"/>
      <c r="T92" s="163"/>
      <c r="U92" s="163"/>
      <c r="V92" s="163"/>
      <c r="W92" s="163"/>
    </row>
    <row r="93" spans="1:23" s="176" customFormat="1" ht="24" customHeight="1" x14ac:dyDescent="0.25">
      <c r="A93" s="406">
        <v>81</v>
      </c>
      <c r="B93" s="350" t="s">
        <v>292</v>
      </c>
      <c r="C93" s="345" t="s">
        <v>14</v>
      </c>
      <c r="D93" s="14">
        <v>2</v>
      </c>
      <c r="E93" s="279">
        <v>22648</v>
      </c>
      <c r="F93" s="279">
        <f t="shared" si="4"/>
        <v>45296</v>
      </c>
      <c r="G93" s="280">
        <v>33972</v>
      </c>
      <c r="H93" s="163"/>
      <c r="I93" s="163"/>
      <c r="J93" s="163"/>
      <c r="K93" s="163"/>
      <c r="L93" s="163"/>
      <c r="M93" s="373">
        <f t="shared" si="5"/>
        <v>0</v>
      </c>
      <c r="N93" s="163"/>
      <c r="O93" s="163"/>
      <c r="P93" s="163"/>
      <c r="Q93" s="163"/>
      <c r="R93" s="163"/>
      <c r="S93" s="163"/>
      <c r="T93" s="163"/>
      <c r="U93" s="163"/>
      <c r="V93" s="163"/>
      <c r="W93" s="163"/>
    </row>
    <row r="94" spans="1:23" s="176" customFormat="1" ht="24" customHeight="1" x14ac:dyDescent="0.25">
      <c r="A94" s="406">
        <v>82</v>
      </c>
      <c r="B94" s="350" t="s">
        <v>294</v>
      </c>
      <c r="C94" s="345" t="s">
        <v>14</v>
      </c>
      <c r="D94" s="14">
        <v>1</v>
      </c>
      <c r="E94" s="279">
        <v>1500</v>
      </c>
      <c r="F94" s="279">
        <f t="shared" si="4"/>
        <v>1500</v>
      </c>
      <c r="G94" s="280">
        <v>0</v>
      </c>
      <c r="H94" s="163"/>
      <c r="I94" s="163"/>
      <c r="J94" s="163"/>
      <c r="K94" s="163"/>
      <c r="L94" s="163"/>
      <c r="M94" s="373">
        <f t="shared" si="5"/>
        <v>0</v>
      </c>
      <c r="N94" s="163"/>
      <c r="O94" s="163"/>
      <c r="P94" s="163"/>
      <c r="Q94" s="163"/>
      <c r="R94" s="163"/>
      <c r="S94" s="163"/>
      <c r="T94" s="163"/>
      <c r="U94" s="163"/>
      <c r="V94" s="163"/>
      <c r="W94" s="163"/>
    </row>
    <row r="95" spans="1:23" s="176" customFormat="1" ht="24" customHeight="1" x14ac:dyDescent="0.25">
      <c r="A95" s="406">
        <v>83</v>
      </c>
      <c r="B95" s="350" t="s">
        <v>295</v>
      </c>
      <c r="C95" s="345" t="s">
        <v>14</v>
      </c>
      <c r="D95" s="14">
        <v>1</v>
      </c>
      <c r="E95" s="279">
        <v>2000</v>
      </c>
      <c r="F95" s="279">
        <f t="shared" si="4"/>
        <v>2000</v>
      </c>
      <c r="G95" s="280">
        <v>0</v>
      </c>
      <c r="H95" s="163"/>
      <c r="I95" s="163"/>
      <c r="J95" s="163"/>
      <c r="K95" s="163"/>
      <c r="L95" s="163"/>
      <c r="M95" s="373">
        <f t="shared" si="5"/>
        <v>0</v>
      </c>
      <c r="N95" s="163"/>
      <c r="O95" s="163"/>
      <c r="P95" s="163"/>
      <c r="Q95" s="163"/>
      <c r="R95" s="163"/>
      <c r="S95" s="163"/>
      <c r="T95" s="163"/>
      <c r="U95" s="163"/>
      <c r="V95" s="163"/>
      <c r="W95" s="163"/>
    </row>
    <row r="96" spans="1:23" s="176" customFormat="1" ht="24" customHeight="1" x14ac:dyDescent="0.25">
      <c r="A96" s="406">
        <v>84</v>
      </c>
      <c r="B96" s="350" t="s">
        <v>296</v>
      </c>
      <c r="C96" s="345" t="s">
        <v>14</v>
      </c>
      <c r="D96" s="14">
        <v>3</v>
      </c>
      <c r="E96" s="279">
        <v>500</v>
      </c>
      <c r="F96" s="279">
        <f t="shared" si="4"/>
        <v>1500</v>
      </c>
      <c r="G96" s="280">
        <v>0</v>
      </c>
      <c r="H96" s="163"/>
      <c r="I96" s="163"/>
      <c r="J96" s="163"/>
      <c r="K96" s="163"/>
      <c r="L96" s="163"/>
      <c r="M96" s="373">
        <f t="shared" si="5"/>
        <v>0</v>
      </c>
      <c r="N96" s="163"/>
      <c r="O96" s="163"/>
      <c r="P96" s="163"/>
      <c r="Q96" s="163"/>
      <c r="R96" s="163"/>
      <c r="S96" s="163"/>
      <c r="T96" s="163"/>
      <c r="U96" s="163"/>
      <c r="V96" s="163"/>
      <c r="W96" s="163"/>
    </row>
    <row r="97" spans="1:23" s="176" customFormat="1" ht="24" customHeight="1" x14ac:dyDescent="0.25">
      <c r="A97" s="406">
        <v>85</v>
      </c>
      <c r="B97" s="350" t="s">
        <v>297</v>
      </c>
      <c r="C97" s="345" t="s">
        <v>14</v>
      </c>
      <c r="D97" s="14">
        <v>2</v>
      </c>
      <c r="E97" s="279">
        <v>8554</v>
      </c>
      <c r="F97" s="279">
        <f t="shared" si="4"/>
        <v>17108</v>
      </c>
      <c r="G97" s="280">
        <v>5702.68</v>
      </c>
      <c r="H97" s="163"/>
      <c r="I97" s="163"/>
      <c r="J97" s="163"/>
      <c r="K97" s="163"/>
      <c r="L97" s="163"/>
      <c r="M97" s="373">
        <f t="shared" si="5"/>
        <v>0</v>
      </c>
      <c r="N97" s="163"/>
      <c r="O97" s="163"/>
      <c r="P97" s="163"/>
      <c r="Q97" s="163"/>
      <c r="R97" s="163"/>
      <c r="S97" s="163"/>
      <c r="T97" s="163"/>
      <c r="U97" s="163"/>
      <c r="V97" s="163"/>
      <c r="W97" s="163"/>
    </row>
    <row r="98" spans="1:23" s="176" customFormat="1" ht="24" customHeight="1" x14ac:dyDescent="0.25">
      <c r="A98" s="406">
        <v>86</v>
      </c>
      <c r="B98" s="350" t="s">
        <v>298</v>
      </c>
      <c r="C98" s="345" t="s">
        <v>14</v>
      </c>
      <c r="D98" s="14">
        <v>2</v>
      </c>
      <c r="E98" s="279">
        <v>19959</v>
      </c>
      <c r="F98" s="279">
        <f t="shared" si="4"/>
        <v>39918</v>
      </c>
      <c r="G98" s="280">
        <v>0</v>
      </c>
      <c r="H98" s="163"/>
      <c r="I98" s="163"/>
      <c r="J98" s="163"/>
      <c r="K98" s="163"/>
      <c r="L98" s="163"/>
      <c r="M98" s="373">
        <f t="shared" si="5"/>
        <v>0</v>
      </c>
      <c r="N98" s="163"/>
      <c r="O98" s="163"/>
      <c r="P98" s="163"/>
      <c r="Q98" s="163"/>
      <c r="R98" s="163"/>
      <c r="S98" s="163"/>
      <c r="T98" s="163"/>
      <c r="U98" s="163"/>
      <c r="V98" s="163"/>
      <c r="W98" s="163"/>
    </row>
    <row r="99" spans="1:23" s="176" customFormat="1" ht="24" customHeight="1" x14ac:dyDescent="0.25">
      <c r="A99" s="406">
        <v>87</v>
      </c>
      <c r="B99" s="350" t="s">
        <v>300</v>
      </c>
      <c r="C99" s="345" t="s">
        <v>14</v>
      </c>
      <c r="D99" s="14">
        <v>9</v>
      </c>
      <c r="E99" s="279">
        <v>15993</v>
      </c>
      <c r="F99" s="279">
        <f t="shared" si="4"/>
        <v>143937</v>
      </c>
      <c r="G99" s="280">
        <v>79965</v>
      </c>
      <c r="H99" s="163"/>
      <c r="I99" s="163"/>
      <c r="J99" s="163"/>
      <c r="K99" s="163"/>
      <c r="L99" s="163"/>
      <c r="M99" s="373">
        <f t="shared" si="5"/>
        <v>0</v>
      </c>
      <c r="N99" s="163"/>
      <c r="O99" s="163"/>
      <c r="P99" s="163"/>
      <c r="Q99" s="163"/>
      <c r="R99" s="163"/>
      <c r="S99" s="163"/>
      <c r="T99" s="163"/>
      <c r="U99" s="163"/>
      <c r="V99" s="163"/>
      <c r="W99" s="163"/>
    </row>
    <row r="100" spans="1:23" s="176" customFormat="1" ht="24" customHeight="1" x14ac:dyDescent="0.25">
      <c r="A100" s="406">
        <v>88</v>
      </c>
      <c r="B100" s="350" t="s">
        <v>304</v>
      </c>
      <c r="C100" s="345" t="s">
        <v>14</v>
      </c>
      <c r="D100" s="14">
        <v>1</v>
      </c>
      <c r="E100" s="279">
        <v>4000</v>
      </c>
      <c r="F100" s="279">
        <f t="shared" si="4"/>
        <v>4000</v>
      </c>
      <c r="G100" s="96">
        <v>1333.34</v>
      </c>
      <c r="H100" s="163"/>
      <c r="I100" s="163"/>
      <c r="J100" s="163"/>
      <c r="K100" s="163"/>
      <c r="L100" s="163"/>
      <c r="M100" s="373">
        <f t="shared" si="5"/>
        <v>0</v>
      </c>
      <c r="N100" s="163"/>
      <c r="O100" s="163"/>
      <c r="P100" s="163"/>
      <c r="Q100" s="163"/>
      <c r="R100" s="163"/>
      <c r="S100" s="163"/>
      <c r="T100" s="163"/>
      <c r="U100" s="163"/>
      <c r="V100" s="163"/>
      <c r="W100" s="373"/>
    </row>
    <row r="101" spans="1:23" s="375" customFormat="1" x14ac:dyDescent="0.25">
      <c r="A101" s="406">
        <v>89</v>
      </c>
      <c r="B101" s="351" t="s">
        <v>305</v>
      </c>
      <c r="C101" s="290" t="s">
        <v>14</v>
      </c>
      <c r="D101" s="40">
        <v>2</v>
      </c>
      <c r="E101" s="279">
        <v>2500</v>
      </c>
      <c r="F101" s="279">
        <f t="shared" si="4"/>
        <v>5000</v>
      </c>
      <c r="G101" s="205">
        <v>0</v>
      </c>
      <c r="H101" s="153"/>
      <c r="I101" s="153"/>
      <c r="J101" s="153"/>
      <c r="K101" s="153"/>
      <c r="L101" s="163"/>
      <c r="M101" s="373">
        <f t="shared" si="5"/>
        <v>0</v>
      </c>
      <c r="N101" s="153"/>
      <c r="O101" s="153"/>
      <c r="P101" s="153"/>
      <c r="Q101" s="153"/>
      <c r="R101" s="153"/>
      <c r="S101" s="153"/>
      <c r="T101" s="153"/>
      <c r="U101" s="153"/>
      <c r="V101" s="153"/>
      <c r="W101" s="373"/>
    </row>
    <row r="102" spans="1:23" s="176" customFormat="1" ht="28.5" customHeight="1" x14ac:dyDescent="0.25">
      <c r="A102" s="406">
        <v>90</v>
      </c>
      <c r="B102" s="350" t="s">
        <v>306</v>
      </c>
      <c r="C102" s="345" t="s">
        <v>14</v>
      </c>
      <c r="D102" s="14">
        <v>8</v>
      </c>
      <c r="E102" s="279">
        <v>3000</v>
      </c>
      <c r="F102" s="279">
        <f t="shared" si="4"/>
        <v>24000</v>
      </c>
      <c r="G102" s="280">
        <v>8000</v>
      </c>
      <c r="H102" s="163"/>
      <c r="I102" s="163"/>
      <c r="J102" s="163"/>
      <c r="K102" s="163"/>
      <c r="L102" s="163"/>
      <c r="M102" s="373">
        <f t="shared" si="5"/>
        <v>0</v>
      </c>
      <c r="N102" s="163"/>
      <c r="O102" s="163"/>
      <c r="P102" s="163"/>
      <c r="Q102" s="163"/>
      <c r="R102" s="163"/>
      <c r="S102" s="163"/>
      <c r="T102" s="163"/>
      <c r="U102" s="163"/>
      <c r="V102" s="163"/>
      <c r="W102" s="373"/>
    </row>
    <row r="103" spans="1:23" s="176" customFormat="1" ht="28.5" customHeight="1" x14ac:dyDescent="0.25">
      <c r="A103" s="406">
        <v>91</v>
      </c>
      <c r="B103" s="350" t="s">
        <v>182</v>
      </c>
      <c r="C103" s="345" t="s">
        <v>14</v>
      </c>
      <c r="D103" s="14">
        <v>20</v>
      </c>
      <c r="E103" s="279">
        <v>5000</v>
      </c>
      <c r="F103" s="279">
        <f t="shared" si="4"/>
        <v>100000</v>
      </c>
      <c r="G103" s="280">
        <v>33333.199999999997</v>
      </c>
      <c r="H103" s="163"/>
      <c r="I103" s="163"/>
      <c r="J103" s="163"/>
      <c r="K103" s="163"/>
      <c r="L103" s="163"/>
      <c r="M103" s="373">
        <f t="shared" si="5"/>
        <v>0</v>
      </c>
      <c r="N103" s="163"/>
      <c r="O103" s="163"/>
      <c r="P103" s="163"/>
      <c r="Q103" s="163"/>
      <c r="R103" s="163"/>
      <c r="S103" s="163"/>
      <c r="T103" s="163"/>
      <c r="U103" s="163"/>
      <c r="V103" s="163"/>
      <c r="W103" s="373"/>
    </row>
    <row r="104" spans="1:23" s="176" customFormat="1" ht="28.5" customHeight="1" x14ac:dyDescent="0.25">
      <c r="A104" s="406">
        <v>92</v>
      </c>
      <c r="B104" s="350" t="s">
        <v>184</v>
      </c>
      <c r="C104" s="345" t="s">
        <v>14</v>
      </c>
      <c r="D104" s="14">
        <v>28</v>
      </c>
      <c r="E104" s="279">
        <v>1000</v>
      </c>
      <c r="F104" s="279">
        <f t="shared" si="4"/>
        <v>28000</v>
      </c>
      <c r="G104" s="280">
        <v>0</v>
      </c>
      <c r="H104" s="163"/>
      <c r="I104" s="163"/>
      <c r="J104" s="163"/>
      <c r="K104" s="163"/>
      <c r="L104" s="163"/>
      <c r="M104" s="373">
        <f t="shared" si="5"/>
        <v>0</v>
      </c>
      <c r="N104" s="163"/>
      <c r="O104" s="163"/>
      <c r="P104" s="163"/>
      <c r="Q104" s="163"/>
      <c r="R104" s="163"/>
      <c r="S104" s="163"/>
      <c r="T104" s="163"/>
      <c r="U104" s="163"/>
      <c r="V104" s="163"/>
      <c r="W104" s="163"/>
    </row>
    <row r="105" spans="1:23" s="176" customFormat="1" x14ac:dyDescent="0.25">
      <c r="A105" s="406">
        <v>93</v>
      </c>
      <c r="B105" s="350" t="s">
        <v>235</v>
      </c>
      <c r="C105" s="345" t="s">
        <v>14</v>
      </c>
      <c r="D105" s="14">
        <v>5</v>
      </c>
      <c r="E105" s="279">
        <v>1000</v>
      </c>
      <c r="F105" s="279">
        <f t="shared" si="4"/>
        <v>5000</v>
      </c>
      <c r="G105" s="280">
        <v>0</v>
      </c>
      <c r="H105" s="163"/>
      <c r="I105" s="163"/>
      <c r="J105" s="163"/>
      <c r="K105" s="163"/>
      <c r="L105" s="163"/>
      <c r="M105" s="373">
        <f t="shared" si="5"/>
        <v>0</v>
      </c>
      <c r="N105" s="163"/>
      <c r="O105" s="163"/>
      <c r="P105" s="163"/>
      <c r="Q105" s="163"/>
      <c r="R105" s="163"/>
      <c r="S105" s="163"/>
      <c r="T105" s="163"/>
      <c r="U105" s="163"/>
      <c r="V105" s="163"/>
      <c r="W105" s="163"/>
    </row>
    <row r="106" spans="1:23" s="176" customFormat="1" x14ac:dyDescent="0.25">
      <c r="A106" s="406">
        <v>94</v>
      </c>
      <c r="B106" s="350" t="s">
        <v>236</v>
      </c>
      <c r="C106" s="345" t="s">
        <v>14</v>
      </c>
      <c r="D106" s="14">
        <v>18</v>
      </c>
      <c r="E106" s="279">
        <v>500</v>
      </c>
      <c r="F106" s="279">
        <f t="shared" si="4"/>
        <v>9000</v>
      </c>
      <c r="G106" s="280">
        <v>0</v>
      </c>
      <c r="H106" s="163"/>
      <c r="I106" s="163"/>
      <c r="J106" s="163"/>
      <c r="K106" s="163"/>
      <c r="L106" s="163"/>
      <c r="M106" s="373">
        <f t="shared" si="5"/>
        <v>0</v>
      </c>
      <c r="N106" s="163"/>
      <c r="O106" s="163"/>
      <c r="P106" s="163"/>
      <c r="Q106" s="163"/>
      <c r="R106" s="163"/>
      <c r="S106" s="163"/>
      <c r="T106" s="163"/>
      <c r="U106" s="163"/>
      <c r="V106" s="163"/>
      <c r="W106" s="163"/>
    </row>
    <row r="107" spans="1:23" s="176" customFormat="1" ht="24.75" customHeight="1" x14ac:dyDescent="0.25">
      <c r="A107" s="406">
        <v>95</v>
      </c>
      <c r="B107" s="350" t="s">
        <v>310</v>
      </c>
      <c r="C107" s="345" t="s">
        <v>14</v>
      </c>
      <c r="D107" s="14">
        <v>1</v>
      </c>
      <c r="E107" s="279">
        <v>1500</v>
      </c>
      <c r="F107" s="279">
        <f t="shared" si="4"/>
        <v>1500</v>
      </c>
      <c r="G107" s="280">
        <v>0</v>
      </c>
      <c r="H107" s="163"/>
      <c r="I107" s="163"/>
      <c r="J107" s="163"/>
      <c r="K107" s="163"/>
      <c r="L107" s="163"/>
      <c r="M107" s="373">
        <f t="shared" si="5"/>
        <v>0</v>
      </c>
      <c r="N107" s="163"/>
      <c r="O107" s="163"/>
      <c r="P107" s="163"/>
      <c r="Q107" s="163"/>
      <c r="R107" s="163"/>
      <c r="S107" s="163"/>
      <c r="T107" s="163"/>
      <c r="U107" s="163"/>
      <c r="V107" s="163"/>
      <c r="W107" s="163"/>
    </row>
    <row r="108" spans="1:23" s="176" customFormat="1" x14ac:dyDescent="0.25">
      <c r="A108" s="406">
        <v>96</v>
      </c>
      <c r="B108" s="350" t="s">
        <v>258</v>
      </c>
      <c r="C108" s="345" t="s">
        <v>14</v>
      </c>
      <c r="D108" s="14">
        <v>1</v>
      </c>
      <c r="E108" s="279">
        <v>201121</v>
      </c>
      <c r="F108" s="279">
        <f t="shared" si="4"/>
        <v>201121</v>
      </c>
      <c r="G108" s="96">
        <v>100560.5</v>
      </c>
      <c r="H108" s="163"/>
      <c r="I108" s="163"/>
      <c r="J108" s="163"/>
      <c r="K108" s="163"/>
      <c r="L108" s="163"/>
      <c r="M108" s="373">
        <f t="shared" si="5"/>
        <v>0</v>
      </c>
      <c r="N108" s="163"/>
      <c r="O108" s="163"/>
      <c r="P108" s="163"/>
      <c r="Q108" s="163"/>
      <c r="R108" s="163"/>
      <c r="S108" s="163"/>
      <c r="T108" s="163"/>
      <c r="U108" s="163"/>
      <c r="V108" s="163"/>
      <c r="W108" s="163"/>
    </row>
    <row r="109" spans="1:23" s="176" customFormat="1" ht="27" customHeight="1" x14ac:dyDescent="0.25">
      <c r="A109" s="406">
        <v>97</v>
      </c>
      <c r="B109" s="350" t="s">
        <v>311</v>
      </c>
      <c r="C109" s="345" t="s">
        <v>14</v>
      </c>
      <c r="D109" s="14">
        <v>1</v>
      </c>
      <c r="E109" s="279">
        <v>3000</v>
      </c>
      <c r="F109" s="279">
        <f t="shared" si="4"/>
        <v>3000</v>
      </c>
      <c r="G109" s="96">
        <v>3000</v>
      </c>
      <c r="H109" s="163"/>
      <c r="I109" s="163"/>
      <c r="J109" s="163"/>
      <c r="K109" s="163"/>
      <c r="L109" s="163"/>
      <c r="M109" s="373">
        <f t="shared" si="5"/>
        <v>0</v>
      </c>
      <c r="N109" s="163"/>
      <c r="O109" s="163"/>
      <c r="P109" s="163"/>
      <c r="Q109" s="163"/>
      <c r="R109" s="163"/>
      <c r="S109" s="163"/>
      <c r="T109" s="163"/>
      <c r="U109" s="163"/>
      <c r="V109" s="163"/>
      <c r="W109" s="163"/>
    </row>
    <row r="110" spans="1:23" s="176" customFormat="1" x14ac:dyDescent="0.25">
      <c r="A110" s="406">
        <v>98</v>
      </c>
      <c r="B110" s="350" t="s">
        <v>312</v>
      </c>
      <c r="C110" s="345" t="s">
        <v>14</v>
      </c>
      <c r="D110" s="14">
        <v>1153</v>
      </c>
      <c r="E110" s="279">
        <v>95.43</v>
      </c>
      <c r="F110" s="279">
        <f t="shared" si="4"/>
        <v>110030.79000000001</v>
      </c>
      <c r="G110" s="96">
        <v>66020.399999999994</v>
      </c>
      <c r="H110" s="163"/>
      <c r="I110" s="163"/>
      <c r="J110" s="163"/>
      <c r="K110" s="163"/>
      <c r="L110" s="163"/>
      <c r="M110" s="373">
        <f t="shared" si="5"/>
        <v>0</v>
      </c>
      <c r="N110" s="163"/>
      <c r="O110" s="163"/>
      <c r="P110" s="163"/>
      <c r="Q110" s="163"/>
      <c r="R110" s="163"/>
      <c r="S110" s="163"/>
      <c r="T110" s="163"/>
      <c r="U110" s="163"/>
      <c r="V110" s="163"/>
      <c r="W110" s="163"/>
    </row>
    <row r="111" spans="1:23" s="176" customFormat="1" x14ac:dyDescent="0.25">
      <c r="A111" s="93"/>
      <c r="B111" s="94" t="s">
        <v>39</v>
      </c>
      <c r="C111" s="93"/>
      <c r="D111" s="344">
        <f>SUM(D13:D110)</f>
        <v>1734</v>
      </c>
      <c r="E111" s="344"/>
      <c r="F111" s="100">
        <f>SUM(F13:F110)</f>
        <v>4578155.79</v>
      </c>
      <c r="G111" s="284">
        <f>SUM(G13:G110)</f>
        <v>1914257.1599999995</v>
      </c>
      <c r="H111" s="163"/>
      <c r="I111" s="163"/>
      <c r="J111" s="163"/>
      <c r="K111" s="163"/>
      <c r="L111" s="168">
        <f>SUM(L13:L110)</f>
        <v>9</v>
      </c>
      <c r="M111" s="378">
        <f>SUM(M13:M110)</f>
        <v>351390</v>
      </c>
      <c r="N111" s="163"/>
      <c r="O111" s="373"/>
      <c r="P111" s="163"/>
      <c r="Q111" s="163"/>
      <c r="R111" s="163"/>
      <c r="S111" s="163"/>
      <c r="T111" s="168">
        <f>SUM(T13:T110)</f>
        <v>0</v>
      </c>
      <c r="U111" s="284">
        <f>SUM(U13:U110)</f>
        <v>0</v>
      </c>
      <c r="V111" s="168">
        <f>SUM(V13:V110)</f>
        <v>0</v>
      </c>
      <c r="W111" s="284">
        <f>SUM(W13:W110)</f>
        <v>0</v>
      </c>
    </row>
    <row r="112" spans="1:23" s="176" customFormat="1" ht="28.5" customHeight="1" x14ac:dyDescent="0.25">
      <c r="A112" s="163"/>
      <c r="B112" s="486" t="s">
        <v>132</v>
      </c>
      <c r="C112" s="487"/>
      <c r="D112" s="487"/>
      <c r="E112" s="487"/>
      <c r="F112" s="487"/>
      <c r="G112" s="488"/>
      <c r="H112" s="163"/>
      <c r="I112" s="163"/>
      <c r="J112" s="163"/>
      <c r="K112" s="163"/>
      <c r="L112" s="163"/>
      <c r="M112" s="163"/>
      <c r="N112" s="163"/>
      <c r="O112" s="163"/>
      <c r="P112" s="163"/>
      <c r="Q112" s="163"/>
      <c r="R112" s="163"/>
      <c r="S112" s="163"/>
      <c r="T112" s="163"/>
      <c r="U112" s="163"/>
      <c r="V112" s="163"/>
      <c r="W112" s="163"/>
    </row>
    <row r="113" spans="1:23" s="176" customFormat="1" ht="24" customHeight="1" x14ac:dyDescent="0.25">
      <c r="A113" s="345">
        <v>1</v>
      </c>
      <c r="B113" s="353" t="s">
        <v>313</v>
      </c>
      <c r="C113" s="354" t="s">
        <v>314</v>
      </c>
      <c r="D113" s="355">
        <v>2</v>
      </c>
      <c r="E113" s="279">
        <v>11950</v>
      </c>
      <c r="F113" s="279">
        <f t="shared" ref="F113:F141" si="6">D113*E113</f>
        <v>23900</v>
      </c>
      <c r="G113" s="205">
        <v>0</v>
      </c>
      <c r="H113" s="163"/>
      <c r="I113" s="163"/>
      <c r="J113" s="163"/>
      <c r="K113" s="163"/>
      <c r="L113" s="163"/>
      <c r="M113" s="163">
        <f t="shared" ref="M113:M141" si="7">L113*E113</f>
        <v>0</v>
      </c>
      <c r="N113" s="163"/>
      <c r="O113" s="163"/>
      <c r="P113" s="163"/>
      <c r="Q113" s="163"/>
      <c r="R113" s="163"/>
      <c r="S113" s="163"/>
      <c r="T113" s="163"/>
      <c r="U113" s="163"/>
      <c r="V113" s="163"/>
      <c r="W113" s="163"/>
    </row>
    <row r="114" spans="1:23" s="176" customFormat="1" ht="24" customHeight="1" x14ac:dyDescent="0.25">
      <c r="A114" s="345">
        <v>2</v>
      </c>
      <c r="B114" s="353" t="s">
        <v>315</v>
      </c>
      <c r="C114" s="354" t="s">
        <v>314</v>
      </c>
      <c r="D114" s="355">
        <v>2</v>
      </c>
      <c r="E114" s="279">
        <v>19</v>
      </c>
      <c r="F114" s="279">
        <f t="shared" si="6"/>
        <v>38</v>
      </c>
      <c r="G114" s="205">
        <v>0</v>
      </c>
      <c r="H114" s="163"/>
      <c r="I114" s="163"/>
      <c r="J114" s="163"/>
      <c r="K114" s="163"/>
      <c r="L114" s="163"/>
      <c r="M114" s="163">
        <f t="shared" si="7"/>
        <v>0</v>
      </c>
      <c r="N114" s="163"/>
      <c r="O114" s="163"/>
      <c r="P114" s="163"/>
      <c r="Q114" s="163"/>
      <c r="R114" s="163"/>
      <c r="S114" s="163"/>
      <c r="T114" s="163"/>
      <c r="U114" s="163"/>
      <c r="V114" s="163"/>
      <c r="W114" s="163"/>
    </row>
    <row r="115" spans="1:23" s="176" customFormat="1" ht="24" customHeight="1" x14ac:dyDescent="0.25">
      <c r="A115" s="345">
        <v>3</v>
      </c>
      <c r="B115" s="353" t="s">
        <v>316</v>
      </c>
      <c r="C115" s="354" t="s">
        <v>314</v>
      </c>
      <c r="D115" s="355">
        <v>2</v>
      </c>
      <c r="E115" s="279">
        <v>2160</v>
      </c>
      <c r="F115" s="279">
        <f t="shared" si="6"/>
        <v>4320</v>
      </c>
      <c r="G115" s="205">
        <v>0</v>
      </c>
      <c r="H115" s="163"/>
      <c r="I115" s="163"/>
      <c r="J115" s="163"/>
      <c r="K115" s="163"/>
      <c r="L115" s="163"/>
      <c r="M115" s="163">
        <f t="shared" si="7"/>
        <v>0</v>
      </c>
      <c r="N115" s="163"/>
      <c r="O115" s="163"/>
      <c r="P115" s="163"/>
      <c r="Q115" s="163"/>
      <c r="R115" s="163"/>
      <c r="S115" s="163"/>
      <c r="T115" s="163"/>
      <c r="U115" s="163"/>
      <c r="V115" s="163"/>
      <c r="W115" s="163"/>
    </row>
    <row r="116" spans="1:23" s="176" customFormat="1" ht="24" customHeight="1" x14ac:dyDescent="0.25">
      <c r="A116" s="406">
        <v>4</v>
      </c>
      <c r="B116" s="353" t="s">
        <v>317</v>
      </c>
      <c r="C116" s="354" t="s">
        <v>314</v>
      </c>
      <c r="D116" s="355">
        <v>1</v>
      </c>
      <c r="E116" s="279">
        <v>35</v>
      </c>
      <c r="F116" s="279">
        <f t="shared" si="6"/>
        <v>35</v>
      </c>
      <c r="G116" s="205">
        <v>0</v>
      </c>
      <c r="H116" s="163"/>
      <c r="I116" s="163"/>
      <c r="J116" s="163"/>
      <c r="K116" s="163"/>
      <c r="L116" s="163"/>
      <c r="M116" s="163">
        <f t="shared" si="7"/>
        <v>0</v>
      </c>
      <c r="N116" s="163"/>
      <c r="O116" s="163"/>
      <c r="P116" s="163"/>
      <c r="Q116" s="163"/>
      <c r="R116" s="163"/>
      <c r="S116" s="163"/>
      <c r="T116" s="163"/>
      <c r="U116" s="163"/>
      <c r="V116" s="163"/>
      <c r="W116" s="163"/>
    </row>
    <row r="117" spans="1:23" s="176" customFormat="1" ht="24" customHeight="1" x14ac:dyDescent="0.25">
      <c r="A117" s="406">
        <v>5</v>
      </c>
      <c r="B117" s="353" t="s">
        <v>320</v>
      </c>
      <c r="C117" s="354" t="s">
        <v>314</v>
      </c>
      <c r="D117" s="355">
        <v>2</v>
      </c>
      <c r="E117" s="279">
        <v>8000</v>
      </c>
      <c r="F117" s="279">
        <f t="shared" si="6"/>
        <v>16000</v>
      </c>
      <c r="G117" s="205">
        <v>0</v>
      </c>
      <c r="H117" s="163"/>
      <c r="I117" s="163"/>
      <c r="J117" s="163"/>
      <c r="K117" s="163"/>
      <c r="L117" s="163"/>
      <c r="M117" s="163">
        <f t="shared" si="7"/>
        <v>0</v>
      </c>
      <c r="N117" s="163"/>
      <c r="O117" s="163"/>
      <c r="P117" s="163"/>
      <c r="Q117" s="163"/>
      <c r="R117" s="163"/>
      <c r="S117" s="163"/>
      <c r="T117" s="163"/>
      <c r="U117" s="163"/>
      <c r="V117" s="163"/>
      <c r="W117" s="163"/>
    </row>
    <row r="118" spans="1:23" s="176" customFormat="1" ht="24" customHeight="1" x14ac:dyDescent="0.25">
      <c r="A118" s="406">
        <v>6</v>
      </c>
      <c r="B118" s="353" t="s">
        <v>323</v>
      </c>
      <c r="C118" s="354" t="s">
        <v>314</v>
      </c>
      <c r="D118" s="355">
        <v>1</v>
      </c>
      <c r="E118" s="279">
        <v>10000</v>
      </c>
      <c r="F118" s="279">
        <f t="shared" si="6"/>
        <v>10000</v>
      </c>
      <c r="G118" s="205">
        <v>0</v>
      </c>
      <c r="H118" s="163"/>
      <c r="I118" s="163"/>
      <c r="J118" s="163"/>
      <c r="K118" s="163"/>
      <c r="L118" s="163"/>
      <c r="M118" s="163">
        <f t="shared" si="7"/>
        <v>0</v>
      </c>
      <c r="N118" s="163"/>
      <c r="O118" s="163"/>
      <c r="P118" s="163"/>
      <c r="Q118" s="163"/>
      <c r="R118" s="163"/>
      <c r="S118" s="163"/>
      <c r="T118" s="163"/>
      <c r="U118" s="163"/>
      <c r="V118" s="163"/>
      <c r="W118" s="163"/>
    </row>
    <row r="119" spans="1:23" s="176" customFormat="1" ht="24" customHeight="1" x14ac:dyDescent="0.25">
      <c r="A119" s="406">
        <v>7</v>
      </c>
      <c r="B119" s="353" t="s">
        <v>326</v>
      </c>
      <c r="C119" s="354" t="s">
        <v>314</v>
      </c>
      <c r="D119" s="355">
        <v>1</v>
      </c>
      <c r="E119" s="279">
        <v>6500</v>
      </c>
      <c r="F119" s="279">
        <f t="shared" si="6"/>
        <v>6500</v>
      </c>
      <c r="G119" s="205">
        <v>0</v>
      </c>
      <c r="H119" s="163"/>
      <c r="I119" s="163"/>
      <c r="J119" s="163"/>
      <c r="K119" s="163"/>
      <c r="L119" s="163"/>
      <c r="M119" s="163">
        <f t="shared" si="7"/>
        <v>0</v>
      </c>
      <c r="N119" s="163"/>
      <c r="O119" s="163"/>
      <c r="P119" s="163"/>
      <c r="Q119" s="163"/>
      <c r="R119" s="163"/>
      <c r="S119" s="163"/>
      <c r="T119" s="163"/>
      <c r="U119" s="163"/>
      <c r="V119" s="163"/>
      <c r="W119" s="163"/>
    </row>
    <row r="120" spans="1:23" s="176" customFormat="1" ht="24" customHeight="1" x14ac:dyDescent="0.25">
      <c r="A120" s="406">
        <v>8</v>
      </c>
      <c r="B120" s="353" t="s">
        <v>326</v>
      </c>
      <c r="C120" s="354" t="s">
        <v>314</v>
      </c>
      <c r="D120" s="355">
        <v>5</v>
      </c>
      <c r="E120" s="279">
        <v>2300</v>
      </c>
      <c r="F120" s="279">
        <f t="shared" si="6"/>
        <v>11500</v>
      </c>
      <c r="G120" s="205">
        <v>0</v>
      </c>
      <c r="H120" s="163"/>
      <c r="I120" s="163"/>
      <c r="J120" s="163"/>
      <c r="K120" s="163"/>
      <c r="L120" s="163"/>
      <c r="M120" s="163">
        <f t="shared" si="7"/>
        <v>0</v>
      </c>
      <c r="N120" s="163"/>
      <c r="O120" s="163"/>
      <c r="P120" s="163"/>
      <c r="Q120" s="163"/>
      <c r="R120" s="163"/>
      <c r="S120" s="163"/>
      <c r="T120" s="163"/>
      <c r="U120" s="163"/>
      <c r="V120" s="163"/>
      <c r="W120" s="163"/>
    </row>
    <row r="121" spans="1:23" s="176" customFormat="1" ht="24" customHeight="1" x14ac:dyDescent="0.25">
      <c r="A121" s="406">
        <v>9</v>
      </c>
      <c r="B121" s="353" t="s">
        <v>327</v>
      </c>
      <c r="C121" s="354" t="s">
        <v>314</v>
      </c>
      <c r="D121" s="355">
        <v>1</v>
      </c>
      <c r="E121" s="279">
        <v>15000</v>
      </c>
      <c r="F121" s="279">
        <f t="shared" si="6"/>
        <v>15000</v>
      </c>
      <c r="G121" s="205">
        <v>0</v>
      </c>
      <c r="H121" s="163"/>
      <c r="I121" s="163"/>
      <c r="J121" s="163"/>
      <c r="K121" s="163"/>
      <c r="L121" s="163"/>
      <c r="M121" s="163">
        <f t="shared" si="7"/>
        <v>0</v>
      </c>
      <c r="N121" s="163"/>
      <c r="O121" s="163"/>
      <c r="P121" s="163"/>
      <c r="Q121" s="163"/>
      <c r="R121" s="163"/>
      <c r="S121" s="163"/>
      <c r="T121" s="163"/>
      <c r="U121" s="163"/>
      <c r="V121" s="163"/>
      <c r="W121" s="163"/>
    </row>
    <row r="122" spans="1:23" s="176" customFormat="1" ht="24" customHeight="1" x14ac:dyDescent="0.25">
      <c r="A122" s="406">
        <v>10</v>
      </c>
      <c r="B122" s="353" t="s">
        <v>328</v>
      </c>
      <c r="C122" s="354" t="s">
        <v>314</v>
      </c>
      <c r="D122" s="355">
        <v>2</v>
      </c>
      <c r="E122" s="279">
        <v>8100</v>
      </c>
      <c r="F122" s="279">
        <f t="shared" si="6"/>
        <v>16200</v>
      </c>
      <c r="G122" s="205">
        <v>0</v>
      </c>
      <c r="H122" s="163"/>
      <c r="I122" s="163"/>
      <c r="J122" s="163"/>
      <c r="K122" s="163"/>
      <c r="L122" s="163"/>
      <c r="M122" s="163">
        <f t="shared" si="7"/>
        <v>0</v>
      </c>
      <c r="N122" s="163"/>
      <c r="O122" s="163"/>
      <c r="P122" s="163"/>
      <c r="Q122" s="163"/>
      <c r="R122" s="163"/>
      <c r="S122" s="163"/>
      <c r="T122" s="163"/>
      <c r="U122" s="163"/>
      <c r="V122" s="163"/>
      <c r="W122" s="163"/>
    </row>
    <row r="123" spans="1:23" s="176" customFormat="1" ht="24" customHeight="1" x14ac:dyDescent="0.25">
      <c r="A123" s="406">
        <v>11</v>
      </c>
      <c r="B123" s="353" t="s">
        <v>244</v>
      </c>
      <c r="C123" s="354" t="s">
        <v>314</v>
      </c>
      <c r="D123" s="355">
        <v>9</v>
      </c>
      <c r="E123" s="279">
        <v>55.16</v>
      </c>
      <c r="F123" s="279">
        <f t="shared" si="6"/>
        <v>496.43999999999994</v>
      </c>
      <c r="G123" s="205">
        <v>0</v>
      </c>
      <c r="H123" s="163"/>
      <c r="I123" s="163"/>
      <c r="J123" s="163"/>
      <c r="K123" s="163"/>
      <c r="L123" s="163"/>
      <c r="M123" s="163">
        <f t="shared" si="7"/>
        <v>0</v>
      </c>
      <c r="N123" s="163"/>
      <c r="O123" s="163"/>
      <c r="P123" s="163"/>
      <c r="Q123" s="163"/>
      <c r="R123" s="163"/>
      <c r="S123" s="163"/>
      <c r="T123" s="163"/>
      <c r="U123" s="163"/>
      <c r="V123" s="163"/>
      <c r="W123" s="163"/>
    </row>
    <row r="124" spans="1:23" s="176" customFormat="1" ht="24" customHeight="1" x14ac:dyDescent="0.25">
      <c r="A124" s="406">
        <v>12</v>
      </c>
      <c r="B124" s="353" t="s">
        <v>244</v>
      </c>
      <c r="C124" s="354" t="s">
        <v>314</v>
      </c>
      <c r="D124" s="355">
        <v>1</v>
      </c>
      <c r="E124" s="279">
        <v>2000</v>
      </c>
      <c r="F124" s="279">
        <f t="shared" si="6"/>
        <v>2000</v>
      </c>
      <c r="G124" s="205">
        <v>0</v>
      </c>
      <c r="H124" s="163"/>
      <c r="I124" s="163"/>
      <c r="J124" s="163"/>
      <c r="K124" s="163"/>
      <c r="L124" s="163"/>
      <c r="M124" s="163">
        <f t="shared" si="7"/>
        <v>0</v>
      </c>
      <c r="N124" s="163"/>
      <c r="O124" s="163"/>
      <c r="P124" s="163"/>
      <c r="Q124" s="163"/>
      <c r="R124" s="163"/>
      <c r="S124" s="163"/>
      <c r="T124" s="163"/>
      <c r="U124" s="163"/>
      <c r="V124" s="163"/>
      <c r="W124" s="163"/>
    </row>
    <row r="125" spans="1:23" s="176" customFormat="1" ht="24" customHeight="1" x14ac:dyDescent="0.25">
      <c r="A125" s="406">
        <v>13</v>
      </c>
      <c r="B125" s="353" t="s">
        <v>330</v>
      </c>
      <c r="C125" s="354" t="s">
        <v>314</v>
      </c>
      <c r="D125" s="355">
        <v>2</v>
      </c>
      <c r="E125" s="279">
        <v>14000</v>
      </c>
      <c r="F125" s="279">
        <f t="shared" si="6"/>
        <v>28000</v>
      </c>
      <c r="G125" s="205">
        <v>0</v>
      </c>
      <c r="H125" s="163"/>
      <c r="I125" s="163"/>
      <c r="J125" s="163"/>
      <c r="K125" s="163"/>
      <c r="L125" s="163"/>
      <c r="M125" s="163">
        <f t="shared" si="7"/>
        <v>0</v>
      </c>
      <c r="N125" s="163"/>
      <c r="O125" s="163"/>
      <c r="P125" s="163"/>
      <c r="Q125" s="163"/>
      <c r="R125" s="163"/>
      <c r="S125" s="163"/>
      <c r="T125" s="163"/>
      <c r="U125" s="163"/>
      <c r="V125" s="163"/>
      <c r="W125" s="163"/>
    </row>
    <row r="126" spans="1:23" s="176" customFormat="1" ht="24" customHeight="1" x14ac:dyDescent="0.25">
      <c r="A126" s="406">
        <v>14</v>
      </c>
      <c r="B126" s="353" t="s">
        <v>331</v>
      </c>
      <c r="C126" s="354" t="s">
        <v>314</v>
      </c>
      <c r="D126" s="355">
        <v>1</v>
      </c>
      <c r="E126" s="279">
        <v>5000</v>
      </c>
      <c r="F126" s="279">
        <f t="shared" si="6"/>
        <v>5000</v>
      </c>
      <c r="G126" s="205">
        <v>0</v>
      </c>
      <c r="H126" s="163"/>
      <c r="I126" s="163"/>
      <c r="J126" s="163"/>
      <c r="K126" s="163"/>
      <c r="L126" s="163"/>
      <c r="M126" s="163">
        <f t="shared" si="7"/>
        <v>0</v>
      </c>
      <c r="N126" s="163"/>
      <c r="O126" s="163"/>
      <c r="P126" s="163"/>
      <c r="Q126" s="163"/>
      <c r="R126" s="163"/>
      <c r="S126" s="163"/>
      <c r="T126" s="163"/>
      <c r="U126" s="163"/>
      <c r="V126" s="163"/>
      <c r="W126" s="163"/>
    </row>
    <row r="127" spans="1:23" s="176" customFormat="1" ht="24" customHeight="1" x14ac:dyDescent="0.25">
      <c r="A127" s="406">
        <v>15</v>
      </c>
      <c r="B127" s="353" t="s">
        <v>332</v>
      </c>
      <c r="C127" s="354" t="s">
        <v>314</v>
      </c>
      <c r="D127" s="355">
        <v>1</v>
      </c>
      <c r="E127" s="279">
        <v>17000</v>
      </c>
      <c r="F127" s="279">
        <f t="shared" si="6"/>
        <v>17000</v>
      </c>
      <c r="G127" s="205">
        <v>0</v>
      </c>
      <c r="H127" s="163"/>
      <c r="I127" s="163"/>
      <c r="J127" s="163"/>
      <c r="K127" s="163"/>
      <c r="L127" s="163"/>
      <c r="M127" s="163">
        <f t="shared" si="7"/>
        <v>0</v>
      </c>
      <c r="N127" s="163"/>
      <c r="O127" s="163"/>
      <c r="P127" s="163"/>
      <c r="Q127" s="163"/>
      <c r="R127" s="163"/>
      <c r="S127" s="163"/>
      <c r="T127" s="163"/>
      <c r="U127" s="163"/>
      <c r="V127" s="163"/>
      <c r="W127" s="163"/>
    </row>
    <row r="128" spans="1:23" s="176" customFormat="1" ht="24" customHeight="1" x14ac:dyDescent="0.25">
      <c r="A128" s="406">
        <v>16</v>
      </c>
      <c r="B128" s="353" t="s">
        <v>333</v>
      </c>
      <c r="C128" s="354" t="s">
        <v>314</v>
      </c>
      <c r="D128" s="355">
        <v>1</v>
      </c>
      <c r="E128" s="279">
        <v>3000</v>
      </c>
      <c r="F128" s="279">
        <f t="shared" si="6"/>
        <v>3000</v>
      </c>
      <c r="G128" s="205">
        <v>0</v>
      </c>
      <c r="H128" s="163"/>
      <c r="I128" s="163"/>
      <c r="J128" s="163"/>
      <c r="K128" s="163"/>
      <c r="L128" s="163"/>
      <c r="M128" s="163">
        <f t="shared" si="7"/>
        <v>0</v>
      </c>
      <c r="N128" s="163"/>
      <c r="O128" s="163"/>
      <c r="P128" s="163"/>
      <c r="Q128" s="163"/>
      <c r="R128" s="163"/>
      <c r="S128" s="163"/>
      <c r="T128" s="163"/>
      <c r="U128" s="163"/>
      <c r="V128" s="163"/>
      <c r="W128" s="163"/>
    </row>
    <row r="129" spans="1:23" s="176" customFormat="1" ht="24" customHeight="1" x14ac:dyDescent="0.25">
      <c r="A129" s="406">
        <v>17</v>
      </c>
      <c r="B129" s="353" t="s">
        <v>334</v>
      </c>
      <c r="C129" s="354" t="s">
        <v>314</v>
      </c>
      <c r="D129" s="355">
        <v>5</v>
      </c>
      <c r="E129" s="279">
        <v>3000</v>
      </c>
      <c r="F129" s="279">
        <f t="shared" si="6"/>
        <v>15000</v>
      </c>
      <c r="G129" s="205">
        <v>0</v>
      </c>
      <c r="H129" s="163"/>
      <c r="I129" s="163"/>
      <c r="J129" s="163"/>
      <c r="K129" s="163"/>
      <c r="L129" s="163"/>
      <c r="M129" s="163">
        <f t="shared" si="7"/>
        <v>0</v>
      </c>
      <c r="N129" s="163"/>
      <c r="O129" s="163"/>
      <c r="P129" s="163"/>
      <c r="Q129" s="163"/>
      <c r="R129" s="163"/>
      <c r="S129" s="163"/>
      <c r="T129" s="163"/>
      <c r="U129" s="163"/>
      <c r="V129" s="163"/>
      <c r="W129" s="163"/>
    </row>
    <row r="130" spans="1:23" s="176" customFormat="1" ht="24" customHeight="1" x14ac:dyDescent="0.25">
      <c r="A130" s="406">
        <v>18</v>
      </c>
      <c r="B130" s="353" t="s">
        <v>335</v>
      </c>
      <c r="C130" s="354" t="s">
        <v>314</v>
      </c>
      <c r="D130" s="355">
        <v>712</v>
      </c>
      <c r="E130" s="279">
        <v>48.59</v>
      </c>
      <c r="F130" s="279">
        <f t="shared" si="6"/>
        <v>34596.080000000002</v>
      </c>
      <c r="G130" s="205">
        <v>0</v>
      </c>
      <c r="H130" s="163"/>
      <c r="I130" s="163"/>
      <c r="J130" s="163"/>
      <c r="K130" s="163"/>
      <c r="L130" s="163"/>
      <c r="M130" s="163">
        <f t="shared" si="7"/>
        <v>0</v>
      </c>
      <c r="N130" s="163"/>
      <c r="O130" s="163"/>
      <c r="P130" s="163"/>
      <c r="Q130" s="163"/>
      <c r="R130" s="163"/>
      <c r="S130" s="163"/>
      <c r="T130" s="163"/>
      <c r="U130" s="163"/>
      <c r="V130" s="163"/>
      <c r="W130" s="163"/>
    </row>
    <row r="131" spans="1:23" s="375" customFormat="1" ht="24" customHeight="1" x14ac:dyDescent="0.25">
      <c r="A131" s="406">
        <v>19</v>
      </c>
      <c r="B131" s="379" t="s">
        <v>336</v>
      </c>
      <c r="C131" s="380" t="s">
        <v>314</v>
      </c>
      <c r="D131" s="381">
        <v>3</v>
      </c>
      <c r="E131" s="279">
        <v>9000</v>
      </c>
      <c r="F131" s="279">
        <f t="shared" si="6"/>
        <v>27000</v>
      </c>
      <c r="G131" s="205">
        <v>0</v>
      </c>
      <c r="H131" s="153"/>
      <c r="I131" s="153"/>
      <c r="J131" s="153"/>
      <c r="K131" s="153"/>
      <c r="L131" s="153"/>
      <c r="M131" s="163">
        <f t="shared" si="7"/>
        <v>0</v>
      </c>
      <c r="N131" s="153"/>
      <c r="O131" s="153"/>
      <c r="P131" s="153"/>
      <c r="Q131" s="153"/>
      <c r="R131" s="153"/>
      <c r="S131" s="153"/>
      <c r="T131" s="153"/>
      <c r="U131" s="153"/>
      <c r="V131" s="153"/>
      <c r="W131" s="153"/>
    </row>
    <row r="132" spans="1:23" s="375" customFormat="1" ht="24" customHeight="1" x14ac:dyDescent="0.25">
      <c r="A132" s="406">
        <v>20</v>
      </c>
      <c r="B132" s="382" t="s">
        <v>337</v>
      </c>
      <c r="C132" s="380" t="s">
        <v>314</v>
      </c>
      <c r="D132" s="381">
        <v>3</v>
      </c>
      <c r="E132" s="279">
        <v>15000</v>
      </c>
      <c r="F132" s="279">
        <f t="shared" si="6"/>
        <v>45000</v>
      </c>
      <c r="G132" s="205">
        <v>0</v>
      </c>
      <c r="H132" s="153"/>
      <c r="I132" s="153"/>
      <c r="J132" s="153"/>
      <c r="K132" s="153"/>
      <c r="L132" s="153"/>
      <c r="M132" s="163">
        <f t="shared" si="7"/>
        <v>0</v>
      </c>
      <c r="N132" s="153"/>
      <c r="O132" s="153"/>
      <c r="P132" s="153"/>
      <c r="Q132" s="153"/>
      <c r="R132" s="153"/>
      <c r="S132" s="153"/>
      <c r="T132" s="153"/>
      <c r="U132" s="153"/>
      <c r="V132" s="153"/>
      <c r="W132" s="153"/>
    </row>
    <row r="133" spans="1:23" s="176" customFormat="1" ht="24" customHeight="1" x14ac:dyDescent="0.25">
      <c r="A133" s="406">
        <v>21</v>
      </c>
      <c r="B133" s="350" t="s">
        <v>338</v>
      </c>
      <c r="C133" s="383" t="s">
        <v>314</v>
      </c>
      <c r="D133" s="384">
        <v>4</v>
      </c>
      <c r="E133" s="279">
        <v>2000</v>
      </c>
      <c r="F133" s="279">
        <f t="shared" si="6"/>
        <v>8000</v>
      </c>
      <c r="G133" s="205">
        <v>0</v>
      </c>
      <c r="H133" s="163"/>
      <c r="I133" s="163"/>
      <c r="J133" s="163"/>
      <c r="K133" s="163"/>
      <c r="L133" s="163"/>
      <c r="M133" s="163">
        <f t="shared" si="7"/>
        <v>0</v>
      </c>
      <c r="N133" s="163"/>
      <c r="O133" s="163"/>
      <c r="P133" s="163"/>
      <c r="Q133" s="163"/>
      <c r="R133" s="163"/>
      <c r="S133" s="163"/>
      <c r="T133" s="163"/>
      <c r="U133" s="163"/>
      <c r="V133" s="163"/>
      <c r="W133" s="163"/>
    </row>
    <row r="134" spans="1:23" s="176" customFormat="1" ht="24" customHeight="1" x14ac:dyDescent="0.25">
      <c r="A134" s="406">
        <v>22</v>
      </c>
      <c r="B134" s="350" t="s">
        <v>339</v>
      </c>
      <c r="C134" s="383" t="s">
        <v>314</v>
      </c>
      <c r="D134" s="384">
        <v>2</v>
      </c>
      <c r="E134" s="279">
        <v>950</v>
      </c>
      <c r="F134" s="279">
        <f t="shared" si="6"/>
        <v>1900</v>
      </c>
      <c r="G134" s="205">
        <v>0</v>
      </c>
      <c r="H134" s="163"/>
      <c r="I134" s="163"/>
      <c r="J134" s="163"/>
      <c r="K134" s="163"/>
      <c r="L134" s="163"/>
      <c r="M134" s="163">
        <f t="shared" si="7"/>
        <v>0</v>
      </c>
      <c r="N134" s="163"/>
      <c r="O134" s="163"/>
      <c r="P134" s="163"/>
      <c r="Q134" s="163"/>
      <c r="R134" s="163"/>
      <c r="S134" s="163"/>
      <c r="T134" s="163"/>
      <c r="U134" s="163"/>
      <c r="V134" s="163"/>
      <c r="W134" s="163"/>
    </row>
    <row r="135" spans="1:23" s="176" customFormat="1" ht="24" customHeight="1" x14ac:dyDescent="0.25">
      <c r="A135" s="406">
        <v>23</v>
      </c>
      <c r="B135" s="350" t="s">
        <v>340</v>
      </c>
      <c r="C135" s="383" t="s">
        <v>314</v>
      </c>
      <c r="D135" s="384">
        <v>2</v>
      </c>
      <c r="E135" s="279">
        <v>500</v>
      </c>
      <c r="F135" s="279">
        <f t="shared" si="6"/>
        <v>1000</v>
      </c>
      <c r="G135" s="205">
        <v>0</v>
      </c>
      <c r="H135" s="163"/>
      <c r="I135" s="163"/>
      <c r="J135" s="163"/>
      <c r="K135" s="163"/>
      <c r="L135" s="163"/>
      <c r="M135" s="163">
        <f t="shared" si="7"/>
        <v>0</v>
      </c>
      <c r="N135" s="163"/>
      <c r="O135" s="163"/>
      <c r="P135" s="163"/>
      <c r="Q135" s="163"/>
      <c r="R135" s="163"/>
      <c r="S135" s="163"/>
      <c r="T135" s="163"/>
      <c r="U135" s="163"/>
      <c r="V135" s="163"/>
      <c r="W135" s="163"/>
    </row>
    <row r="136" spans="1:23" s="176" customFormat="1" ht="24" customHeight="1" x14ac:dyDescent="0.25">
      <c r="A136" s="406">
        <v>24</v>
      </c>
      <c r="B136" s="350" t="s">
        <v>341</v>
      </c>
      <c r="C136" s="383" t="s">
        <v>314</v>
      </c>
      <c r="D136" s="384">
        <v>2</v>
      </c>
      <c r="E136" s="279">
        <v>0.5</v>
      </c>
      <c r="F136" s="279">
        <f t="shared" si="6"/>
        <v>1</v>
      </c>
      <c r="G136" s="205">
        <v>0</v>
      </c>
      <c r="H136" s="163"/>
      <c r="I136" s="163"/>
      <c r="J136" s="163"/>
      <c r="K136" s="163"/>
      <c r="L136" s="163"/>
      <c r="M136" s="163">
        <f t="shared" si="7"/>
        <v>0</v>
      </c>
      <c r="N136" s="163"/>
      <c r="O136" s="163"/>
      <c r="P136" s="163"/>
      <c r="Q136" s="163"/>
      <c r="R136" s="163"/>
      <c r="S136" s="163"/>
      <c r="T136" s="163"/>
      <c r="U136" s="163"/>
      <c r="V136" s="163"/>
      <c r="W136" s="163"/>
    </row>
    <row r="137" spans="1:23" s="176" customFormat="1" ht="24" customHeight="1" x14ac:dyDescent="0.25">
      <c r="A137" s="406">
        <v>25</v>
      </c>
      <c r="B137" s="350" t="s">
        <v>342</v>
      </c>
      <c r="C137" s="383" t="s">
        <v>314</v>
      </c>
      <c r="D137" s="384">
        <v>1</v>
      </c>
      <c r="E137" s="279">
        <v>1</v>
      </c>
      <c r="F137" s="279">
        <f t="shared" si="6"/>
        <v>1</v>
      </c>
      <c r="G137" s="205">
        <v>0</v>
      </c>
      <c r="H137" s="163"/>
      <c r="I137" s="163"/>
      <c r="J137" s="163"/>
      <c r="K137" s="163"/>
      <c r="L137" s="163"/>
      <c r="M137" s="163">
        <f t="shared" si="7"/>
        <v>0</v>
      </c>
      <c r="N137" s="163"/>
      <c r="O137" s="163"/>
      <c r="P137" s="163"/>
      <c r="Q137" s="163"/>
      <c r="R137" s="163"/>
      <c r="S137" s="163"/>
      <c r="T137" s="163"/>
      <c r="U137" s="163"/>
      <c r="V137" s="163"/>
      <c r="W137" s="163"/>
    </row>
    <row r="138" spans="1:23" s="176" customFormat="1" ht="24" customHeight="1" x14ac:dyDescent="0.25">
      <c r="A138" s="406">
        <v>26</v>
      </c>
      <c r="B138" s="350" t="s">
        <v>343</v>
      </c>
      <c r="C138" s="383" t="s">
        <v>314</v>
      </c>
      <c r="D138" s="384">
        <v>5</v>
      </c>
      <c r="E138" s="279">
        <v>0.2</v>
      </c>
      <c r="F138" s="279">
        <f t="shared" si="6"/>
        <v>1</v>
      </c>
      <c r="G138" s="205">
        <v>0</v>
      </c>
      <c r="H138" s="163"/>
      <c r="I138" s="163"/>
      <c r="J138" s="163"/>
      <c r="K138" s="163"/>
      <c r="L138" s="163"/>
      <c r="M138" s="163">
        <f t="shared" si="7"/>
        <v>0</v>
      </c>
      <c r="N138" s="163"/>
      <c r="O138" s="163"/>
      <c r="P138" s="163"/>
      <c r="Q138" s="163"/>
      <c r="R138" s="163"/>
      <c r="S138" s="163"/>
      <c r="T138" s="163"/>
      <c r="U138" s="163"/>
      <c r="V138" s="163"/>
      <c r="W138" s="163"/>
    </row>
    <row r="139" spans="1:23" s="176" customFormat="1" ht="24" customHeight="1" x14ac:dyDescent="0.25">
      <c r="A139" s="406">
        <v>27</v>
      </c>
      <c r="B139" s="350" t="s">
        <v>244</v>
      </c>
      <c r="C139" s="383" t="s">
        <v>314</v>
      </c>
      <c r="D139" s="384">
        <v>6</v>
      </c>
      <c r="E139" s="279">
        <v>22500</v>
      </c>
      <c r="F139" s="279">
        <f t="shared" si="6"/>
        <v>135000</v>
      </c>
      <c r="G139" s="205">
        <v>0</v>
      </c>
      <c r="H139" s="163"/>
      <c r="I139" s="163"/>
      <c r="J139" s="163"/>
      <c r="K139" s="163"/>
      <c r="L139" s="163"/>
      <c r="M139" s="163">
        <f t="shared" si="7"/>
        <v>0</v>
      </c>
      <c r="N139" s="163"/>
      <c r="O139" s="163"/>
      <c r="P139" s="163"/>
      <c r="Q139" s="163"/>
      <c r="R139" s="163"/>
      <c r="S139" s="163"/>
      <c r="T139" s="163"/>
      <c r="U139" s="163"/>
      <c r="V139" s="163"/>
      <c r="W139" s="163"/>
    </row>
    <row r="140" spans="1:23" s="176" customFormat="1" ht="24" customHeight="1" x14ac:dyDescent="0.25">
      <c r="A140" s="406">
        <v>28</v>
      </c>
      <c r="B140" s="350" t="s">
        <v>344</v>
      </c>
      <c r="C140" s="383" t="s">
        <v>314</v>
      </c>
      <c r="D140" s="384">
        <v>50</v>
      </c>
      <c r="E140" s="279">
        <v>140</v>
      </c>
      <c r="F140" s="279">
        <f t="shared" si="6"/>
        <v>7000</v>
      </c>
      <c r="G140" s="205">
        <v>0</v>
      </c>
      <c r="H140" s="163"/>
      <c r="I140" s="163"/>
      <c r="J140" s="163"/>
      <c r="K140" s="163"/>
      <c r="L140" s="163"/>
      <c r="M140" s="163">
        <f t="shared" si="7"/>
        <v>0</v>
      </c>
      <c r="N140" s="163"/>
      <c r="O140" s="163"/>
      <c r="P140" s="163"/>
      <c r="Q140" s="163"/>
      <c r="R140" s="163"/>
      <c r="S140" s="163"/>
      <c r="T140" s="163"/>
      <c r="U140" s="163"/>
      <c r="V140" s="163"/>
      <c r="W140" s="163"/>
    </row>
    <row r="141" spans="1:23" s="176" customFormat="1" ht="24" customHeight="1" x14ac:dyDescent="0.25">
      <c r="A141" s="406">
        <v>29</v>
      </c>
      <c r="B141" s="350" t="s">
        <v>345</v>
      </c>
      <c r="C141" s="383" t="s">
        <v>314</v>
      </c>
      <c r="D141" s="384">
        <v>6</v>
      </c>
      <c r="E141" s="279">
        <v>2100</v>
      </c>
      <c r="F141" s="279">
        <f t="shared" si="6"/>
        <v>12600</v>
      </c>
      <c r="G141" s="205">
        <v>0</v>
      </c>
      <c r="H141" s="163"/>
      <c r="I141" s="163"/>
      <c r="J141" s="163"/>
      <c r="K141" s="163"/>
      <c r="L141" s="163"/>
      <c r="M141" s="163">
        <f t="shared" si="7"/>
        <v>0</v>
      </c>
      <c r="N141" s="163"/>
      <c r="O141" s="163"/>
      <c r="P141" s="163"/>
      <c r="Q141" s="163"/>
      <c r="R141" s="163"/>
      <c r="S141" s="163"/>
      <c r="T141" s="163"/>
      <c r="U141" s="163"/>
      <c r="V141" s="163"/>
      <c r="W141" s="163"/>
    </row>
    <row r="142" spans="1:23" s="176" customFormat="1" ht="30" customHeight="1" x14ac:dyDescent="0.25">
      <c r="A142" s="93"/>
      <c r="B142" s="94" t="s">
        <v>39</v>
      </c>
      <c r="C142" s="93"/>
      <c r="D142" s="299">
        <f>SUM(D113:D141)</f>
        <v>835</v>
      </c>
      <c r="E142" s="279"/>
      <c r="F142" s="100">
        <f>SUM(F113:F141)</f>
        <v>446088.52</v>
      </c>
      <c r="G142" s="100">
        <f>SUM(G113:G141)</f>
        <v>0</v>
      </c>
      <c r="H142" s="163"/>
      <c r="I142" s="163"/>
      <c r="J142" s="163"/>
      <c r="K142" s="163"/>
      <c r="L142" s="168">
        <f>SUM(L113:L141)</f>
        <v>0</v>
      </c>
      <c r="M142" s="168">
        <f>SUM(M113:M141)</f>
        <v>0</v>
      </c>
      <c r="N142" s="163"/>
      <c r="O142" s="163"/>
      <c r="P142" s="163"/>
      <c r="Q142" s="163"/>
      <c r="R142" s="163"/>
      <c r="S142" s="163"/>
      <c r="T142" s="358">
        <f>SUM(T113:T141)</f>
        <v>0</v>
      </c>
      <c r="U142" s="358">
        <f>SUM(U113:U141)</f>
        <v>0</v>
      </c>
      <c r="V142" s="358">
        <f>SUM(V113:V141)</f>
        <v>0</v>
      </c>
      <c r="W142" s="358">
        <f>SUM(W113:W141)</f>
        <v>0</v>
      </c>
    </row>
    <row r="143" spans="1:23" s="374" customFormat="1" ht="30" customHeight="1" x14ac:dyDescent="0.25">
      <c r="A143" s="168"/>
      <c r="B143" s="208" t="s">
        <v>133</v>
      </c>
      <c r="C143" s="168"/>
      <c r="D143" s="299">
        <f>D142+D111</f>
        <v>2569</v>
      </c>
      <c r="E143" s="299"/>
      <c r="F143" s="284">
        <f>F142+F111</f>
        <v>5024244.3100000005</v>
      </c>
      <c r="G143" s="284">
        <f>G142+G111</f>
        <v>1914257.1599999995</v>
      </c>
      <c r="H143" s="168"/>
      <c r="I143" s="168"/>
      <c r="J143" s="168"/>
      <c r="K143" s="168"/>
      <c r="L143" s="168">
        <f>L142+L111</f>
        <v>9</v>
      </c>
      <c r="M143" s="378">
        <f>M142+M111</f>
        <v>351390</v>
      </c>
      <c r="N143" s="168"/>
      <c r="O143" s="168"/>
      <c r="P143" s="168"/>
      <c r="Q143" s="168"/>
      <c r="R143" s="168"/>
      <c r="S143" s="168"/>
      <c r="T143" s="385">
        <f>T142+T111</f>
        <v>0</v>
      </c>
      <c r="U143" s="359">
        <f>U142+U111</f>
        <v>0</v>
      </c>
      <c r="V143" s="385">
        <f>V142+V111</f>
        <v>0</v>
      </c>
      <c r="W143" s="359">
        <f>W142+W111</f>
        <v>0</v>
      </c>
    </row>
    <row r="144" spans="1:23" s="176" customFormat="1" ht="52.5" customHeight="1" x14ac:dyDescent="0.25">
      <c r="A144" s="469" t="s">
        <v>1226</v>
      </c>
      <c r="B144" s="470"/>
      <c r="C144" s="470"/>
      <c r="D144" s="470"/>
      <c r="E144" s="470"/>
      <c r="F144" s="470"/>
      <c r="G144" s="471"/>
      <c r="H144" s="163"/>
      <c r="I144" s="163"/>
      <c r="J144" s="163"/>
      <c r="K144" s="163"/>
      <c r="L144" s="163"/>
      <c r="M144" s="163"/>
      <c r="N144" s="163"/>
      <c r="O144" s="163"/>
      <c r="P144" s="163"/>
      <c r="Q144" s="163"/>
      <c r="R144" s="163"/>
      <c r="S144" s="163"/>
      <c r="T144" s="163"/>
      <c r="U144" s="163"/>
      <c r="V144" s="163"/>
      <c r="W144" s="163"/>
    </row>
    <row r="145" spans="1:23" s="176" customFormat="1" x14ac:dyDescent="0.25">
      <c r="A145" s="163"/>
      <c r="B145" s="475" t="s">
        <v>131</v>
      </c>
      <c r="C145" s="476"/>
      <c r="D145" s="476"/>
      <c r="E145" s="476"/>
      <c r="F145" s="476"/>
      <c r="G145" s="477"/>
      <c r="H145" s="163"/>
      <c r="I145" s="163"/>
      <c r="J145" s="163"/>
      <c r="K145" s="163"/>
      <c r="L145" s="163"/>
      <c r="M145" s="163"/>
      <c r="N145" s="163"/>
      <c r="O145" s="163"/>
      <c r="P145" s="163"/>
      <c r="Q145" s="163"/>
      <c r="R145" s="163"/>
      <c r="S145" s="163"/>
      <c r="T145" s="163"/>
      <c r="U145" s="163"/>
      <c r="V145" s="163"/>
      <c r="W145" s="163"/>
    </row>
    <row r="146" spans="1:23" s="176" customFormat="1" ht="26.25" customHeight="1" x14ac:dyDescent="0.25">
      <c r="A146" s="345">
        <v>1</v>
      </c>
      <c r="B146" s="217" t="s">
        <v>458</v>
      </c>
      <c r="C146" s="116" t="s">
        <v>14</v>
      </c>
      <c r="D146" s="116">
        <v>7</v>
      </c>
      <c r="E146" s="117">
        <v>7500</v>
      </c>
      <c r="F146" s="117">
        <f t="shared" ref="F146:F148" si="8">D146*E146</f>
        <v>52500</v>
      </c>
      <c r="G146" s="117">
        <v>0</v>
      </c>
      <c r="H146" s="163"/>
      <c r="I146" s="117">
        <f t="shared" ref="I146:I148" si="9">H146*E146</f>
        <v>0</v>
      </c>
      <c r="J146" s="163"/>
      <c r="K146" s="117">
        <f t="shared" ref="K146:K148" si="10">J146*E146</f>
        <v>0</v>
      </c>
      <c r="L146" s="163"/>
      <c r="M146" s="117"/>
      <c r="N146" s="163"/>
      <c r="O146" s="163"/>
      <c r="P146" s="163"/>
      <c r="Q146" s="163">
        <f t="shared" ref="Q146:Q148" si="11">P146*E146</f>
        <v>0</v>
      </c>
      <c r="R146" s="163"/>
      <c r="S146" s="163">
        <f t="shared" ref="S146:S148" si="12">R146*E146</f>
        <v>0</v>
      </c>
      <c r="T146" s="163"/>
      <c r="U146" s="163"/>
      <c r="V146" s="163"/>
      <c r="W146" s="163"/>
    </row>
    <row r="147" spans="1:23" s="176" customFormat="1" ht="26.25" customHeight="1" x14ac:dyDescent="0.25">
      <c r="A147" s="345">
        <v>2</v>
      </c>
      <c r="B147" s="217" t="s">
        <v>463</v>
      </c>
      <c r="C147" s="116" t="s">
        <v>14</v>
      </c>
      <c r="D147" s="116">
        <v>5</v>
      </c>
      <c r="E147" s="117">
        <v>500</v>
      </c>
      <c r="F147" s="117">
        <f t="shared" si="8"/>
        <v>2500</v>
      </c>
      <c r="G147" s="117">
        <v>0</v>
      </c>
      <c r="H147" s="163"/>
      <c r="I147" s="117">
        <f t="shared" si="9"/>
        <v>0</v>
      </c>
      <c r="J147" s="163"/>
      <c r="K147" s="117">
        <f t="shared" si="10"/>
        <v>0</v>
      </c>
      <c r="L147" s="163"/>
      <c r="M147" s="117"/>
      <c r="N147" s="163"/>
      <c r="O147" s="163"/>
      <c r="P147" s="163"/>
      <c r="Q147" s="163">
        <f t="shared" si="11"/>
        <v>0</v>
      </c>
      <c r="R147" s="163"/>
      <c r="S147" s="163">
        <f t="shared" si="12"/>
        <v>0</v>
      </c>
      <c r="T147" s="163"/>
      <c r="U147" s="163"/>
      <c r="V147" s="163"/>
      <c r="W147" s="163"/>
    </row>
    <row r="148" spans="1:23" s="176" customFormat="1" ht="26.25" customHeight="1" x14ac:dyDescent="0.25">
      <c r="A148" s="345">
        <v>3</v>
      </c>
      <c r="B148" s="217" t="s">
        <v>474</v>
      </c>
      <c r="C148" s="116" t="s">
        <v>14</v>
      </c>
      <c r="D148" s="116">
        <v>1</v>
      </c>
      <c r="E148" s="117">
        <v>22165</v>
      </c>
      <c r="F148" s="117">
        <f t="shared" si="8"/>
        <v>22165</v>
      </c>
      <c r="G148" s="117">
        <v>0</v>
      </c>
      <c r="H148" s="163"/>
      <c r="I148" s="117">
        <f t="shared" si="9"/>
        <v>0</v>
      </c>
      <c r="J148" s="163"/>
      <c r="K148" s="117">
        <f t="shared" si="10"/>
        <v>0</v>
      </c>
      <c r="L148" s="163"/>
      <c r="M148" s="117"/>
      <c r="N148" s="163"/>
      <c r="O148" s="163"/>
      <c r="P148" s="163"/>
      <c r="Q148" s="163">
        <f t="shared" si="11"/>
        <v>0</v>
      </c>
      <c r="R148" s="163"/>
      <c r="S148" s="163">
        <f t="shared" si="12"/>
        <v>0</v>
      </c>
      <c r="T148" s="163"/>
      <c r="U148" s="163"/>
      <c r="V148" s="163"/>
      <c r="W148" s="163"/>
    </row>
    <row r="149" spans="1:23" s="176" customFormat="1" ht="26.25" customHeight="1" x14ac:dyDescent="0.25">
      <c r="A149" s="406">
        <v>4</v>
      </c>
      <c r="B149" s="217" t="s">
        <v>485</v>
      </c>
      <c r="C149" s="116" t="s">
        <v>14</v>
      </c>
      <c r="D149" s="116">
        <v>1</v>
      </c>
      <c r="E149" s="117">
        <v>25000</v>
      </c>
      <c r="F149" s="117">
        <f t="shared" ref="F149:F154" si="13">D149*E149</f>
        <v>25000</v>
      </c>
      <c r="G149" s="117">
        <v>0</v>
      </c>
      <c r="H149" s="163"/>
      <c r="I149" s="117">
        <f t="shared" ref="I149:I154" si="14">H149*E149</f>
        <v>0</v>
      </c>
      <c r="J149" s="163"/>
      <c r="K149" s="117">
        <f t="shared" ref="K149:K154" si="15">J149*E149</f>
        <v>0</v>
      </c>
      <c r="L149" s="163"/>
      <c r="M149" s="117"/>
      <c r="N149" s="163"/>
      <c r="O149" s="163"/>
      <c r="P149" s="163"/>
      <c r="Q149" s="163">
        <f t="shared" ref="Q149:Q154" si="16">P149*E149</f>
        <v>0</v>
      </c>
      <c r="R149" s="163"/>
      <c r="S149" s="163">
        <f t="shared" ref="S149:S154" si="17">R149*E149</f>
        <v>0</v>
      </c>
      <c r="T149" s="163"/>
      <c r="U149" s="163"/>
      <c r="V149" s="163"/>
      <c r="W149" s="163"/>
    </row>
    <row r="150" spans="1:23" s="176" customFormat="1" ht="26.25" customHeight="1" x14ac:dyDescent="0.25">
      <c r="A150" s="406">
        <v>5</v>
      </c>
      <c r="B150" s="217" t="s">
        <v>332</v>
      </c>
      <c r="C150" s="116" t="s">
        <v>14</v>
      </c>
      <c r="D150" s="116">
        <v>1</v>
      </c>
      <c r="E150" s="117">
        <v>37670</v>
      </c>
      <c r="F150" s="117">
        <f t="shared" si="13"/>
        <v>37670</v>
      </c>
      <c r="G150" s="117">
        <v>22598</v>
      </c>
      <c r="H150" s="163"/>
      <c r="I150" s="117">
        <f t="shared" si="14"/>
        <v>0</v>
      </c>
      <c r="J150" s="163"/>
      <c r="K150" s="117">
        <f t="shared" si="15"/>
        <v>0</v>
      </c>
      <c r="L150" s="163"/>
      <c r="M150" s="117"/>
      <c r="N150" s="163"/>
      <c r="O150" s="163"/>
      <c r="P150" s="163"/>
      <c r="Q150" s="163">
        <f t="shared" si="16"/>
        <v>0</v>
      </c>
      <c r="R150" s="163"/>
      <c r="S150" s="163">
        <f t="shared" si="17"/>
        <v>0</v>
      </c>
      <c r="T150" s="163"/>
      <c r="U150" s="163"/>
      <c r="V150" s="163"/>
      <c r="W150" s="163"/>
    </row>
    <row r="151" spans="1:23" s="176" customFormat="1" ht="26.25" customHeight="1" x14ac:dyDescent="0.25">
      <c r="A151" s="406">
        <v>6</v>
      </c>
      <c r="B151" s="217" t="s">
        <v>1247</v>
      </c>
      <c r="C151" s="116" t="s">
        <v>14</v>
      </c>
      <c r="D151" s="116">
        <v>6</v>
      </c>
      <c r="E151" s="117">
        <v>72000</v>
      </c>
      <c r="F151" s="117">
        <f t="shared" si="13"/>
        <v>432000</v>
      </c>
      <c r="G151" s="117">
        <v>43200</v>
      </c>
      <c r="H151" s="163"/>
      <c r="I151" s="117">
        <f t="shared" si="14"/>
        <v>0</v>
      </c>
      <c r="J151" s="163"/>
      <c r="K151" s="117">
        <f t="shared" si="15"/>
        <v>0</v>
      </c>
      <c r="L151" s="163"/>
      <c r="M151" s="117"/>
      <c r="N151" s="163"/>
      <c r="O151" s="163"/>
      <c r="P151" s="163"/>
      <c r="Q151" s="163">
        <f t="shared" si="16"/>
        <v>0</v>
      </c>
      <c r="R151" s="163"/>
      <c r="S151" s="163">
        <f t="shared" si="17"/>
        <v>0</v>
      </c>
      <c r="T151" s="163"/>
      <c r="U151" s="163"/>
      <c r="V151" s="163"/>
      <c r="W151" s="163"/>
    </row>
    <row r="152" spans="1:23" s="176" customFormat="1" ht="26.25" customHeight="1" x14ac:dyDescent="0.25">
      <c r="A152" s="406">
        <v>7</v>
      </c>
      <c r="B152" s="217" t="s">
        <v>1248</v>
      </c>
      <c r="C152" s="116" t="s">
        <v>14</v>
      </c>
      <c r="D152" s="116">
        <v>6</v>
      </c>
      <c r="E152" s="117">
        <v>27000</v>
      </c>
      <c r="F152" s="117">
        <f t="shared" si="13"/>
        <v>162000</v>
      </c>
      <c r="G152" s="117">
        <v>16200</v>
      </c>
      <c r="H152" s="163"/>
      <c r="I152" s="117">
        <f t="shared" si="14"/>
        <v>0</v>
      </c>
      <c r="J152" s="163"/>
      <c r="K152" s="117">
        <f t="shared" si="15"/>
        <v>0</v>
      </c>
      <c r="L152" s="163"/>
      <c r="M152" s="117"/>
      <c r="N152" s="163"/>
      <c r="O152" s="163"/>
      <c r="P152" s="163"/>
      <c r="Q152" s="163">
        <f t="shared" si="16"/>
        <v>0</v>
      </c>
      <c r="R152" s="163"/>
      <c r="S152" s="163">
        <f t="shared" si="17"/>
        <v>0</v>
      </c>
      <c r="T152" s="163"/>
      <c r="U152" s="163"/>
      <c r="V152" s="163"/>
      <c r="W152" s="163"/>
    </row>
    <row r="153" spans="1:23" s="176" customFormat="1" ht="26.25" customHeight="1" x14ac:dyDescent="0.25">
      <c r="A153" s="406">
        <v>8</v>
      </c>
      <c r="B153" s="217" t="s">
        <v>1249</v>
      </c>
      <c r="C153" s="116" t="s">
        <v>14</v>
      </c>
      <c r="D153" s="116">
        <v>1</v>
      </c>
      <c r="E153" s="117">
        <v>150000</v>
      </c>
      <c r="F153" s="117">
        <f t="shared" si="13"/>
        <v>150000</v>
      </c>
      <c r="G153" s="117">
        <v>15000</v>
      </c>
      <c r="H153" s="163"/>
      <c r="I153" s="117">
        <f t="shared" si="14"/>
        <v>0</v>
      </c>
      <c r="J153" s="163"/>
      <c r="K153" s="117">
        <f t="shared" si="15"/>
        <v>0</v>
      </c>
      <c r="L153" s="163"/>
      <c r="M153" s="117"/>
      <c r="N153" s="163"/>
      <c r="O153" s="163"/>
      <c r="P153" s="163"/>
      <c r="Q153" s="163">
        <f t="shared" si="16"/>
        <v>0</v>
      </c>
      <c r="R153" s="163"/>
      <c r="S153" s="163">
        <f t="shared" si="17"/>
        <v>0</v>
      </c>
      <c r="T153" s="163"/>
      <c r="U153" s="163"/>
      <c r="V153" s="163"/>
      <c r="W153" s="163"/>
    </row>
    <row r="154" spans="1:23" s="176" customFormat="1" ht="26.25" customHeight="1" x14ac:dyDescent="0.25">
      <c r="A154" s="406">
        <v>9</v>
      </c>
      <c r="B154" s="217" t="s">
        <v>1250</v>
      </c>
      <c r="C154" s="116" t="s">
        <v>14</v>
      </c>
      <c r="D154" s="116">
        <v>30</v>
      </c>
      <c r="E154" s="117">
        <v>37680</v>
      </c>
      <c r="F154" s="117">
        <f t="shared" si="13"/>
        <v>1130400</v>
      </c>
      <c r="G154" s="117">
        <v>904320</v>
      </c>
      <c r="H154" s="163"/>
      <c r="I154" s="117">
        <f t="shared" si="14"/>
        <v>0</v>
      </c>
      <c r="J154" s="163"/>
      <c r="K154" s="117">
        <f t="shared" si="15"/>
        <v>0</v>
      </c>
      <c r="L154" s="163"/>
      <c r="M154" s="117"/>
      <c r="N154" s="163"/>
      <c r="O154" s="163"/>
      <c r="P154" s="163"/>
      <c r="Q154" s="163">
        <f t="shared" si="16"/>
        <v>0</v>
      </c>
      <c r="R154" s="163"/>
      <c r="S154" s="163">
        <f t="shared" si="17"/>
        <v>0</v>
      </c>
      <c r="T154" s="163"/>
      <c r="U154" s="163"/>
      <c r="V154" s="163"/>
      <c r="W154" s="163"/>
    </row>
    <row r="155" spans="1:23" s="374" customFormat="1" ht="26.25" customHeight="1" x14ac:dyDescent="0.25">
      <c r="A155" s="93"/>
      <c r="B155" s="94" t="s">
        <v>39</v>
      </c>
      <c r="C155" s="93"/>
      <c r="D155" s="299">
        <f>SUM(D146:D154)</f>
        <v>58</v>
      </c>
      <c r="E155" s="110"/>
      <c r="F155" s="284">
        <f t="shared" ref="F155:M155" si="18">SUM(F146:F154)</f>
        <v>2014235</v>
      </c>
      <c r="G155" s="284">
        <f t="shared" si="18"/>
        <v>1001318</v>
      </c>
      <c r="H155" s="168">
        <f t="shared" si="18"/>
        <v>0</v>
      </c>
      <c r="I155" s="378">
        <f t="shared" si="18"/>
        <v>0</v>
      </c>
      <c r="J155" s="168">
        <f t="shared" si="18"/>
        <v>0</v>
      </c>
      <c r="K155" s="378">
        <f t="shared" si="18"/>
        <v>0</v>
      </c>
      <c r="L155" s="390">
        <f t="shared" si="18"/>
        <v>0</v>
      </c>
      <c r="M155" s="378">
        <f t="shared" si="18"/>
        <v>0</v>
      </c>
      <c r="N155" s="168"/>
      <c r="O155" s="168"/>
      <c r="P155" s="168">
        <f>SUM(P145:P154)</f>
        <v>0</v>
      </c>
      <c r="Q155" s="168">
        <f>SUM(Q145:Q154)</f>
        <v>0</v>
      </c>
      <c r="R155" s="168">
        <f>SUM(R145:R154)</f>
        <v>0</v>
      </c>
      <c r="S155" s="168">
        <f>SUM(S145:S154)</f>
        <v>0</v>
      </c>
      <c r="T155" s="168">
        <f>SUM(T146:T154)</f>
        <v>0</v>
      </c>
      <c r="U155" s="359">
        <f>SUM(U146:U154)</f>
        <v>0</v>
      </c>
      <c r="V155" s="168">
        <f>SUM(V146:V154)</f>
        <v>0</v>
      </c>
      <c r="W155" s="168">
        <f>SUM(W146:W154)</f>
        <v>0</v>
      </c>
    </row>
    <row r="156" spans="1:23" s="176" customFormat="1" ht="31.5" customHeight="1" x14ac:dyDescent="0.25">
      <c r="A156" s="163"/>
      <c r="B156" s="478" t="s">
        <v>443</v>
      </c>
      <c r="C156" s="479"/>
      <c r="D156" s="479"/>
      <c r="E156" s="479"/>
      <c r="F156" s="479"/>
      <c r="G156" s="480"/>
      <c r="H156" s="163"/>
      <c r="I156" s="163"/>
      <c r="J156" s="163"/>
      <c r="K156" s="163"/>
      <c r="L156" s="163"/>
      <c r="M156" s="163"/>
      <c r="N156" s="163"/>
      <c r="O156" s="163"/>
      <c r="P156" s="163"/>
      <c r="Q156" s="163"/>
      <c r="R156" s="163"/>
      <c r="S156" s="163"/>
      <c r="T156" s="163"/>
      <c r="U156" s="163"/>
      <c r="V156" s="163"/>
      <c r="W156" s="163"/>
    </row>
    <row r="157" spans="1:23" s="176" customFormat="1" ht="24.75" customHeight="1" x14ac:dyDescent="0.25">
      <c r="A157" s="345">
        <v>1</v>
      </c>
      <c r="B157" s="392" t="s">
        <v>535</v>
      </c>
      <c r="C157" s="345" t="s">
        <v>14</v>
      </c>
      <c r="D157" s="14">
        <v>1</v>
      </c>
      <c r="E157" s="204">
        <v>6750</v>
      </c>
      <c r="F157" s="279">
        <f t="shared" ref="F157:F160" si="19">D157*E157</f>
        <v>6750</v>
      </c>
      <c r="G157" s="117">
        <v>0</v>
      </c>
      <c r="H157" s="163"/>
      <c r="I157" s="163"/>
      <c r="J157" s="163"/>
      <c r="K157" s="280">
        <f t="shared" ref="K157:K160" si="20">J157*E157</f>
        <v>0</v>
      </c>
      <c r="L157" s="163"/>
      <c r="M157" s="163"/>
      <c r="N157" s="163"/>
      <c r="O157" s="163"/>
      <c r="P157" s="163"/>
      <c r="Q157" s="391">
        <f t="shared" ref="Q157:Q160" si="21">P157*E157</f>
        <v>0</v>
      </c>
      <c r="R157" s="163"/>
      <c r="S157" s="163"/>
      <c r="T157" s="163"/>
      <c r="U157" s="163"/>
      <c r="V157" s="163"/>
      <c r="W157" s="163"/>
    </row>
    <row r="158" spans="1:23" s="176" customFormat="1" ht="24.75" customHeight="1" x14ac:dyDescent="0.25">
      <c r="A158" s="345">
        <v>2</v>
      </c>
      <c r="B158" s="113" t="s">
        <v>211</v>
      </c>
      <c r="C158" s="345" t="s">
        <v>14</v>
      </c>
      <c r="D158" s="347">
        <v>1</v>
      </c>
      <c r="E158" s="204">
        <v>16560</v>
      </c>
      <c r="F158" s="279">
        <f t="shared" si="19"/>
        <v>16560</v>
      </c>
      <c r="G158" s="117">
        <v>0</v>
      </c>
      <c r="H158" s="163"/>
      <c r="I158" s="163"/>
      <c r="J158" s="163"/>
      <c r="K158" s="280">
        <f t="shared" si="20"/>
        <v>0</v>
      </c>
      <c r="L158" s="163"/>
      <c r="M158" s="280"/>
      <c r="N158" s="163"/>
      <c r="O158" s="163"/>
      <c r="P158" s="163"/>
      <c r="Q158" s="391">
        <f t="shared" si="21"/>
        <v>0</v>
      </c>
      <c r="R158" s="163"/>
      <c r="S158" s="163"/>
      <c r="T158" s="163"/>
      <c r="U158" s="163"/>
      <c r="V158" s="163"/>
      <c r="W158" s="163"/>
    </row>
    <row r="159" spans="1:23" s="176" customFormat="1" ht="24.75" customHeight="1" x14ac:dyDescent="0.25">
      <c r="A159" s="345">
        <v>3</v>
      </c>
      <c r="B159" s="114" t="s">
        <v>539</v>
      </c>
      <c r="C159" s="345" t="s">
        <v>14</v>
      </c>
      <c r="D159" s="283">
        <v>1</v>
      </c>
      <c r="E159" s="204">
        <v>9500</v>
      </c>
      <c r="F159" s="279">
        <f t="shared" si="19"/>
        <v>9500</v>
      </c>
      <c r="G159" s="117">
        <v>0</v>
      </c>
      <c r="H159" s="163"/>
      <c r="I159" s="163"/>
      <c r="J159" s="163"/>
      <c r="K159" s="280">
        <f t="shared" si="20"/>
        <v>0</v>
      </c>
      <c r="L159" s="163"/>
      <c r="M159" s="280"/>
      <c r="N159" s="163"/>
      <c r="O159" s="163"/>
      <c r="P159" s="163"/>
      <c r="Q159" s="391">
        <f t="shared" si="21"/>
        <v>0</v>
      </c>
      <c r="R159" s="163"/>
      <c r="S159" s="163"/>
      <c r="T159" s="163"/>
      <c r="U159" s="163"/>
      <c r="V159" s="163"/>
      <c r="W159" s="163"/>
    </row>
    <row r="160" spans="1:23" s="375" customFormat="1" ht="24.75" customHeight="1" x14ac:dyDescent="0.25">
      <c r="A160" s="290">
        <v>4</v>
      </c>
      <c r="B160" s="278" t="s">
        <v>539</v>
      </c>
      <c r="C160" s="290" t="s">
        <v>14</v>
      </c>
      <c r="D160" s="291">
        <v>1</v>
      </c>
      <c r="E160" s="204">
        <v>7620</v>
      </c>
      <c r="F160" s="279">
        <f t="shared" si="19"/>
        <v>7620</v>
      </c>
      <c r="G160" s="117">
        <v>0</v>
      </c>
      <c r="H160" s="153"/>
      <c r="I160" s="153"/>
      <c r="J160" s="153"/>
      <c r="K160" s="280">
        <f t="shared" si="20"/>
        <v>0</v>
      </c>
      <c r="L160" s="153"/>
      <c r="M160" s="280"/>
      <c r="N160" s="153"/>
      <c r="O160" s="153"/>
      <c r="P160" s="153"/>
      <c r="Q160" s="391">
        <f t="shared" si="21"/>
        <v>0</v>
      </c>
      <c r="R160" s="153"/>
      <c r="S160" s="153"/>
      <c r="T160" s="153"/>
      <c r="U160" s="153"/>
      <c r="V160" s="153"/>
      <c r="W160" s="153"/>
    </row>
    <row r="161" spans="1:23" s="374" customFormat="1" ht="24.75" customHeight="1" x14ac:dyDescent="0.25">
      <c r="A161" s="349"/>
      <c r="B161" s="208" t="s">
        <v>39</v>
      </c>
      <c r="C161" s="168"/>
      <c r="D161" s="299">
        <f>SUM(D157:D160)</f>
        <v>4</v>
      </c>
      <c r="E161" s="348"/>
      <c r="F161" s="284">
        <f>SUM(F157:F160)</f>
        <v>40430</v>
      </c>
      <c r="G161" s="284">
        <f>SUM(G157:G160)</f>
        <v>0</v>
      </c>
      <c r="H161" s="168"/>
      <c r="I161" s="168"/>
      <c r="J161" s="168">
        <f>SUM(J157:J160)</f>
        <v>0</v>
      </c>
      <c r="K161" s="378">
        <f>SUM(K157:K160)</f>
        <v>0</v>
      </c>
      <c r="L161" s="390">
        <f>SUM(L157:L160)</f>
        <v>0</v>
      </c>
      <c r="M161" s="378">
        <f>SUM(M157:M160)</f>
        <v>0</v>
      </c>
      <c r="N161" s="168"/>
      <c r="O161" s="168"/>
      <c r="P161" s="168">
        <f>SUM(P157:P160)</f>
        <v>0</v>
      </c>
      <c r="Q161" s="378">
        <f>SUM(Q157:Q160)</f>
        <v>0</v>
      </c>
      <c r="R161" s="168"/>
      <c r="S161" s="168"/>
      <c r="T161" s="168">
        <f>SUM(T157:T160)</f>
        <v>0</v>
      </c>
      <c r="U161" s="168">
        <f>SUM(U157:U160)</f>
        <v>0</v>
      </c>
      <c r="V161" s="168">
        <f>SUM(V157:V160)</f>
        <v>0</v>
      </c>
      <c r="W161" s="168">
        <f>SUM(W157:W160)</f>
        <v>0</v>
      </c>
    </row>
    <row r="162" spans="1:23" s="374" customFormat="1" ht="24.75" customHeight="1" x14ac:dyDescent="0.25">
      <c r="A162" s="168"/>
      <c r="B162" s="208" t="s">
        <v>552</v>
      </c>
      <c r="C162" s="168"/>
      <c r="D162" s="299">
        <f>D161+D155</f>
        <v>62</v>
      </c>
      <c r="E162" s="299"/>
      <c r="F162" s="284">
        <f t="shared" ref="F162:G162" si="22">F161+F155</f>
        <v>2054665</v>
      </c>
      <c r="G162" s="284">
        <f t="shared" si="22"/>
        <v>1001318</v>
      </c>
      <c r="H162" s="168">
        <f t="shared" ref="H162:M162" si="23">H161+H155</f>
        <v>0</v>
      </c>
      <c r="I162" s="378">
        <f t="shared" si="23"/>
        <v>0</v>
      </c>
      <c r="J162" s="168">
        <f t="shared" si="23"/>
        <v>0</v>
      </c>
      <c r="K162" s="378">
        <f t="shared" si="23"/>
        <v>0</v>
      </c>
      <c r="L162" s="390">
        <f t="shared" si="23"/>
        <v>0</v>
      </c>
      <c r="M162" s="378">
        <f t="shared" si="23"/>
        <v>0</v>
      </c>
      <c r="N162" s="168"/>
      <c r="O162" s="168"/>
      <c r="P162" s="168">
        <f t="shared" ref="P162:W162" si="24">P161+P155</f>
        <v>0</v>
      </c>
      <c r="Q162" s="378">
        <f t="shared" si="24"/>
        <v>0</v>
      </c>
      <c r="R162" s="168">
        <f t="shared" si="24"/>
        <v>0</v>
      </c>
      <c r="S162" s="168">
        <f t="shared" si="24"/>
        <v>0</v>
      </c>
      <c r="T162" s="168">
        <f t="shared" si="24"/>
        <v>0</v>
      </c>
      <c r="U162" s="359">
        <f t="shared" si="24"/>
        <v>0</v>
      </c>
      <c r="V162" s="168">
        <f t="shared" si="24"/>
        <v>0</v>
      </c>
      <c r="W162" s="168">
        <f t="shared" si="24"/>
        <v>0</v>
      </c>
    </row>
    <row r="163" spans="1:23" s="176" customFormat="1" ht="44.25" customHeight="1" x14ac:dyDescent="0.25">
      <c r="A163" s="469" t="s">
        <v>1252</v>
      </c>
      <c r="B163" s="470"/>
      <c r="C163" s="470"/>
      <c r="D163" s="470"/>
      <c r="E163" s="470"/>
      <c r="F163" s="470"/>
      <c r="G163" s="471"/>
      <c r="H163" s="163"/>
      <c r="I163" s="163"/>
      <c r="J163" s="163"/>
      <c r="K163" s="163"/>
      <c r="L163" s="163"/>
      <c r="M163" s="163"/>
      <c r="N163" s="163"/>
      <c r="O163" s="163"/>
      <c r="P163" s="163"/>
      <c r="Q163" s="163"/>
      <c r="R163" s="163"/>
      <c r="S163" s="163"/>
      <c r="T163" s="163"/>
      <c r="U163" s="163"/>
      <c r="V163" s="163"/>
      <c r="W163" s="163"/>
    </row>
    <row r="164" spans="1:23" s="176" customFormat="1" ht="21.75" customHeight="1" x14ac:dyDescent="0.25">
      <c r="A164" s="346"/>
      <c r="B164" s="470" t="s">
        <v>131</v>
      </c>
      <c r="C164" s="470"/>
      <c r="D164" s="470"/>
      <c r="E164" s="470"/>
      <c r="F164" s="470"/>
      <c r="G164" s="471"/>
      <c r="H164" s="163"/>
      <c r="I164" s="163"/>
      <c r="J164" s="163"/>
      <c r="K164" s="163"/>
      <c r="L164" s="163"/>
      <c r="M164" s="163"/>
      <c r="N164" s="163"/>
      <c r="O164" s="163"/>
      <c r="P164" s="163"/>
      <c r="Q164" s="163"/>
      <c r="R164" s="163"/>
      <c r="S164" s="163"/>
      <c r="T164" s="163"/>
      <c r="U164" s="163"/>
      <c r="V164" s="163"/>
      <c r="W164" s="163"/>
    </row>
    <row r="165" spans="1:23" s="176" customFormat="1" ht="23.25" customHeight="1" x14ac:dyDescent="0.25">
      <c r="A165" s="345">
        <v>1</v>
      </c>
      <c r="B165" s="285" t="s">
        <v>919</v>
      </c>
      <c r="C165" s="283" t="s">
        <v>14</v>
      </c>
      <c r="D165" s="368">
        <v>34</v>
      </c>
      <c r="E165" s="302">
        <v>1</v>
      </c>
      <c r="F165" s="288">
        <f t="shared" ref="F165:F172" si="25">D165*E165</f>
        <v>34</v>
      </c>
      <c r="G165" s="288">
        <f>+D165*0</f>
        <v>0</v>
      </c>
      <c r="H165" s="163"/>
      <c r="I165" s="163"/>
      <c r="J165" s="163"/>
      <c r="K165" s="163"/>
      <c r="L165" s="163"/>
      <c r="M165" s="163"/>
      <c r="N165" s="163"/>
      <c r="O165" s="280">
        <f t="shared" ref="O165:O172" si="26">N165*E165</f>
        <v>0</v>
      </c>
      <c r="P165" s="163"/>
      <c r="Q165" s="163"/>
      <c r="R165" s="163"/>
      <c r="S165" s="163"/>
      <c r="T165" s="163"/>
      <c r="U165" s="163"/>
      <c r="V165" s="163"/>
      <c r="W165" s="163"/>
    </row>
    <row r="166" spans="1:23" s="176" customFormat="1" ht="23.25" customHeight="1" x14ac:dyDescent="0.25">
      <c r="A166" s="345">
        <v>2</v>
      </c>
      <c r="B166" s="285" t="s">
        <v>951</v>
      </c>
      <c r="C166" s="283" t="s">
        <v>14</v>
      </c>
      <c r="D166" s="368">
        <v>1</v>
      </c>
      <c r="E166" s="302">
        <v>1</v>
      </c>
      <c r="F166" s="288">
        <f t="shared" si="25"/>
        <v>1</v>
      </c>
      <c r="G166" s="288">
        <v>0</v>
      </c>
      <c r="H166" s="163"/>
      <c r="I166" s="163"/>
      <c r="J166" s="163"/>
      <c r="K166" s="163"/>
      <c r="L166" s="163"/>
      <c r="M166" s="163"/>
      <c r="N166" s="163"/>
      <c r="O166" s="280">
        <f t="shared" si="26"/>
        <v>0</v>
      </c>
      <c r="P166" s="163"/>
      <c r="Q166" s="163"/>
      <c r="R166" s="163"/>
      <c r="S166" s="163"/>
      <c r="T166" s="163"/>
      <c r="U166" s="163"/>
      <c r="V166" s="163"/>
      <c r="W166" s="163"/>
    </row>
    <row r="167" spans="1:23" s="176" customFormat="1" ht="23.25" customHeight="1" x14ac:dyDescent="0.25">
      <c r="A167" s="345">
        <v>3</v>
      </c>
      <c r="B167" s="285" t="s">
        <v>953</v>
      </c>
      <c r="C167" s="283" t="s">
        <v>14</v>
      </c>
      <c r="D167" s="368">
        <v>2</v>
      </c>
      <c r="E167" s="302">
        <v>2045</v>
      </c>
      <c r="F167" s="288">
        <f t="shared" si="25"/>
        <v>4090</v>
      </c>
      <c r="G167" s="288">
        <f>+D167*1044.71</f>
        <v>2089.42</v>
      </c>
      <c r="H167" s="163"/>
      <c r="I167" s="163"/>
      <c r="J167" s="163"/>
      <c r="K167" s="163"/>
      <c r="L167" s="163"/>
      <c r="M167" s="163"/>
      <c r="N167" s="163"/>
      <c r="O167" s="280">
        <f t="shared" si="26"/>
        <v>0</v>
      </c>
      <c r="P167" s="163"/>
      <c r="Q167" s="163"/>
      <c r="R167" s="163"/>
      <c r="S167" s="163"/>
      <c r="T167" s="163"/>
      <c r="U167" s="163"/>
      <c r="V167" s="163"/>
      <c r="W167" s="163"/>
    </row>
    <row r="168" spans="1:23" s="176" customFormat="1" ht="23.25" customHeight="1" x14ac:dyDescent="0.25">
      <c r="A168" s="406">
        <v>4</v>
      </c>
      <c r="B168" s="285" t="s">
        <v>955</v>
      </c>
      <c r="C168" s="283" t="s">
        <v>14</v>
      </c>
      <c r="D168" s="368">
        <v>2</v>
      </c>
      <c r="E168" s="302">
        <v>15000</v>
      </c>
      <c r="F168" s="288">
        <f t="shared" si="25"/>
        <v>30000</v>
      </c>
      <c r="G168" s="288">
        <f>+D168*12525.87</f>
        <v>25051.74</v>
      </c>
      <c r="H168" s="163"/>
      <c r="I168" s="163"/>
      <c r="J168" s="163"/>
      <c r="K168" s="163"/>
      <c r="L168" s="163"/>
      <c r="M168" s="163"/>
      <c r="N168" s="163"/>
      <c r="O168" s="280">
        <f t="shared" si="26"/>
        <v>0</v>
      </c>
      <c r="P168" s="163"/>
      <c r="Q168" s="163"/>
      <c r="R168" s="163"/>
      <c r="S168" s="163"/>
      <c r="T168" s="163"/>
      <c r="U168" s="163"/>
      <c r="V168" s="163"/>
      <c r="W168" s="163"/>
    </row>
    <row r="169" spans="1:23" s="176" customFormat="1" ht="23.25" customHeight="1" x14ac:dyDescent="0.25">
      <c r="A169" s="406">
        <v>5</v>
      </c>
      <c r="B169" s="285" t="s">
        <v>957</v>
      </c>
      <c r="C169" s="283" t="s">
        <v>14</v>
      </c>
      <c r="D169" s="368">
        <v>2</v>
      </c>
      <c r="E169" s="302">
        <v>33792</v>
      </c>
      <c r="F169" s="288">
        <f t="shared" si="25"/>
        <v>67584</v>
      </c>
      <c r="G169" s="288">
        <f>+D169*24588.39</f>
        <v>49176.78</v>
      </c>
      <c r="H169" s="163"/>
      <c r="I169" s="163"/>
      <c r="J169" s="163"/>
      <c r="K169" s="163"/>
      <c r="L169" s="163"/>
      <c r="M169" s="163"/>
      <c r="N169" s="163"/>
      <c r="O169" s="280">
        <f t="shared" si="26"/>
        <v>0</v>
      </c>
      <c r="P169" s="163"/>
      <c r="Q169" s="163"/>
      <c r="R169" s="163"/>
      <c r="S169" s="163"/>
      <c r="T169" s="163"/>
      <c r="U169" s="163"/>
      <c r="V169" s="163"/>
      <c r="W169" s="163"/>
    </row>
    <row r="170" spans="1:23" s="176" customFormat="1" ht="23.25" customHeight="1" x14ac:dyDescent="0.25">
      <c r="A170" s="406">
        <v>6</v>
      </c>
      <c r="B170" s="285" t="s">
        <v>961</v>
      </c>
      <c r="C170" s="283" t="s">
        <v>14</v>
      </c>
      <c r="D170" s="368">
        <v>1</v>
      </c>
      <c r="E170" s="302">
        <v>1</v>
      </c>
      <c r="F170" s="288">
        <f t="shared" si="25"/>
        <v>1</v>
      </c>
      <c r="G170" s="288">
        <v>0.75</v>
      </c>
      <c r="H170" s="163"/>
      <c r="I170" s="163"/>
      <c r="J170" s="163"/>
      <c r="K170" s="163"/>
      <c r="L170" s="163"/>
      <c r="M170" s="163"/>
      <c r="N170" s="163"/>
      <c r="O170" s="280">
        <f t="shared" si="26"/>
        <v>0</v>
      </c>
      <c r="P170" s="163"/>
      <c r="Q170" s="163"/>
      <c r="R170" s="163"/>
      <c r="S170" s="163"/>
      <c r="T170" s="163"/>
      <c r="U170" s="163"/>
      <c r="V170" s="163"/>
      <c r="W170" s="163"/>
    </row>
    <row r="171" spans="1:23" s="176" customFormat="1" ht="23.25" customHeight="1" x14ac:dyDescent="0.25">
      <c r="A171" s="406">
        <v>7</v>
      </c>
      <c r="B171" s="285" t="s">
        <v>966</v>
      </c>
      <c r="C171" s="283" t="s">
        <v>14</v>
      </c>
      <c r="D171" s="368">
        <v>1</v>
      </c>
      <c r="E171" s="302">
        <v>491707</v>
      </c>
      <c r="F171" s="288">
        <f t="shared" si="25"/>
        <v>491707</v>
      </c>
      <c r="G171" s="288">
        <v>0</v>
      </c>
      <c r="H171" s="163"/>
      <c r="I171" s="163"/>
      <c r="J171" s="163"/>
      <c r="K171" s="163"/>
      <c r="L171" s="163"/>
      <c r="M171" s="163"/>
      <c r="N171" s="163"/>
      <c r="O171" s="280">
        <f t="shared" si="26"/>
        <v>0</v>
      </c>
      <c r="P171" s="163"/>
      <c r="Q171" s="163"/>
      <c r="R171" s="163"/>
      <c r="S171" s="163"/>
      <c r="T171" s="163"/>
      <c r="U171" s="163"/>
      <c r="V171" s="163"/>
      <c r="W171" s="163"/>
    </row>
    <row r="172" spans="1:23" s="176" customFormat="1" ht="23.25" customHeight="1" x14ac:dyDescent="0.25">
      <c r="A172" s="406">
        <v>8</v>
      </c>
      <c r="B172" s="285" t="s">
        <v>969</v>
      </c>
      <c r="C172" s="283" t="s">
        <v>14</v>
      </c>
      <c r="D172" s="368">
        <v>1</v>
      </c>
      <c r="E172" s="302">
        <v>1</v>
      </c>
      <c r="F172" s="288">
        <f t="shared" si="25"/>
        <v>1</v>
      </c>
      <c r="G172" s="288">
        <v>0</v>
      </c>
      <c r="H172" s="163"/>
      <c r="I172" s="163"/>
      <c r="J172" s="163"/>
      <c r="K172" s="163"/>
      <c r="L172" s="163"/>
      <c r="M172" s="163"/>
      <c r="N172" s="163"/>
      <c r="O172" s="280">
        <f t="shared" si="26"/>
        <v>0</v>
      </c>
      <c r="P172" s="163"/>
      <c r="Q172" s="163"/>
      <c r="R172" s="163"/>
      <c r="S172" s="163"/>
      <c r="T172" s="163"/>
      <c r="U172" s="163"/>
      <c r="V172" s="163"/>
      <c r="W172" s="163"/>
    </row>
    <row r="173" spans="1:23" s="176" customFormat="1" ht="23.25" customHeight="1" x14ac:dyDescent="0.25">
      <c r="A173" s="406">
        <v>9</v>
      </c>
      <c r="B173" s="285" t="s">
        <v>996</v>
      </c>
      <c r="C173" s="283" t="s">
        <v>14</v>
      </c>
      <c r="D173" s="368">
        <v>4</v>
      </c>
      <c r="E173" s="302">
        <v>1</v>
      </c>
      <c r="F173" s="288">
        <f t="shared" ref="F173:F188" si="27">D173*E173</f>
        <v>4</v>
      </c>
      <c r="G173" s="288">
        <v>0</v>
      </c>
      <c r="H173" s="163"/>
      <c r="I173" s="163"/>
      <c r="J173" s="163"/>
      <c r="K173" s="163"/>
      <c r="L173" s="163"/>
      <c r="M173" s="163"/>
      <c r="N173" s="163"/>
      <c r="O173" s="280">
        <f t="shared" ref="O173:O188" si="28">N173*E173</f>
        <v>0</v>
      </c>
      <c r="P173" s="163"/>
      <c r="Q173" s="163"/>
      <c r="R173" s="163"/>
      <c r="S173" s="163"/>
      <c r="T173" s="163"/>
      <c r="U173" s="163"/>
      <c r="V173" s="163"/>
      <c r="W173" s="163"/>
    </row>
    <row r="174" spans="1:23" s="176" customFormat="1" ht="23.25" customHeight="1" x14ac:dyDescent="0.25">
      <c r="A174" s="406">
        <v>10</v>
      </c>
      <c r="B174" s="285" t="s">
        <v>997</v>
      </c>
      <c r="C174" s="283" t="s">
        <v>14</v>
      </c>
      <c r="D174" s="368">
        <v>3</v>
      </c>
      <c r="E174" s="302">
        <v>2975</v>
      </c>
      <c r="F174" s="288">
        <f t="shared" si="27"/>
        <v>8925</v>
      </c>
      <c r="G174" s="288">
        <f>+D174*1576.88</f>
        <v>4730.6400000000003</v>
      </c>
      <c r="H174" s="163"/>
      <c r="I174" s="163"/>
      <c r="J174" s="163"/>
      <c r="K174" s="163"/>
      <c r="L174" s="163"/>
      <c r="M174" s="163"/>
      <c r="N174" s="163"/>
      <c r="O174" s="280">
        <f t="shared" si="28"/>
        <v>0</v>
      </c>
      <c r="P174" s="163"/>
      <c r="Q174" s="163"/>
      <c r="R174" s="163"/>
      <c r="S174" s="163"/>
      <c r="T174" s="163"/>
      <c r="U174" s="163"/>
      <c r="V174" s="163"/>
      <c r="W174" s="163"/>
    </row>
    <row r="175" spans="1:23" s="176" customFormat="1" ht="23.25" customHeight="1" x14ac:dyDescent="0.25">
      <c r="A175" s="406">
        <v>11</v>
      </c>
      <c r="B175" s="285" t="s">
        <v>998</v>
      </c>
      <c r="C175" s="283" t="s">
        <v>14</v>
      </c>
      <c r="D175" s="368">
        <v>4</v>
      </c>
      <c r="E175" s="302">
        <v>1</v>
      </c>
      <c r="F175" s="288">
        <f t="shared" si="27"/>
        <v>4</v>
      </c>
      <c r="G175" s="288">
        <v>0</v>
      </c>
      <c r="H175" s="163"/>
      <c r="I175" s="163"/>
      <c r="J175" s="163"/>
      <c r="K175" s="163"/>
      <c r="L175" s="163"/>
      <c r="M175" s="163"/>
      <c r="N175" s="163"/>
      <c r="O175" s="280">
        <f t="shared" si="28"/>
        <v>0</v>
      </c>
      <c r="P175" s="163"/>
      <c r="Q175" s="163"/>
      <c r="R175" s="163"/>
      <c r="S175" s="163"/>
      <c r="T175" s="163"/>
      <c r="U175" s="163"/>
      <c r="V175" s="163"/>
      <c r="W175" s="163"/>
    </row>
    <row r="176" spans="1:23" s="176" customFormat="1" ht="23.25" customHeight="1" x14ac:dyDescent="0.25">
      <c r="A176" s="406">
        <v>12</v>
      </c>
      <c r="B176" s="285" t="s">
        <v>999</v>
      </c>
      <c r="C176" s="283" t="s">
        <v>14</v>
      </c>
      <c r="D176" s="368">
        <v>1</v>
      </c>
      <c r="E176" s="302">
        <v>1</v>
      </c>
      <c r="F176" s="288">
        <f t="shared" si="27"/>
        <v>1</v>
      </c>
      <c r="G176" s="288">
        <v>0</v>
      </c>
      <c r="H176" s="163"/>
      <c r="I176" s="163"/>
      <c r="J176" s="163"/>
      <c r="K176" s="163"/>
      <c r="L176" s="163"/>
      <c r="M176" s="163"/>
      <c r="N176" s="163"/>
      <c r="O176" s="280">
        <f t="shared" si="28"/>
        <v>0</v>
      </c>
      <c r="P176" s="163"/>
      <c r="Q176" s="163"/>
      <c r="R176" s="163"/>
      <c r="S176" s="163"/>
      <c r="T176" s="163"/>
      <c r="U176" s="163"/>
      <c r="V176" s="163"/>
      <c r="W176" s="163"/>
    </row>
    <row r="177" spans="1:23" s="176" customFormat="1" ht="23.25" customHeight="1" x14ac:dyDescent="0.25">
      <c r="A177" s="406">
        <v>13</v>
      </c>
      <c r="B177" s="285" t="s">
        <v>1000</v>
      </c>
      <c r="C177" s="283" t="s">
        <v>14</v>
      </c>
      <c r="D177" s="368">
        <v>7</v>
      </c>
      <c r="E177" s="302">
        <v>1</v>
      </c>
      <c r="F177" s="288">
        <f t="shared" si="27"/>
        <v>7</v>
      </c>
      <c r="G177" s="288">
        <v>0</v>
      </c>
      <c r="H177" s="163"/>
      <c r="I177" s="163"/>
      <c r="J177" s="163"/>
      <c r="K177" s="163"/>
      <c r="L177" s="163"/>
      <c r="M177" s="163"/>
      <c r="N177" s="163"/>
      <c r="O177" s="280">
        <f t="shared" si="28"/>
        <v>0</v>
      </c>
      <c r="P177" s="163"/>
      <c r="Q177" s="163"/>
      <c r="R177" s="163"/>
      <c r="S177" s="163"/>
      <c r="T177" s="163"/>
      <c r="U177" s="163"/>
      <c r="V177" s="163"/>
      <c r="W177" s="163"/>
    </row>
    <row r="178" spans="1:23" s="176" customFormat="1" ht="23.25" customHeight="1" x14ac:dyDescent="0.25">
      <c r="A178" s="406">
        <v>14</v>
      </c>
      <c r="B178" s="285" t="s">
        <v>1001</v>
      </c>
      <c r="C178" s="283" t="s">
        <v>14</v>
      </c>
      <c r="D178" s="368">
        <v>1</v>
      </c>
      <c r="E178" s="302">
        <v>1</v>
      </c>
      <c r="F178" s="288">
        <f t="shared" si="27"/>
        <v>1</v>
      </c>
      <c r="G178" s="288">
        <v>0</v>
      </c>
      <c r="H178" s="163"/>
      <c r="I178" s="163"/>
      <c r="J178" s="163"/>
      <c r="K178" s="163"/>
      <c r="L178" s="163"/>
      <c r="M178" s="163"/>
      <c r="N178" s="163"/>
      <c r="O178" s="280">
        <f t="shared" si="28"/>
        <v>0</v>
      </c>
      <c r="P178" s="163"/>
      <c r="Q178" s="163"/>
      <c r="R178" s="163"/>
      <c r="S178" s="163"/>
      <c r="T178" s="163"/>
      <c r="U178" s="163"/>
      <c r="V178" s="163"/>
      <c r="W178" s="163"/>
    </row>
    <row r="179" spans="1:23" s="176" customFormat="1" ht="23.25" customHeight="1" x14ac:dyDescent="0.25">
      <c r="A179" s="406">
        <v>15</v>
      </c>
      <c r="B179" s="285" t="s">
        <v>1002</v>
      </c>
      <c r="C179" s="283" t="s">
        <v>14</v>
      </c>
      <c r="D179" s="368">
        <v>1</v>
      </c>
      <c r="E179" s="302">
        <v>1</v>
      </c>
      <c r="F179" s="288">
        <f t="shared" si="27"/>
        <v>1</v>
      </c>
      <c r="G179" s="288">
        <v>0</v>
      </c>
      <c r="H179" s="163"/>
      <c r="I179" s="163"/>
      <c r="J179" s="163"/>
      <c r="K179" s="163"/>
      <c r="L179" s="163"/>
      <c r="M179" s="163"/>
      <c r="N179" s="163"/>
      <c r="O179" s="280">
        <f t="shared" si="28"/>
        <v>0</v>
      </c>
      <c r="P179" s="163"/>
      <c r="Q179" s="163"/>
      <c r="R179" s="163"/>
      <c r="S179" s="163"/>
      <c r="T179" s="163"/>
      <c r="U179" s="163"/>
      <c r="V179" s="163"/>
      <c r="W179" s="163"/>
    </row>
    <row r="180" spans="1:23" s="176" customFormat="1" ht="23.25" customHeight="1" x14ac:dyDescent="0.25">
      <c r="A180" s="406">
        <v>16</v>
      </c>
      <c r="B180" s="285" t="s">
        <v>1003</v>
      </c>
      <c r="C180" s="283" t="s">
        <v>14</v>
      </c>
      <c r="D180" s="368">
        <v>1</v>
      </c>
      <c r="E180" s="302">
        <v>1800</v>
      </c>
      <c r="F180" s="288">
        <f t="shared" si="27"/>
        <v>1800</v>
      </c>
      <c r="G180" s="288">
        <v>202.15</v>
      </c>
      <c r="H180" s="163"/>
      <c r="I180" s="163"/>
      <c r="J180" s="163"/>
      <c r="K180" s="163"/>
      <c r="L180" s="163"/>
      <c r="M180" s="163"/>
      <c r="N180" s="163"/>
      <c r="O180" s="280">
        <f t="shared" si="28"/>
        <v>0</v>
      </c>
      <c r="P180" s="163"/>
      <c r="Q180" s="163"/>
      <c r="R180" s="163"/>
      <c r="S180" s="163"/>
      <c r="T180" s="163"/>
      <c r="U180" s="163"/>
      <c r="V180" s="163"/>
      <c r="W180" s="163"/>
    </row>
    <row r="181" spans="1:23" s="176" customFormat="1" ht="23.25" customHeight="1" x14ac:dyDescent="0.25">
      <c r="A181" s="406">
        <v>17</v>
      </c>
      <c r="B181" s="285" t="s">
        <v>1004</v>
      </c>
      <c r="C181" s="283" t="s">
        <v>14</v>
      </c>
      <c r="D181" s="368">
        <v>2</v>
      </c>
      <c r="E181" s="302">
        <v>625</v>
      </c>
      <c r="F181" s="288">
        <f t="shared" si="27"/>
        <v>1250</v>
      </c>
      <c r="G181" s="288">
        <v>0</v>
      </c>
      <c r="H181" s="163"/>
      <c r="I181" s="163"/>
      <c r="J181" s="163"/>
      <c r="K181" s="163"/>
      <c r="L181" s="163"/>
      <c r="M181" s="163"/>
      <c r="N181" s="163"/>
      <c r="O181" s="280">
        <f t="shared" si="28"/>
        <v>0</v>
      </c>
      <c r="P181" s="163"/>
      <c r="Q181" s="163"/>
      <c r="R181" s="163"/>
      <c r="S181" s="163"/>
      <c r="T181" s="163"/>
      <c r="U181" s="163"/>
      <c r="V181" s="163"/>
      <c r="W181" s="163"/>
    </row>
    <row r="182" spans="1:23" s="176" customFormat="1" ht="23.25" customHeight="1" x14ac:dyDescent="0.25">
      <c r="A182" s="406">
        <v>18</v>
      </c>
      <c r="B182" s="285" t="s">
        <v>1006</v>
      </c>
      <c r="C182" s="283" t="s">
        <v>14</v>
      </c>
      <c r="D182" s="368">
        <v>1</v>
      </c>
      <c r="E182" s="302">
        <v>193325</v>
      </c>
      <c r="F182" s="288">
        <f t="shared" si="27"/>
        <v>193325</v>
      </c>
      <c r="G182" s="288">
        <v>144550.65</v>
      </c>
      <c r="H182" s="163"/>
      <c r="I182" s="163"/>
      <c r="J182" s="163"/>
      <c r="K182" s="163"/>
      <c r="L182" s="163"/>
      <c r="M182" s="163"/>
      <c r="N182" s="163"/>
      <c r="O182" s="280">
        <f t="shared" si="28"/>
        <v>0</v>
      </c>
      <c r="P182" s="163"/>
      <c r="Q182" s="163"/>
      <c r="R182" s="163"/>
      <c r="S182" s="163"/>
      <c r="T182" s="163"/>
      <c r="U182" s="163"/>
      <c r="V182" s="163"/>
      <c r="W182" s="163"/>
    </row>
    <row r="183" spans="1:23" s="176" customFormat="1" ht="23.25" customHeight="1" x14ac:dyDescent="0.25">
      <c r="A183" s="406">
        <v>19</v>
      </c>
      <c r="B183" s="285" t="s">
        <v>1010</v>
      </c>
      <c r="C183" s="283" t="s">
        <v>14</v>
      </c>
      <c r="D183" s="368">
        <v>1</v>
      </c>
      <c r="E183" s="302">
        <v>59000</v>
      </c>
      <c r="F183" s="288">
        <f t="shared" si="27"/>
        <v>59000</v>
      </c>
      <c r="G183" s="288">
        <v>47016.13</v>
      </c>
      <c r="H183" s="163"/>
      <c r="I183" s="163"/>
      <c r="J183" s="163"/>
      <c r="K183" s="163"/>
      <c r="L183" s="163"/>
      <c r="M183" s="280"/>
      <c r="N183" s="163"/>
      <c r="O183" s="280">
        <f t="shared" si="28"/>
        <v>0</v>
      </c>
      <c r="P183" s="163"/>
      <c r="Q183" s="163"/>
      <c r="R183" s="163"/>
      <c r="S183" s="163"/>
      <c r="T183" s="163"/>
      <c r="U183" s="163"/>
      <c r="V183" s="163"/>
      <c r="W183" s="163"/>
    </row>
    <row r="184" spans="1:23" s="176" customFormat="1" ht="23.25" customHeight="1" x14ac:dyDescent="0.25">
      <c r="A184" s="406">
        <v>20</v>
      </c>
      <c r="B184" s="285" t="s">
        <v>1011</v>
      </c>
      <c r="C184" s="283" t="s">
        <v>14</v>
      </c>
      <c r="D184" s="368">
        <v>45</v>
      </c>
      <c r="E184" s="302">
        <v>15085</v>
      </c>
      <c r="F184" s="288">
        <f t="shared" si="27"/>
        <v>678825</v>
      </c>
      <c r="G184" s="288">
        <f>+D184*9059.11</f>
        <v>407659.95</v>
      </c>
      <c r="H184" s="163"/>
      <c r="I184" s="163"/>
      <c r="J184" s="163"/>
      <c r="K184" s="163"/>
      <c r="L184" s="163"/>
      <c r="M184" s="280"/>
      <c r="N184" s="163"/>
      <c r="O184" s="280">
        <f t="shared" si="28"/>
        <v>0</v>
      </c>
      <c r="P184" s="163"/>
      <c r="Q184" s="163"/>
      <c r="R184" s="163"/>
      <c r="S184" s="163"/>
      <c r="T184" s="163"/>
      <c r="U184" s="163"/>
      <c r="V184" s="163"/>
      <c r="W184" s="163"/>
    </row>
    <row r="185" spans="1:23" s="176" customFormat="1" ht="23.25" customHeight="1" x14ac:dyDescent="0.25">
      <c r="A185" s="406">
        <v>21</v>
      </c>
      <c r="B185" s="285" t="s">
        <v>1011</v>
      </c>
      <c r="C185" s="283" t="s">
        <v>14</v>
      </c>
      <c r="D185" s="368">
        <v>12</v>
      </c>
      <c r="E185" s="302">
        <v>20500</v>
      </c>
      <c r="F185" s="288">
        <f t="shared" si="27"/>
        <v>246000</v>
      </c>
      <c r="G185" s="288">
        <f>+D185*14508.06-2197.04</f>
        <v>171899.68</v>
      </c>
      <c r="H185" s="163"/>
      <c r="I185" s="163"/>
      <c r="J185" s="163"/>
      <c r="K185" s="163"/>
      <c r="L185" s="163"/>
      <c r="M185" s="280"/>
      <c r="N185" s="163"/>
      <c r="O185" s="280">
        <f t="shared" si="28"/>
        <v>0</v>
      </c>
      <c r="P185" s="163"/>
      <c r="Q185" s="163"/>
      <c r="R185" s="163"/>
      <c r="S185" s="163"/>
      <c r="T185" s="163"/>
      <c r="U185" s="163"/>
      <c r="V185" s="163"/>
      <c r="W185" s="163"/>
    </row>
    <row r="186" spans="1:23" s="176" customFormat="1" ht="23.25" customHeight="1" x14ac:dyDescent="0.25">
      <c r="A186" s="406">
        <v>22</v>
      </c>
      <c r="B186" s="285" t="s">
        <v>1011</v>
      </c>
      <c r="C186" s="283" t="s">
        <v>14</v>
      </c>
      <c r="D186" s="368">
        <v>8</v>
      </c>
      <c r="E186" s="302">
        <v>23750</v>
      </c>
      <c r="F186" s="288">
        <f t="shared" si="27"/>
        <v>190000</v>
      </c>
      <c r="G186" s="288">
        <f>+D186*18800.14</f>
        <v>150401.12</v>
      </c>
      <c r="H186" s="163"/>
      <c r="I186" s="163"/>
      <c r="J186" s="163"/>
      <c r="K186" s="163"/>
      <c r="L186" s="163"/>
      <c r="M186" s="280"/>
      <c r="N186" s="163"/>
      <c r="O186" s="280">
        <f t="shared" si="28"/>
        <v>0</v>
      </c>
      <c r="P186" s="163"/>
      <c r="Q186" s="163"/>
      <c r="R186" s="163"/>
      <c r="S186" s="163"/>
      <c r="T186" s="163"/>
      <c r="U186" s="163"/>
      <c r="V186" s="163"/>
      <c r="W186" s="163"/>
    </row>
    <row r="187" spans="1:23" s="176" customFormat="1" ht="23.25" customHeight="1" x14ac:dyDescent="0.25">
      <c r="A187" s="406">
        <v>23</v>
      </c>
      <c r="B187" s="285" t="s">
        <v>1014</v>
      </c>
      <c r="C187" s="283" t="s">
        <v>14</v>
      </c>
      <c r="D187" s="368">
        <v>1</v>
      </c>
      <c r="E187" s="302">
        <v>33250</v>
      </c>
      <c r="F187" s="288">
        <f t="shared" si="27"/>
        <v>33250</v>
      </c>
      <c r="G187" s="288">
        <v>24861</v>
      </c>
      <c r="H187" s="163"/>
      <c r="I187" s="163"/>
      <c r="J187" s="163"/>
      <c r="K187" s="163"/>
      <c r="L187" s="163"/>
      <c r="M187" s="280"/>
      <c r="N187" s="163"/>
      <c r="O187" s="280">
        <f t="shared" si="28"/>
        <v>0</v>
      </c>
      <c r="P187" s="163"/>
      <c r="Q187" s="163"/>
      <c r="R187" s="163"/>
      <c r="S187" s="163"/>
      <c r="T187" s="163"/>
      <c r="U187" s="163"/>
      <c r="V187" s="163"/>
      <c r="W187" s="163"/>
    </row>
    <row r="188" spans="1:23" s="176" customFormat="1" ht="23.25" customHeight="1" x14ac:dyDescent="0.25">
      <c r="A188" s="406">
        <v>24</v>
      </c>
      <c r="B188" s="285" t="s">
        <v>1015</v>
      </c>
      <c r="C188" s="283" t="s">
        <v>14</v>
      </c>
      <c r="D188" s="368">
        <v>10</v>
      </c>
      <c r="E188" s="302">
        <v>1</v>
      </c>
      <c r="F188" s="288">
        <f t="shared" si="27"/>
        <v>10</v>
      </c>
      <c r="G188" s="288">
        <v>0</v>
      </c>
      <c r="H188" s="163"/>
      <c r="I188" s="163"/>
      <c r="J188" s="163"/>
      <c r="K188" s="163"/>
      <c r="L188" s="163"/>
      <c r="M188" s="280"/>
      <c r="N188" s="163"/>
      <c r="O188" s="280">
        <f t="shared" si="28"/>
        <v>0</v>
      </c>
      <c r="P188" s="163"/>
      <c r="Q188" s="163"/>
      <c r="R188" s="163"/>
      <c r="S188" s="163"/>
      <c r="T188" s="163"/>
      <c r="U188" s="163"/>
      <c r="V188" s="163"/>
      <c r="W188" s="163"/>
    </row>
    <row r="189" spans="1:23" s="176" customFormat="1" ht="23.25" customHeight="1" x14ac:dyDescent="0.25">
      <c r="A189" s="406">
        <v>25</v>
      </c>
      <c r="B189" s="285" t="s">
        <v>1032</v>
      </c>
      <c r="C189" s="283" t="s">
        <v>14</v>
      </c>
      <c r="D189" s="368">
        <v>2</v>
      </c>
      <c r="E189" s="302">
        <v>26375</v>
      </c>
      <c r="F189" s="288">
        <f t="shared" ref="F189:F201" si="29">D189*E189</f>
        <v>52750</v>
      </c>
      <c r="G189" s="288">
        <f>+D189*15086.62</f>
        <v>30173.24</v>
      </c>
      <c r="H189" s="163"/>
      <c r="I189" s="163"/>
      <c r="J189" s="163"/>
      <c r="K189" s="163"/>
      <c r="L189" s="163"/>
      <c r="M189" s="280"/>
      <c r="N189" s="163"/>
      <c r="O189" s="280">
        <f t="shared" ref="O189:O201" si="30">N189*E189</f>
        <v>0</v>
      </c>
      <c r="P189" s="163"/>
      <c r="Q189" s="163"/>
      <c r="R189" s="163"/>
      <c r="S189" s="163"/>
      <c r="T189" s="163"/>
      <c r="U189" s="163"/>
      <c r="V189" s="163"/>
      <c r="W189" s="163"/>
    </row>
    <row r="190" spans="1:23" s="176" customFormat="1" ht="23.25" customHeight="1" x14ac:dyDescent="0.25">
      <c r="A190" s="406">
        <v>26</v>
      </c>
      <c r="B190" s="285" t="s">
        <v>1034</v>
      </c>
      <c r="C190" s="283" t="s">
        <v>14</v>
      </c>
      <c r="D190" s="368">
        <v>1</v>
      </c>
      <c r="E190" s="302">
        <v>29250</v>
      </c>
      <c r="F190" s="288">
        <f t="shared" si="29"/>
        <v>29250</v>
      </c>
      <c r="G190" s="288">
        <v>23258.06</v>
      </c>
      <c r="H190" s="163"/>
      <c r="I190" s="163"/>
      <c r="J190" s="163"/>
      <c r="K190" s="163"/>
      <c r="L190" s="163"/>
      <c r="M190" s="163"/>
      <c r="N190" s="163"/>
      <c r="O190" s="280">
        <f t="shared" si="30"/>
        <v>0</v>
      </c>
      <c r="P190" s="163"/>
      <c r="Q190" s="163"/>
      <c r="R190" s="163"/>
      <c r="S190" s="163"/>
      <c r="T190" s="163"/>
      <c r="U190" s="163"/>
      <c r="V190" s="163"/>
      <c r="W190" s="163"/>
    </row>
    <row r="191" spans="1:23" s="176" customFormat="1" ht="23.25" customHeight="1" x14ac:dyDescent="0.25">
      <c r="A191" s="406">
        <v>27</v>
      </c>
      <c r="B191" s="285" t="s">
        <v>1035</v>
      </c>
      <c r="C191" s="283" t="s">
        <v>14</v>
      </c>
      <c r="D191" s="368">
        <v>1</v>
      </c>
      <c r="E191" s="302">
        <v>1</v>
      </c>
      <c r="F191" s="288">
        <f t="shared" si="29"/>
        <v>1</v>
      </c>
      <c r="G191" s="288">
        <v>0.75</v>
      </c>
      <c r="H191" s="163"/>
      <c r="I191" s="163"/>
      <c r="J191" s="163"/>
      <c r="K191" s="163"/>
      <c r="L191" s="163"/>
      <c r="M191" s="163"/>
      <c r="N191" s="163"/>
      <c r="O191" s="280">
        <f t="shared" si="30"/>
        <v>0</v>
      </c>
      <c r="P191" s="163"/>
      <c r="Q191" s="163"/>
      <c r="R191" s="163"/>
      <c r="S191" s="163"/>
      <c r="T191" s="163"/>
      <c r="U191" s="163"/>
      <c r="V191" s="163"/>
      <c r="W191" s="163"/>
    </row>
    <row r="192" spans="1:23" s="176" customFormat="1" ht="23.25" customHeight="1" x14ac:dyDescent="0.25">
      <c r="A192" s="406">
        <v>28</v>
      </c>
      <c r="B192" s="285" t="s">
        <v>1036</v>
      </c>
      <c r="C192" s="283" t="s">
        <v>14</v>
      </c>
      <c r="D192" s="368">
        <v>1</v>
      </c>
      <c r="E192" s="302">
        <v>1</v>
      </c>
      <c r="F192" s="288">
        <f t="shared" si="29"/>
        <v>1</v>
      </c>
      <c r="G192" s="288">
        <v>0</v>
      </c>
      <c r="H192" s="163"/>
      <c r="I192" s="163"/>
      <c r="J192" s="163"/>
      <c r="K192" s="163"/>
      <c r="L192" s="163"/>
      <c r="M192" s="163"/>
      <c r="N192" s="163"/>
      <c r="O192" s="280">
        <f t="shared" si="30"/>
        <v>0</v>
      </c>
      <c r="P192" s="163"/>
      <c r="Q192" s="163"/>
      <c r="R192" s="163"/>
      <c r="S192" s="163"/>
      <c r="T192" s="163"/>
      <c r="U192" s="163"/>
      <c r="V192" s="163"/>
      <c r="W192" s="163"/>
    </row>
    <row r="193" spans="1:23" s="176" customFormat="1" ht="23.25" customHeight="1" x14ac:dyDescent="0.25">
      <c r="A193" s="406">
        <v>29</v>
      </c>
      <c r="B193" s="285" t="s">
        <v>1037</v>
      </c>
      <c r="C193" s="283" t="s">
        <v>14</v>
      </c>
      <c r="D193" s="368">
        <v>1</v>
      </c>
      <c r="E193" s="302">
        <v>1</v>
      </c>
      <c r="F193" s="288">
        <f t="shared" si="29"/>
        <v>1</v>
      </c>
      <c r="G193" s="288">
        <v>0</v>
      </c>
      <c r="H193" s="163"/>
      <c r="I193" s="163"/>
      <c r="J193" s="163"/>
      <c r="K193" s="163"/>
      <c r="L193" s="163"/>
      <c r="M193" s="163"/>
      <c r="N193" s="163"/>
      <c r="O193" s="280">
        <f t="shared" si="30"/>
        <v>0</v>
      </c>
      <c r="P193" s="163"/>
      <c r="Q193" s="163"/>
      <c r="R193" s="163"/>
      <c r="S193" s="163"/>
      <c r="T193" s="163"/>
      <c r="U193" s="163"/>
      <c r="V193" s="163"/>
      <c r="W193" s="163"/>
    </row>
    <row r="194" spans="1:23" s="176" customFormat="1" ht="23.25" customHeight="1" x14ac:dyDescent="0.25">
      <c r="A194" s="406">
        <v>30</v>
      </c>
      <c r="B194" s="285" t="s">
        <v>1047</v>
      </c>
      <c r="C194" s="283" t="s">
        <v>14</v>
      </c>
      <c r="D194" s="368">
        <v>13</v>
      </c>
      <c r="E194" s="302">
        <v>1035</v>
      </c>
      <c r="F194" s="288">
        <f t="shared" si="29"/>
        <v>13455</v>
      </c>
      <c r="G194" s="288">
        <f>+D194*0</f>
        <v>0</v>
      </c>
      <c r="H194" s="163"/>
      <c r="I194" s="163"/>
      <c r="J194" s="163"/>
      <c r="K194" s="163"/>
      <c r="L194" s="163"/>
      <c r="M194" s="163"/>
      <c r="N194" s="163"/>
      <c r="O194" s="280">
        <f t="shared" si="30"/>
        <v>0</v>
      </c>
      <c r="P194" s="163"/>
      <c r="Q194" s="163"/>
      <c r="R194" s="163"/>
      <c r="S194" s="163"/>
      <c r="T194" s="163"/>
      <c r="U194" s="163"/>
      <c r="V194" s="163"/>
      <c r="W194" s="163"/>
    </row>
    <row r="195" spans="1:23" s="176" customFormat="1" ht="23.25" customHeight="1" x14ac:dyDescent="0.25">
      <c r="A195" s="406">
        <v>31</v>
      </c>
      <c r="B195" s="285" t="s">
        <v>1049</v>
      </c>
      <c r="C195" s="283" t="s">
        <v>14</v>
      </c>
      <c r="D195" s="368">
        <v>8</v>
      </c>
      <c r="E195" s="302">
        <v>122624</v>
      </c>
      <c r="F195" s="288">
        <f t="shared" si="29"/>
        <v>980992</v>
      </c>
      <c r="G195" s="288">
        <f>+D195*111296.94</f>
        <v>890375.52</v>
      </c>
      <c r="H195" s="163"/>
      <c r="I195" s="163"/>
      <c r="J195" s="163"/>
      <c r="K195" s="163"/>
      <c r="L195" s="163"/>
      <c r="M195" s="163"/>
      <c r="N195" s="163"/>
      <c r="O195" s="280">
        <f t="shared" si="30"/>
        <v>0</v>
      </c>
      <c r="P195" s="163"/>
      <c r="Q195" s="163"/>
      <c r="R195" s="163"/>
      <c r="S195" s="163"/>
      <c r="T195" s="163"/>
      <c r="U195" s="163"/>
      <c r="V195" s="163"/>
      <c r="W195" s="163"/>
    </row>
    <row r="196" spans="1:23" s="176" customFormat="1" ht="23.25" customHeight="1" x14ac:dyDescent="0.25">
      <c r="A196" s="406">
        <v>32</v>
      </c>
      <c r="B196" s="285" t="s">
        <v>1050</v>
      </c>
      <c r="C196" s="283" t="s">
        <v>14</v>
      </c>
      <c r="D196" s="368">
        <v>3</v>
      </c>
      <c r="E196" s="302">
        <v>11178</v>
      </c>
      <c r="F196" s="288">
        <f t="shared" si="29"/>
        <v>33534</v>
      </c>
      <c r="G196" s="288">
        <f>+D196*9112.92</f>
        <v>27338.760000000002</v>
      </c>
      <c r="H196" s="163"/>
      <c r="I196" s="163"/>
      <c r="J196" s="163"/>
      <c r="K196" s="163"/>
      <c r="L196" s="163"/>
      <c r="M196" s="163"/>
      <c r="N196" s="163"/>
      <c r="O196" s="280">
        <f t="shared" si="30"/>
        <v>0</v>
      </c>
      <c r="P196" s="163"/>
      <c r="Q196" s="163"/>
      <c r="R196" s="163"/>
      <c r="S196" s="163"/>
      <c r="T196" s="163"/>
      <c r="U196" s="163"/>
      <c r="V196" s="163"/>
      <c r="W196" s="163"/>
    </row>
    <row r="197" spans="1:23" s="176" customFormat="1" ht="23.25" customHeight="1" x14ac:dyDescent="0.25">
      <c r="A197" s="406">
        <v>33</v>
      </c>
      <c r="B197" s="285" t="s">
        <v>1051</v>
      </c>
      <c r="C197" s="283" t="s">
        <v>14</v>
      </c>
      <c r="D197" s="368">
        <v>2</v>
      </c>
      <c r="E197" s="302">
        <v>11178</v>
      </c>
      <c r="F197" s="288">
        <f t="shared" si="29"/>
        <v>22356</v>
      </c>
      <c r="G197" s="288">
        <f>+D197*9112.92</f>
        <v>18225.84</v>
      </c>
      <c r="H197" s="163"/>
      <c r="I197" s="163"/>
      <c r="J197" s="163"/>
      <c r="K197" s="163"/>
      <c r="L197" s="163"/>
      <c r="M197" s="163"/>
      <c r="N197" s="163"/>
      <c r="O197" s="280">
        <f t="shared" si="30"/>
        <v>0</v>
      </c>
      <c r="P197" s="163"/>
      <c r="Q197" s="163"/>
      <c r="R197" s="163"/>
      <c r="S197" s="163"/>
      <c r="T197" s="163"/>
      <c r="U197" s="163"/>
      <c r="V197" s="163"/>
      <c r="W197" s="163"/>
    </row>
    <row r="198" spans="1:23" s="176" customFormat="1" ht="23.25" customHeight="1" x14ac:dyDescent="0.25">
      <c r="A198" s="406">
        <v>34</v>
      </c>
      <c r="B198" s="285" t="s">
        <v>1052</v>
      </c>
      <c r="C198" s="283" t="s">
        <v>14</v>
      </c>
      <c r="D198" s="368">
        <v>1</v>
      </c>
      <c r="E198" s="302">
        <v>975</v>
      </c>
      <c r="F198" s="288">
        <f t="shared" si="29"/>
        <v>975</v>
      </c>
      <c r="G198" s="288">
        <v>375</v>
      </c>
      <c r="H198" s="163"/>
      <c r="I198" s="163"/>
      <c r="J198" s="163"/>
      <c r="K198" s="163"/>
      <c r="L198" s="163"/>
      <c r="M198" s="163"/>
      <c r="N198" s="163"/>
      <c r="O198" s="280">
        <f t="shared" si="30"/>
        <v>0</v>
      </c>
      <c r="P198" s="163"/>
      <c r="Q198" s="163"/>
      <c r="R198" s="163"/>
      <c r="S198" s="163"/>
      <c r="T198" s="163"/>
      <c r="U198" s="163"/>
      <c r="V198" s="163"/>
      <c r="W198" s="163"/>
    </row>
    <row r="199" spans="1:23" s="176" customFormat="1" ht="23.25" customHeight="1" x14ac:dyDescent="0.25">
      <c r="A199" s="406">
        <v>35</v>
      </c>
      <c r="B199" s="285" t="s">
        <v>1055</v>
      </c>
      <c r="C199" s="283" t="s">
        <v>14</v>
      </c>
      <c r="D199" s="368">
        <v>1</v>
      </c>
      <c r="E199" s="302">
        <v>1</v>
      </c>
      <c r="F199" s="288">
        <f t="shared" si="29"/>
        <v>1</v>
      </c>
      <c r="G199" s="288">
        <v>0</v>
      </c>
      <c r="H199" s="163"/>
      <c r="I199" s="163"/>
      <c r="J199" s="163"/>
      <c r="K199" s="163"/>
      <c r="L199" s="163"/>
      <c r="M199" s="163"/>
      <c r="N199" s="163"/>
      <c r="O199" s="280">
        <f t="shared" si="30"/>
        <v>0</v>
      </c>
      <c r="P199" s="163"/>
      <c r="Q199" s="163"/>
      <c r="R199" s="163"/>
      <c r="S199" s="163"/>
      <c r="T199" s="163"/>
      <c r="U199" s="163"/>
      <c r="V199" s="163"/>
      <c r="W199" s="163"/>
    </row>
    <row r="200" spans="1:23" s="176" customFormat="1" ht="23.25" customHeight="1" x14ac:dyDescent="0.25">
      <c r="A200" s="406">
        <v>36</v>
      </c>
      <c r="B200" s="285" t="s">
        <v>1063</v>
      </c>
      <c r="C200" s="283" t="s">
        <v>14</v>
      </c>
      <c r="D200" s="368">
        <v>4</v>
      </c>
      <c r="E200" s="302">
        <v>47475</v>
      </c>
      <c r="F200" s="288">
        <f t="shared" si="29"/>
        <v>189900</v>
      </c>
      <c r="G200" s="288">
        <f>+D200*27155.92</f>
        <v>108623.67999999999</v>
      </c>
      <c r="H200" s="163"/>
      <c r="I200" s="163"/>
      <c r="J200" s="163"/>
      <c r="K200" s="163"/>
      <c r="L200" s="163"/>
      <c r="M200" s="163"/>
      <c r="N200" s="163"/>
      <c r="O200" s="280">
        <f t="shared" si="30"/>
        <v>0</v>
      </c>
      <c r="P200" s="163"/>
      <c r="Q200" s="163"/>
      <c r="R200" s="163"/>
      <c r="S200" s="163"/>
      <c r="T200" s="163"/>
      <c r="U200" s="163"/>
      <c r="V200" s="163"/>
      <c r="W200" s="163"/>
    </row>
    <row r="201" spans="1:23" s="176" customFormat="1" ht="23.25" customHeight="1" x14ac:dyDescent="0.25">
      <c r="A201" s="406">
        <v>37</v>
      </c>
      <c r="B201" s="285" t="s">
        <v>1076</v>
      </c>
      <c r="C201" s="283" t="s">
        <v>14</v>
      </c>
      <c r="D201" s="368">
        <v>2</v>
      </c>
      <c r="E201" s="302">
        <v>16280</v>
      </c>
      <c r="F201" s="288">
        <f t="shared" si="29"/>
        <v>32560</v>
      </c>
      <c r="G201" s="288">
        <f>+D201*6525.13</f>
        <v>13050.26</v>
      </c>
      <c r="H201" s="163"/>
      <c r="I201" s="163"/>
      <c r="J201" s="163"/>
      <c r="K201" s="163"/>
      <c r="L201" s="163"/>
      <c r="M201" s="163"/>
      <c r="N201" s="163"/>
      <c r="O201" s="280">
        <f t="shared" si="30"/>
        <v>0</v>
      </c>
      <c r="P201" s="163"/>
      <c r="Q201" s="163"/>
      <c r="R201" s="163"/>
      <c r="S201" s="163"/>
      <c r="T201" s="163"/>
      <c r="U201" s="163"/>
      <c r="V201" s="163"/>
      <c r="W201" s="163"/>
    </row>
    <row r="202" spans="1:23" s="374" customFormat="1" ht="23.25" customHeight="1" x14ac:dyDescent="0.25">
      <c r="A202" s="168"/>
      <c r="B202" s="208" t="s">
        <v>39</v>
      </c>
      <c r="C202" s="349"/>
      <c r="D202" s="299">
        <f>SUM(D165:D201)</f>
        <v>186</v>
      </c>
      <c r="E202" s="299"/>
      <c r="F202" s="284">
        <f>SUM(F165:F201)</f>
        <v>3361597</v>
      </c>
      <c r="G202" s="284">
        <f>SUM(G165:G201)</f>
        <v>2139061.12</v>
      </c>
      <c r="H202" s="168"/>
      <c r="I202" s="168"/>
      <c r="J202" s="168"/>
      <c r="K202" s="168"/>
      <c r="L202" s="168">
        <f>SUM(L165:L201)</f>
        <v>0</v>
      </c>
      <c r="M202" s="378">
        <f>SUM(M165:M201)</f>
        <v>0</v>
      </c>
      <c r="N202" s="168">
        <f>SUM(N165:N201)</f>
        <v>0</v>
      </c>
      <c r="O202" s="284">
        <f>SUM(O165:O201)</f>
        <v>0</v>
      </c>
      <c r="P202" s="168"/>
      <c r="Q202" s="385"/>
      <c r="R202" s="168"/>
      <c r="S202" s="168"/>
      <c r="T202" s="168">
        <f>SUM(T165:T201)</f>
        <v>0</v>
      </c>
      <c r="U202" s="284">
        <f>SUM(U165:U201)</f>
        <v>0</v>
      </c>
      <c r="V202" s="168">
        <f>SUM(V165:V201)</f>
        <v>0</v>
      </c>
      <c r="W202" s="284">
        <f>SUM(W165:W201)</f>
        <v>0</v>
      </c>
    </row>
    <row r="203" spans="1:23" s="176" customFormat="1" ht="23.25" customHeight="1" x14ac:dyDescent="0.25">
      <c r="A203" s="163"/>
      <c r="B203" s="475" t="s">
        <v>443</v>
      </c>
      <c r="C203" s="476"/>
      <c r="D203" s="476"/>
      <c r="E203" s="476"/>
      <c r="F203" s="476"/>
      <c r="G203" s="477"/>
      <c r="H203" s="163"/>
      <c r="I203" s="163"/>
      <c r="J203" s="163"/>
      <c r="K203" s="163"/>
      <c r="L203" s="163"/>
      <c r="M203" s="163"/>
      <c r="N203" s="163"/>
      <c r="O203" s="163"/>
      <c r="P203" s="163"/>
      <c r="Q203" s="163"/>
      <c r="R203" s="163"/>
      <c r="S203" s="163"/>
      <c r="T203" s="163"/>
      <c r="U203" s="163"/>
      <c r="V203" s="163"/>
      <c r="W203" s="163"/>
    </row>
    <row r="204" spans="1:23" s="176" customFormat="1" ht="23.25" customHeight="1" x14ac:dyDescent="0.25">
      <c r="A204" s="233">
        <v>1</v>
      </c>
      <c r="B204" s="261" t="s">
        <v>1080</v>
      </c>
      <c r="C204" s="363" t="s">
        <v>554</v>
      </c>
      <c r="D204" s="362">
        <v>50</v>
      </c>
      <c r="E204" s="302">
        <v>350</v>
      </c>
      <c r="F204" s="364">
        <f t="shared" ref="F204:F214" si="31">D204*E204</f>
        <v>17500</v>
      </c>
      <c r="G204" s="288">
        <v>0</v>
      </c>
      <c r="H204" s="163"/>
      <c r="I204" s="163"/>
      <c r="J204" s="163"/>
      <c r="K204" s="163"/>
      <c r="L204" s="163"/>
      <c r="M204" s="163"/>
      <c r="N204" s="163"/>
      <c r="O204" s="163"/>
      <c r="P204" s="163"/>
      <c r="Q204" s="163"/>
      <c r="R204" s="163"/>
      <c r="S204" s="163"/>
      <c r="T204" s="163"/>
      <c r="U204" s="163"/>
      <c r="V204" s="163"/>
      <c r="W204" s="163"/>
    </row>
    <row r="205" spans="1:23" s="375" customFormat="1" ht="23.25" customHeight="1" x14ac:dyDescent="0.25">
      <c r="A205" s="233">
        <v>2</v>
      </c>
      <c r="B205" s="261" t="s">
        <v>1090</v>
      </c>
      <c r="C205" s="363" t="s">
        <v>314</v>
      </c>
      <c r="D205" s="362">
        <v>3</v>
      </c>
      <c r="E205" s="302">
        <v>10000</v>
      </c>
      <c r="F205" s="364">
        <f t="shared" si="31"/>
        <v>30000</v>
      </c>
      <c r="G205" s="288">
        <v>0</v>
      </c>
      <c r="H205" s="153"/>
      <c r="I205" s="153"/>
      <c r="J205" s="153"/>
      <c r="K205" s="153"/>
      <c r="L205" s="153"/>
      <c r="M205" s="291"/>
      <c r="N205" s="153"/>
      <c r="O205" s="153"/>
      <c r="P205" s="153"/>
      <c r="Q205" s="153"/>
      <c r="R205" s="153"/>
      <c r="S205" s="153"/>
      <c r="T205" s="153"/>
      <c r="U205" s="153"/>
      <c r="V205" s="153"/>
      <c r="W205" s="153"/>
    </row>
    <row r="206" spans="1:23" s="176" customFormat="1" ht="23.25" customHeight="1" x14ac:dyDescent="0.25">
      <c r="A206" s="233">
        <v>3</v>
      </c>
      <c r="B206" s="261" t="s">
        <v>1093</v>
      </c>
      <c r="C206" s="363" t="s">
        <v>314</v>
      </c>
      <c r="D206" s="362">
        <v>5</v>
      </c>
      <c r="E206" s="302">
        <v>2077</v>
      </c>
      <c r="F206" s="364">
        <f t="shared" si="31"/>
        <v>10385</v>
      </c>
      <c r="G206" s="288">
        <v>0</v>
      </c>
      <c r="H206" s="163"/>
      <c r="I206" s="163"/>
      <c r="J206" s="163"/>
      <c r="K206" s="163"/>
      <c r="L206" s="163"/>
      <c r="M206" s="394"/>
      <c r="N206" s="163"/>
      <c r="O206" s="163"/>
      <c r="P206" s="163"/>
      <c r="Q206" s="163"/>
      <c r="R206" s="163"/>
      <c r="S206" s="163"/>
      <c r="T206" s="163"/>
      <c r="U206" s="163"/>
      <c r="V206" s="163"/>
      <c r="W206" s="163"/>
    </row>
    <row r="207" spans="1:23" s="176" customFormat="1" ht="23.25" customHeight="1" x14ac:dyDescent="0.25">
      <c r="A207" s="233">
        <v>4</v>
      </c>
      <c r="B207" s="261" t="s">
        <v>1095</v>
      </c>
      <c r="C207" s="363" t="s">
        <v>314</v>
      </c>
      <c r="D207" s="362">
        <v>1</v>
      </c>
      <c r="E207" s="302">
        <v>25000</v>
      </c>
      <c r="F207" s="364">
        <f t="shared" si="31"/>
        <v>25000</v>
      </c>
      <c r="G207" s="288">
        <v>0</v>
      </c>
      <c r="H207" s="163"/>
      <c r="I207" s="163"/>
      <c r="J207" s="163"/>
      <c r="K207" s="163"/>
      <c r="L207" s="163"/>
      <c r="M207" s="394"/>
      <c r="N207" s="163"/>
      <c r="O207" s="163"/>
      <c r="P207" s="163"/>
      <c r="Q207" s="163"/>
      <c r="R207" s="163"/>
      <c r="S207" s="163"/>
      <c r="T207" s="163"/>
      <c r="U207" s="163"/>
      <c r="V207" s="163"/>
      <c r="W207" s="163"/>
    </row>
    <row r="208" spans="1:23" s="176" customFormat="1" ht="23.25" customHeight="1" x14ac:dyDescent="0.25">
      <c r="A208" s="233">
        <v>5</v>
      </c>
      <c r="B208" s="261" t="s">
        <v>1096</v>
      </c>
      <c r="C208" s="363" t="s">
        <v>314</v>
      </c>
      <c r="D208" s="362">
        <v>80</v>
      </c>
      <c r="E208" s="302">
        <v>2315</v>
      </c>
      <c r="F208" s="364">
        <f t="shared" si="31"/>
        <v>185200</v>
      </c>
      <c r="G208" s="288">
        <v>0</v>
      </c>
      <c r="H208" s="163"/>
      <c r="I208" s="163"/>
      <c r="J208" s="163"/>
      <c r="K208" s="163"/>
      <c r="L208" s="163"/>
      <c r="M208" s="394"/>
      <c r="N208" s="163"/>
      <c r="O208" s="163"/>
      <c r="P208" s="163"/>
      <c r="Q208" s="163"/>
      <c r="R208" s="163"/>
      <c r="S208" s="163"/>
      <c r="T208" s="163"/>
      <c r="U208" s="163"/>
      <c r="V208" s="163"/>
      <c r="W208" s="163"/>
    </row>
    <row r="209" spans="1:23" s="176" customFormat="1" ht="23.25" customHeight="1" x14ac:dyDescent="0.25">
      <c r="A209" s="233">
        <v>6</v>
      </c>
      <c r="B209" s="261" t="s">
        <v>1097</v>
      </c>
      <c r="C209" s="363" t="s">
        <v>314</v>
      </c>
      <c r="D209" s="362">
        <v>3</v>
      </c>
      <c r="E209" s="302">
        <v>5000</v>
      </c>
      <c r="F209" s="364">
        <f t="shared" si="31"/>
        <v>15000</v>
      </c>
      <c r="G209" s="288">
        <v>0</v>
      </c>
      <c r="H209" s="163"/>
      <c r="I209" s="163"/>
      <c r="J209" s="163"/>
      <c r="K209" s="163"/>
      <c r="L209" s="163"/>
      <c r="M209" s="394"/>
      <c r="N209" s="163"/>
      <c r="O209" s="163"/>
      <c r="P209" s="163"/>
      <c r="Q209" s="163"/>
      <c r="R209" s="163"/>
      <c r="S209" s="163"/>
      <c r="T209" s="163"/>
      <c r="U209" s="163"/>
      <c r="V209" s="163"/>
      <c r="W209" s="163"/>
    </row>
    <row r="210" spans="1:23" s="176" customFormat="1" ht="23.25" customHeight="1" x14ac:dyDescent="0.25">
      <c r="A210" s="233">
        <v>7</v>
      </c>
      <c r="B210" s="261" t="s">
        <v>1107</v>
      </c>
      <c r="C210" s="363" t="s">
        <v>314</v>
      </c>
      <c r="D210" s="362">
        <v>1</v>
      </c>
      <c r="E210" s="302">
        <v>15000</v>
      </c>
      <c r="F210" s="364">
        <f t="shared" si="31"/>
        <v>15000</v>
      </c>
      <c r="G210" s="288">
        <v>0</v>
      </c>
      <c r="H210" s="163"/>
      <c r="I210" s="163"/>
      <c r="J210" s="163"/>
      <c r="K210" s="163"/>
      <c r="L210" s="163"/>
      <c r="M210" s="394"/>
      <c r="N210" s="163"/>
      <c r="O210" s="163"/>
      <c r="P210" s="163"/>
      <c r="Q210" s="163"/>
      <c r="R210" s="163"/>
      <c r="S210" s="163"/>
      <c r="T210" s="163"/>
      <c r="U210" s="163"/>
      <c r="V210" s="163"/>
      <c r="W210" s="163"/>
    </row>
    <row r="211" spans="1:23" s="176" customFormat="1" ht="23.25" customHeight="1" x14ac:dyDescent="0.25">
      <c r="A211" s="233">
        <v>8</v>
      </c>
      <c r="B211" s="285" t="s">
        <v>557</v>
      </c>
      <c r="C211" s="365" t="s">
        <v>314</v>
      </c>
      <c r="D211" s="366">
        <v>4</v>
      </c>
      <c r="E211" s="302">
        <v>500</v>
      </c>
      <c r="F211" s="364">
        <f t="shared" si="31"/>
        <v>2000</v>
      </c>
      <c r="G211" s="288">
        <v>0</v>
      </c>
      <c r="H211" s="163"/>
      <c r="I211" s="163"/>
      <c r="J211" s="163"/>
      <c r="K211" s="163"/>
      <c r="L211" s="163"/>
      <c r="M211" s="394"/>
      <c r="N211" s="163"/>
      <c r="O211" s="394"/>
      <c r="P211" s="163"/>
      <c r="Q211" s="163"/>
      <c r="R211" s="163"/>
      <c r="S211" s="163"/>
      <c r="T211" s="163"/>
      <c r="U211" s="163"/>
      <c r="V211" s="163"/>
      <c r="W211" s="163"/>
    </row>
    <row r="212" spans="1:23" s="176" customFormat="1" ht="23.25" customHeight="1" x14ac:dyDescent="0.25">
      <c r="A212" s="233">
        <v>9</v>
      </c>
      <c r="B212" s="285" t="s">
        <v>1120</v>
      </c>
      <c r="C212" s="365" t="s">
        <v>314</v>
      </c>
      <c r="D212" s="366">
        <v>5</v>
      </c>
      <c r="E212" s="302">
        <v>600</v>
      </c>
      <c r="F212" s="364">
        <f t="shared" si="31"/>
        <v>3000</v>
      </c>
      <c r="G212" s="288">
        <v>0</v>
      </c>
      <c r="H212" s="163"/>
      <c r="I212" s="163"/>
      <c r="J212" s="163"/>
      <c r="K212" s="163"/>
      <c r="L212" s="163"/>
      <c r="M212" s="394"/>
      <c r="N212" s="163"/>
      <c r="O212" s="394"/>
      <c r="P212" s="163"/>
      <c r="Q212" s="163"/>
      <c r="R212" s="163"/>
      <c r="S212" s="163"/>
      <c r="T212" s="163"/>
      <c r="U212" s="163"/>
      <c r="V212" s="163"/>
      <c r="W212" s="163"/>
    </row>
    <row r="213" spans="1:23" s="176" customFormat="1" ht="23.25" customHeight="1" x14ac:dyDescent="0.25">
      <c r="A213" s="233">
        <v>10</v>
      </c>
      <c r="B213" s="285" t="s">
        <v>1121</v>
      </c>
      <c r="C213" s="365" t="s">
        <v>314</v>
      </c>
      <c r="D213" s="366">
        <v>4</v>
      </c>
      <c r="E213" s="302">
        <v>600</v>
      </c>
      <c r="F213" s="364">
        <f t="shared" si="31"/>
        <v>2400</v>
      </c>
      <c r="G213" s="288">
        <v>0</v>
      </c>
      <c r="H213" s="163"/>
      <c r="I213" s="163"/>
      <c r="J213" s="163"/>
      <c r="K213" s="163"/>
      <c r="L213" s="163"/>
      <c r="M213" s="394"/>
      <c r="N213" s="163"/>
      <c r="O213" s="394"/>
      <c r="P213" s="163"/>
      <c r="Q213" s="163"/>
      <c r="R213" s="163"/>
      <c r="S213" s="163"/>
      <c r="T213" s="163"/>
      <c r="U213" s="163"/>
      <c r="V213" s="163"/>
      <c r="W213" s="163"/>
    </row>
    <row r="214" spans="1:23" s="176" customFormat="1" ht="23.25" customHeight="1" x14ac:dyDescent="0.25">
      <c r="A214" s="233">
        <v>11</v>
      </c>
      <c r="B214" s="285" t="s">
        <v>1122</v>
      </c>
      <c r="C214" s="365" t="s">
        <v>314</v>
      </c>
      <c r="D214" s="366">
        <v>2</v>
      </c>
      <c r="E214" s="302">
        <v>5000</v>
      </c>
      <c r="F214" s="364">
        <f t="shared" si="31"/>
        <v>10000</v>
      </c>
      <c r="G214" s="288">
        <v>0</v>
      </c>
      <c r="H214" s="163"/>
      <c r="I214" s="163"/>
      <c r="J214" s="163"/>
      <c r="K214" s="163"/>
      <c r="L214" s="163"/>
      <c r="M214" s="394"/>
      <c r="N214" s="163"/>
      <c r="O214" s="394"/>
      <c r="P214" s="163"/>
      <c r="Q214" s="163"/>
      <c r="R214" s="163"/>
      <c r="S214" s="163"/>
      <c r="T214" s="163"/>
      <c r="U214" s="163"/>
      <c r="V214" s="163"/>
      <c r="W214" s="163"/>
    </row>
    <row r="215" spans="1:23" s="374" customFormat="1" ht="23.25" customHeight="1" x14ac:dyDescent="0.25">
      <c r="A215" s="168"/>
      <c r="B215" s="208" t="s">
        <v>39</v>
      </c>
      <c r="C215" s="168"/>
      <c r="D215" s="299">
        <f>SUM(D204:D214)</f>
        <v>158</v>
      </c>
      <c r="E215" s="395"/>
      <c r="F215" s="284">
        <f>SUM(F204:F214)</f>
        <v>315485</v>
      </c>
      <c r="G215" s="284">
        <f>SUM(G204:G214)</f>
        <v>0</v>
      </c>
      <c r="H215" s="168"/>
      <c r="I215" s="168"/>
      <c r="J215" s="168"/>
      <c r="K215" s="168"/>
      <c r="L215" s="168">
        <f>SUM(L204:L214)</f>
        <v>0</v>
      </c>
      <c r="M215" s="378">
        <f>SUM(M204:M214)</f>
        <v>0</v>
      </c>
      <c r="N215" s="168">
        <f>SUM(N204:N214)</f>
        <v>0</v>
      </c>
      <c r="O215" s="284">
        <f>SUM(O204:O214)</f>
        <v>0</v>
      </c>
      <c r="P215" s="168"/>
      <c r="Q215" s="168"/>
      <c r="R215" s="168"/>
      <c r="S215" s="168"/>
      <c r="T215" s="168">
        <f>SUM(T204:T214)</f>
        <v>0</v>
      </c>
      <c r="U215" s="168">
        <f>SUM(U204:U214)</f>
        <v>0</v>
      </c>
      <c r="V215" s="168">
        <f>SUM(V204:V214)</f>
        <v>0</v>
      </c>
      <c r="W215" s="168">
        <f>SUM(W204:W214)</f>
        <v>0</v>
      </c>
    </row>
    <row r="216" spans="1:23" s="374" customFormat="1" ht="23.25" customHeight="1" x14ac:dyDescent="0.25">
      <c r="A216" s="168"/>
      <c r="B216" s="208" t="s">
        <v>552</v>
      </c>
      <c r="C216" s="168"/>
      <c r="D216" s="299">
        <f>D215+D202</f>
        <v>344</v>
      </c>
      <c r="E216" s="359"/>
      <c r="F216" s="284">
        <f>F215+F202</f>
        <v>3677082</v>
      </c>
      <c r="G216" s="284">
        <f>G215+G202</f>
        <v>2139061.12</v>
      </c>
      <c r="H216" s="168"/>
      <c r="I216" s="168"/>
      <c r="J216" s="168"/>
      <c r="K216" s="168"/>
      <c r="L216" s="168">
        <f>L215+L202</f>
        <v>0</v>
      </c>
      <c r="M216" s="378">
        <f>M215+M202</f>
        <v>0</v>
      </c>
      <c r="N216" s="168">
        <f>N215+N202</f>
        <v>0</v>
      </c>
      <c r="O216" s="284">
        <f>O215+O202</f>
        <v>0</v>
      </c>
      <c r="P216" s="168"/>
      <c r="Q216" s="168"/>
      <c r="R216" s="168"/>
      <c r="S216" s="168"/>
      <c r="T216" s="168">
        <f>T215+T202</f>
        <v>0</v>
      </c>
      <c r="U216" s="284">
        <f>U215+U202</f>
        <v>0</v>
      </c>
      <c r="V216" s="168">
        <f>V215+V202</f>
        <v>0</v>
      </c>
      <c r="W216" s="284">
        <f>W215+W202</f>
        <v>0</v>
      </c>
    </row>
    <row r="217" spans="1:23" s="176" customFormat="1" ht="23.25" customHeight="1" x14ac:dyDescent="0.25">
      <c r="A217" s="168"/>
      <c r="B217" s="208" t="s">
        <v>558</v>
      </c>
      <c r="C217" s="168"/>
      <c r="D217" s="299">
        <f>D216+D162+D143</f>
        <v>2975</v>
      </c>
      <c r="E217" s="299"/>
      <c r="F217" s="284">
        <f>F216+F162+F143</f>
        <v>10755991.310000001</v>
      </c>
      <c r="G217" s="284">
        <f>G216+G162+G143</f>
        <v>5054636.2799999993</v>
      </c>
      <c r="H217" s="397"/>
      <c r="I217" s="396"/>
      <c r="J217" s="397"/>
      <c r="K217" s="396"/>
      <c r="L217" s="397"/>
      <c r="M217" s="396"/>
      <c r="N217" s="397"/>
      <c r="O217" s="396"/>
      <c r="P217" s="397"/>
      <c r="Q217" s="396"/>
      <c r="R217" s="397"/>
      <c r="S217" s="396"/>
      <c r="T217" s="397"/>
      <c r="U217" s="284"/>
      <c r="V217" s="397"/>
      <c r="W217" s="284"/>
    </row>
    <row r="218" spans="1:23" s="176" customFormat="1" x14ac:dyDescent="0.25">
      <c r="F218" s="369"/>
    </row>
    <row r="219" spans="1:23" x14ac:dyDescent="0.3">
      <c r="F219" s="226"/>
      <c r="Q219" s="399"/>
    </row>
    <row r="220" spans="1:23" x14ac:dyDescent="0.3">
      <c r="F220" s="226"/>
      <c r="Q220" s="399"/>
    </row>
    <row r="221" spans="1:23" x14ac:dyDescent="0.3">
      <c r="F221" s="226"/>
      <c r="Q221" s="399"/>
    </row>
    <row r="222" spans="1:23" x14ac:dyDescent="0.3">
      <c r="F222" s="226"/>
      <c r="Q222" s="399"/>
    </row>
    <row r="223" spans="1:23" x14ac:dyDescent="0.3">
      <c r="F223" s="226"/>
      <c r="Q223" s="399"/>
    </row>
    <row r="224" spans="1:23" x14ac:dyDescent="0.3">
      <c r="F224" s="226"/>
      <c r="Q224" s="399"/>
    </row>
    <row r="225" spans="6:17" x14ac:dyDescent="0.3">
      <c r="F225" s="226"/>
      <c r="Q225" s="399"/>
    </row>
    <row r="226" spans="6:17" x14ac:dyDescent="0.3">
      <c r="F226" s="226"/>
      <c r="Q226" s="399"/>
    </row>
    <row r="227" spans="6:17" x14ac:dyDescent="0.3">
      <c r="F227" s="226"/>
      <c r="Q227" s="399"/>
    </row>
    <row r="228" spans="6:17" x14ac:dyDescent="0.3">
      <c r="F228" s="226"/>
      <c r="Q228" s="399"/>
    </row>
    <row r="234" spans="6:17" x14ac:dyDescent="0.3">
      <c r="F234" s="226"/>
    </row>
    <row r="235" spans="6:17" x14ac:dyDescent="0.3">
      <c r="F235" s="226"/>
    </row>
    <row r="236" spans="6:17" x14ac:dyDescent="0.3">
      <c r="F236" s="226"/>
    </row>
    <row r="237" spans="6:17" x14ac:dyDescent="0.3">
      <c r="F237" s="226"/>
    </row>
    <row r="238" spans="6:17" x14ac:dyDescent="0.3">
      <c r="F238" s="226"/>
    </row>
    <row r="239" spans="6:17" x14ac:dyDescent="0.3">
      <c r="F239" s="226"/>
    </row>
    <row r="240" spans="6:17" x14ac:dyDescent="0.3">
      <c r="F240" s="226"/>
    </row>
    <row r="241" spans="6:6" x14ac:dyDescent="0.3">
      <c r="F241" s="226"/>
    </row>
    <row r="242" spans="6:6" x14ac:dyDescent="0.3">
      <c r="F242" s="226"/>
    </row>
    <row r="243" spans="6:6" x14ac:dyDescent="0.3">
      <c r="F243" s="226"/>
    </row>
    <row r="244" spans="6:6" x14ac:dyDescent="0.3">
      <c r="F244" s="226"/>
    </row>
    <row r="245" spans="6:6" x14ac:dyDescent="0.3">
      <c r="F245" s="226"/>
    </row>
    <row r="246" spans="6:6" x14ac:dyDescent="0.3">
      <c r="F246" s="226"/>
    </row>
    <row r="247" spans="6:6" x14ac:dyDescent="0.3">
      <c r="F247" s="226"/>
    </row>
    <row r="248" spans="6:6" x14ac:dyDescent="0.3">
      <c r="F248" s="226"/>
    </row>
    <row r="249" spans="6:6" x14ac:dyDescent="0.3">
      <c r="F249" s="226"/>
    </row>
    <row r="250" spans="6:6" x14ac:dyDescent="0.3">
      <c r="F250" s="226"/>
    </row>
    <row r="251" spans="6:6" x14ac:dyDescent="0.3">
      <c r="F251" s="226"/>
    </row>
    <row r="252" spans="6:6" x14ac:dyDescent="0.3">
      <c r="F252" s="226"/>
    </row>
    <row r="253" spans="6:6" x14ac:dyDescent="0.3">
      <c r="F253" s="226"/>
    </row>
    <row r="254" spans="6:6" x14ac:dyDescent="0.3">
      <c r="F254" s="226"/>
    </row>
    <row r="255" spans="6:6" x14ac:dyDescent="0.3">
      <c r="F255" s="226"/>
    </row>
    <row r="256" spans="6:6" x14ac:dyDescent="0.3">
      <c r="F256" s="226"/>
    </row>
    <row r="257" spans="6:6" x14ac:dyDescent="0.3">
      <c r="F257" s="226"/>
    </row>
    <row r="258" spans="6:6" x14ac:dyDescent="0.3">
      <c r="F258" s="226"/>
    </row>
    <row r="259" spans="6:6" x14ac:dyDescent="0.3">
      <c r="F259" s="226"/>
    </row>
    <row r="260" spans="6:6" x14ac:dyDescent="0.3">
      <c r="F260" s="226"/>
    </row>
    <row r="261" spans="6:6" x14ac:dyDescent="0.3">
      <c r="F261" s="226"/>
    </row>
    <row r="262" spans="6:6" ht="26.25" customHeight="1" x14ac:dyDescent="0.3">
      <c r="F262" s="226"/>
    </row>
    <row r="263" spans="6:6" ht="26.25" customHeight="1" x14ac:dyDescent="0.3">
      <c r="F263" s="226"/>
    </row>
    <row r="264" spans="6:6" x14ac:dyDescent="0.3">
      <c r="F264" s="226"/>
    </row>
    <row r="265" spans="6:6" x14ac:dyDescent="0.3">
      <c r="F265" s="226"/>
    </row>
    <row r="266" spans="6:6" x14ac:dyDescent="0.3">
      <c r="F266" s="226"/>
    </row>
    <row r="267" spans="6:6" x14ac:dyDescent="0.3">
      <c r="F267" s="226"/>
    </row>
    <row r="268" spans="6:6" x14ac:dyDescent="0.3">
      <c r="F268" s="226"/>
    </row>
    <row r="269" spans="6:6" x14ac:dyDescent="0.3">
      <c r="F269" s="226"/>
    </row>
    <row r="270" spans="6:6" x14ac:dyDescent="0.3">
      <c r="F270" s="226"/>
    </row>
    <row r="271" spans="6:6" x14ac:dyDescent="0.3">
      <c r="F271" s="226"/>
    </row>
    <row r="272" spans="6:6" x14ac:dyDescent="0.3">
      <c r="F272" s="226"/>
    </row>
    <row r="273" spans="6:6" x14ac:dyDescent="0.3">
      <c r="F273" s="226"/>
    </row>
    <row r="274" spans="6:6" x14ac:dyDescent="0.3">
      <c r="F274" s="226"/>
    </row>
    <row r="275" spans="6:6" x14ac:dyDescent="0.3">
      <c r="F275" s="226"/>
    </row>
    <row r="276" spans="6:6" x14ac:dyDescent="0.3">
      <c r="F276" s="226"/>
    </row>
    <row r="277" spans="6:6" x14ac:dyDescent="0.3">
      <c r="F277" s="226"/>
    </row>
    <row r="278" spans="6:6" x14ac:dyDescent="0.3">
      <c r="F278" s="226"/>
    </row>
    <row r="279" spans="6:6" x14ac:dyDescent="0.3">
      <c r="F279" s="226"/>
    </row>
    <row r="280" spans="6:6" x14ac:dyDescent="0.3">
      <c r="F280" s="226"/>
    </row>
    <row r="281" spans="6:6" x14ac:dyDescent="0.3">
      <c r="F281" s="226"/>
    </row>
    <row r="282" spans="6:6" x14ac:dyDescent="0.3">
      <c r="F282" s="226"/>
    </row>
    <row r="283" spans="6:6" x14ac:dyDescent="0.3">
      <c r="F283" s="226"/>
    </row>
    <row r="284" spans="6:6" x14ac:dyDescent="0.3">
      <c r="F284" s="226"/>
    </row>
    <row r="285" spans="6:6" x14ac:dyDescent="0.3">
      <c r="F285" s="226"/>
    </row>
    <row r="286" spans="6:6" x14ac:dyDescent="0.3">
      <c r="F286" s="226"/>
    </row>
    <row r="287" spans="6:6" x14ac:dyDescent="0.3">
      <c r="F287" s="226"/>
    </row>
    <row r="288" spans="6:6" x14ac:dyDescent="0.3">
      <c r="F288" s="226"/>
    </row>
    <row r="289" spans="6:6" x14ac:dyDescent="0.3">
      <c r="F289" s="226"/>
    </row>
    <row r="290" spans="6:6" x14ac:dyDescent="0.3">
      <c r="F290" s="226"/>
    </row>
    <row r="291" spans="6:6" x14ac:dyDescent="0.3">
      <c r="F291" s="226"/>
    </row>
    <row r="292" spans="6:6" x14ac:dyDescent="0.3">
      <c r="F292" s="226"/>
    </row>
    <row r="293" spans="6:6" x14ac:dyDescent="0.3">
      <c r="F293" s="226"/>
    </row>
    <row r="294" spans="6:6" x14ac:dyDescent="0.3">
      <c r="F294" s="226"/>
    </row>
    <row r="295" spans="6:6" x14ac:dyDescent="0.3">
      <c r="F295" s="226"/>
    </row>
    <row r="296" spans="6:6" x14ac:dyDescent="0.3">
      <c r="F296" s="226"/>
    </row>
    <row r="297" spans="6:6" x14ac:dyDescent="0.3">
      <c r="F297" s="226"/>
    </row>
    <row r="298" spans="6:6" x14ac:dyDescent="0.3">
      <c r="F298" s="226"/>
    </row>
    <row r="299" spans="6:6" x14ac:dyDescent="0.3">
      <c r="F299" s="226"/>
    </row>
    <row r="300" spans="6:6" x14ac:dyDescent="0.3">
      <c r="F300" s="226"/>
    </row>
    <row r="301" spans="6:6" x14ac:dyDescent="0.3">
      <c r="F301" s="226"/>
    </row>
    <row r="302" spans="6:6" x14ac:dyDescent="0.3">
      <c r="F302" s="226"/>
    </row>
    <row r="303" spans="6:6" x14ac:dyDescent="0.3">
      <c r="F303" s="226"/>
    </row>
    <row r="304" spans="6:6" x14ac:dyDescent="0.3">
      <c r="F304" s="226"/>
    </row>
    <row r="305" spans="6:6" x14ac:dyDescent="0.3">
      <c r="F305" s="226"/>
    </row>
    <row r="306" spans="6:6" x14ac:dyDescent="0.3">
      <c r="F306" s="226"/>
    </row>
    <row r="307" spans="6:6" x14ac:dyDescent="0.3">
      <c r="F307" s="226"/>
    </row>
    <row r="308" spans="6:6" x14ac:dyDescent="0.3">
      <c r="F308" s="226"/>
    </row>
    <row r="309" spans="6:6" x14ac:dyDescent="0.3">
      <c r="F309" s="226"/>
    </row>
    <row r="310" spans="6:6" x14ac:dyDescent="0.3">
      <c r="F310" s="226"/>
    </row>
    <row r="311" spans="6:6" x14ac:dyDescent="0.3">
      <c r="F311" s="226"/>
    </row>
    <row r="312" spans="6:6" x14ac:dyDescent="0.3">
      <c r="F312" s="226"/>
    </row>
    <row r="313" spans="6:6" x14ac:dyDescent="0.3">
      <c r="F313" s="226"/>
    </row>
    <row r="314" spans="6:6" x14ac:dyDescent="0.3">
      <c r="F314" s="226"/>
    </row>
    <row r="315" spans="6:6" x14ac:dyDescent="0.3">
      <c r="F315" s="226"/>
    </row>
    <row r="316" spans="6:6" x14ac:dyDescent="0.3">
      <c r="F316" s="226"/>
    </row>
    <row r="317" spans="6:6" x14ac:dyDescent="0.3">
      <c r="F317" s="226"/>
    </row>
    <row r="318" spans="6:6" x14ac:dyDescent="0.3">
      <c r="F318" s="226"/>
    </row>
    <row r="319" spans="6:6" x14ac:dyDescent="0.3">
      <c r="F319" s="226"/>
    </row>
    <row r="320" spans="6:6" x14ac:dyDescent="0.3">
      <c r="F320" s="226"/>
    </row>
    <row r="321" spans="6:6" x14ac:dyDescent="0.3">
      <c r="F321" s="226"/>
    </row>
    <row r="322" spans="6:6" x14ac:dyDescent="0.3">
      <c r="F322" s="226"/>
    </row>
    <row r="323" spans="6:6" x14ac:dyDescent="0.3">
      <c r="F323" s="226"/>
    </row>
    <row r="324" spans="6:6" x14ac:dyDescent="0.3">
      <c r="F324" s="226"/>
    </row>
    <row r="325" spans="6:6" x14ac:dyDescent="0.3">
      <c r="F325" s="226"/>
    </row>
    <row r="326" spans="6:6" x14ac:dyDescent="0.3">
      <c r="F326" s="226"/>
    </row>
    <row r="327" spans="6:6" x14ac:dyDescent="0.3">
      <c r="F327" s="226"/>
    </row>
    <row r="328" spans="6:6" x14ac:dyDescent="0.3">
      <c r="F328" s="226"/>
    </row>
    <row r="329" spans="6:6" x14ac:dyDescent="0.3">
      <c r="F329" s="226"/>
    </row>
    <row r="330" spans="6:6" x14ac:dyDescent="0.3">
      <c r="F330" s="226"/>
    </row>
    <row r="331" spans="6:6" x14ac:dyDescent="0.3">
      <c r="F331" s="226"/>
    </row>
    <row r="332" spans="6:6" x14ac:dyDescent="0.3">
      <c r="F332" s="226"/>
    </row>
    <row r="333" spans="6:6" x14ac:dyDescent="0.3">
      <c r="F333" s="226"/>
    </row>
    <row r="334" spans="6:6" x14ac:dyDescent="0.3">
      <c r="F334" s="226"/>
    </row>
    <row r="335" spans="6:6" x14ac:dyDescent="0.3">
      <c r="F335" s="226"/>
    </row>
    <row r="336" spans="6:6" x14ac:dyDescent="0.3">
      <c r="F336" s="226"/>
    </row>
    <row r="337" spans="6:6" x14ac:dyDescent="0.3">
      <c r="F337" s="226"/>
    </row>
    <row r="338" spans="6:6" x14ac:dyDescent="0.3">
      <c r="F338" s="226"/>
    </row>
    <row r="339" spans="6:6" x14ac:dyDescent="0.3">
      <c r="F339" s="226"/>
    </row>
    <row r="340" spans="6:6" x14ac:dyDescent="0.3">
      <c r="F340" s="226"/>
    </row>
    <row r="341" spans="6:6" x14ac:dyDescent="0.3">
      <c r="F341" s="226"/>
    </row>
    <row r="342" spans="6:6" x14ac:dyDescent="0.3">
      <c r="F342" s="226"/>
    </row>
    <row r="343" spans="6:6" x14ac:dyDescent="0.3">
      <c r="F343" s="226"/>
    </row>
    <row r="344" spans="6:6" x14ac:dyDescent="0.3">
      <c r="F344" s="226"/>
    </row>
    <row r="345" spans="6:6" x14ac:dyDescent="0.3">
      <c r="F345" s="226"/>
    </row>
    <row r="346" spans="6:6" x14ac:dyDescent="0.3">
      <c r="F346" s="226"/>
    </row>
    <row r="347" spans="6:6" x14ac:dyDescent="0.3">
      <c r="F347" s="226"/>
    </row>
    <row r="348" spans="6:6" x14ac:dyDescent="0.3">
      <c r="F348" s="226"/>
    </row>
    <row r="349" spans="6:6" x14ac:dyDescent="0.3">
      <c r="F349" s="226"/>
    </row>
    <row r="350" spans="6:6" x14ac:dyDescent="0.3">
      <c r="F350" s="226"/>
    </row>
    <row r="351" spans="6:6" x14ac:dyDescent="0.3">
      <c r="F351" s="226"/>
    </row>
    <row r="352" spans="6:6" x14ac:dyDescent="0.3">
      <c r="F352" s="226"/>
    </row>
    <row r="353" spans="6:6" x14ac:dyDescent="0.3">
      <c r="F353" s="226"/>
    </row>
    <row r="354" spans="6:6" x14ac:dyDescent="0.3">
      <c r="F354" s="226"/>
    </row>
    <row r="355" spans="6:6" x14ac:dyDescent="0.3">
      <c r="F355" s="226"/>
    </row>
    <row r="356" spans="6:6" x14ac:dyDescent="0.3">
      <c r="F356" s="226"/>
    </row>
    <row r="357" spans="6:6" x14ac:dyDescent="0.3">
      <c r="F357" s="226"/>
    </row>
    <row r="358" spans="6:6" x14ac:dyDescent="0.3">
      <c r="F358" s="226"/>
    </row>
    <row r="359" spans="6:6" x14ac:dyDescent="0.3">
      <c r="F359" s="226"/>
    </row>
    <row r="360" spans="6:6" x14ac:dyDescent="0.3">
      <c r="F360" s="226"/>
    </row>
    <row r="361" spans="6:6" x14ac:dyDescent="0.3">
      <c r="F361" s="226"/>
    </row>
    <row r="362" spans="6:6" x14ac:dyDescent="0.3">
      <c r="F362" s="226"/>
    </row>
    <row r="363" spans="6:6" x14ac:dyDescent="0.3">
      <c r="F363" s="226"/>
    </row>
    <row r="364" spans="6:6" x14ac:dyDescent="0.3">
      <c r="F364" s="226"/>
    </row>
    <row r="365" spans="6:6" x14ac:dyDescent="0.3">
      <c r="F365" s="226"/>
    </row>
    <row r="366" spans="6:6" x14ac:dyDescent="0.3">
      <c r="F366" s="226"/>
    </row>
    <row r="367" spans="6:6" x14ac:dyDescent="0.3">
      <c r="F367" s="226"/>
    </row>
    <row r="368" spans="6:6" x14ac:dyDescent="0.3">
      <c r="F368" s="226"/>
    </row>
    <row r="369" spans="6:6" x14ac:dyDescent="0.3">
      <c r="F369" s="226"/>
    </row>
    <row r="370" spans="6:6" x14ac:dyDescent="0.3">
      <c r="F370" s="226"/>
    </row>
    <row r="371" spans="6:6" x14ac:dyDescent="0.3">
      <c r="F371" s="226"/>
    </row>
    <row r="372" spans="6:6" x14ac:dyDescent="0.3">
      <c r="F372" s="226"/>
    </row>
    <row r="373" spans="6:6" x14ac:dyDescent="0.3">
      <c r="F373" s="226"/>
    </row>
    <row r="374" spans="6:6" x14ac:dyDescent="0.3">
      <c r="F374" s="226"/>
    </row>
    <row r="375" spans="6:6" x14ac:dyDescent="0.3">
      <c r="F375" s="226"/>
    </row>
    <row r="376" spans="6:6" x14ac:dyDescent="0.3">
      <c r="F376" s="226"/>
    </row>
    <row r="377" spans="6:6" x14ac:dyDescent="0.3">
      <c r="F377" s="226"/>
    </row>
    <row r="378" spans="6:6" x14ac:dyDescent="0.3">
      <c r="F378" s="226"/>
    </row>
    <row r="379" spans="6:6" x14ac:dyDescent="0.3">
      <c r="F379" s="226"/>
    </row>
    <row r="380" spans="6:6" x14ac:dyDescent="0.3">
      <c r="F380" s="226"/>
    </row>
    <row r="381" spans="6:6" x14ac:dyDescent="0.3">
      <c r="F381" s="226"/>
    </row>
    <row r="382" spans="6:6" x14ac:dyDescent="0.3">
      <c r="F382" s="226"/>
    </row>
    <row r="383" spans="6:6" x14ac:dyDescent="0.3">
      <c r="F383" s="226"/>
    </row>
    <row r="384" spans="6:6" x14ac:dyDescent="0.3">
      <c r="F384" s="226"/>
    </row>
    <row r="385" spans="6:6" x14ac:dyDescent="0.3">
      <c r="F385" s="226"/>
    </row>
    <row r="386" spans="6:6" x14ac:dyDescent="0.3">
      <c r="F386" s="226"/>
    </row>
    <row r="387" spans="6:6" x14ac:dyDescent="0.3">
      <c r="F387" s="226"/>
    </row>
    <row r="388" spans="6:6" x14ac:dyDescent="0.3">
      <c r="F388" s="226"/>
    </row>
    <row r="389" spans="6:6" x14ac:dyDescent="0.3">
      <c r="F389" s="226"/>
    </row>
    <row r="390" spans="6:6" x14ac:dyDescent="0.3">
      <c r="F390" s="226"/>
    </row>
    <row r="391" spans="6:6" x14ac:dyDescent="0.3">
      <c r="F391" s="226"/>
    </row>
    <row r="392" spans="6:6" x14ac:dyDescent="0.3">
      <c r="F392" s="226"/>
    </row>
    <row r="393" spans="6:6" x14ac:dyDescent="0.3">
      <c r="F393" s="226"/>
    </row>
    <row r="394" spans="6:6" x14ac:dyDescent="0.3">
      <c r="F394" s="226"/>
    </row>
    <row r="395" spans="6:6" x14ac:dyDescent="0.3">
      <c r="F395" s="226"/>
    </row>
    <row r="396" spans="6:6" x14ac:dyDescent="0.3">
      <c r="F396" s="226"/>
    </row>
    <row r="397" spans="6:6" x14ac:dyDescent="0.3">
      <c r="F397" s="226"/>
    </row>
    <row r="398" spans="6:6" x14ac:dyDescent="0.3">
      <c r="F398" s="226"/>
    </row>
    <row r="399" spans="6:6" ht="19.149999999999999" customHeight="1" x14ac:dyDescent="0.3">
      <c r="F399" s="226"/>
    </row>
    <row r="400" spans="6:6" x14ac:dyDescent="0.3">
      <c r="F400" s="226"/>
    </row>
    <row r="401" spans="6:6" x14ac:dyDescent="0.3">
      <c r="F401" s="226"/>
    </row>
    <row r="402" spans="6:6" x14ac:dyDescent="0.3">
      <c r="F402" s="226"/>
    </row>
    <row r="403" spans="6:6" x14ac:dyDescent="0.3">
      <c r="F403" s="226"/>
    </row>
    <row r="404" spans="6:6" x14ac:dyDescent="0.3">
      <c r="F404" s="226"/>
    </row>
    <row r="405" spans="6:6" x14ac:dyDescent="0.3">
      <c r="F405" s="226"/>
    </row>
    <row r="406" spans="6:6" x14ac:dyDescent="0.3">
      <c r="F406" s="226"/>
    </row>
    <row r="407" spans="6:6" x14ac:dyDescent="0.3">
      <c r="F407" s="226"/>
    </row>
    <row r="408" spans="6:6" x14ac:dyDescent="0.3">
      <c r="F408" s="226"/>
    </row>
    <row r="409" spans="6:6" x14ac:dyDescent="0.3">
      <c r="F409" s="226"/>
    </row>
    <row r="410" spans="6:6" x14ac:dyDescent="0.3">
      <c r="F410" s="226"/>
    </row>
    <row r="411" spans="6:6" x14ac:dyDescent="0.3">
      <c r="F411" s="226"/>
    </row>
    <row r="412" spans="6:6" x14ac:dyDescent="0.3">
      <c r="F412" s="226"/>
    </row>
    <row r="413" spans="6:6" x14ac:dyDescent="0.3">
      <c r="F413" s="226"/>
    </row>
    <row r="414" spans="6:6" x14ac:dyDescent="0.3">
      <c r="F414" s="226"/>
    </row>
    <row r="415" spans="6:6" ht="21" customHeight="1" x14ac:dyDescent="0.3">
      <c r="F415" s="226"/>
    </row>
    <row r="416" spans="6:6" x14ac:dyDescent="0.3">
      <c r="F416" s="226"/>
    </row>
    <row r="417" spans="6:6" x14ac:dyDescent="0.3">
      <c r="F417" s="226"/>
    </row>
    <row r="418" spans="6:6" x14ac:dyDescent="0.3">
      <c r="F418" s="226"/>
    </row>
    <row r="419" spans="6:6" x14ac:dyDescent="0.3">
      <c r="F419" s="226"/>
    </row>
    <row r="420" spans="6:6" x14ac:dyDescent="0.3">
      <c r="F420" s="226"/>
    </row>
    <row r="421" spans="6:6" x14ac:dyDescent="0.3">
      <c r="F421" s="226"/>
    </row>
    <row r="422" spans="6:6" x14ac:dyDescent="0.3">
      <c r="F422" s="226"/>
    </row>
    <row r="423" spans="6:6" x14ac:dyDescent="0.3">
      <c r="F423" s="226"/>
    </row>
    <row r="424" spans="6:6" x14ac:dyDescent="0.3">
      <c r="F424" s="226"/>
    </row>
    <row r="425" spans="6:6" x14ac:dyDescent="0.3">
      <c r="F425" s="226"/>
    </row>
    <row r="426" spans="6:6" x14ac:dyDescent="0.3">
      <c r="F426" s="226"/>
    </row>
    <row r="427" spans="6:6" x14ac:dyDescent="0.3">
      <c r="F427" s="226"/>
    </row>
    <row r="428" spans="6:6" x14ac:dyDescent="0.3">
      <c r="F428" s="226"/>
    </row>
    <row r="429" spans="6:6" x14ac:dyDescent="0.3">
      <c r="F429" s="226"/>
    </row>
    <row r="430" spans="6:6" x14ac:dyDescent="0.3">
      <c r="F430" s="226"/>
    </row>
    <row r="433" spans="6:6" x14ac:dyDescent="0.3">
      <c r="F433" s="226"/>
    </row>
  </sheetData>
  <mergeCells count="25">
    <mergeCell ref="T8:U8"/>
    <mergeCell ref="V8:W8"/>
    <mergeCell ref="A11:G11"/>
    <mergeCell ref="B12:G12"/>
    <mergeCell ref="J8:K8"/>
    <mergeCell ref="L8:M8"/>
    <mergeCell ref="N8:O8"/>
    <mergeCell ref="P8:Q8"/>
    <mergeCell ref="R8:S8"/>
    <mergeCell ref="C8:C9"/>
    <mergeCell ref="D8:D9"/>
    <mergeCell ref="B8:B9"/>
    <mergeCell ref="B203:G203"/>
    <mergeCell ref="H8:I8"/>
    <mergeCell ref="F1:G1"/>
    <mergeCell ref="A144:G144"/>
    <mergeCell ref="B145:G145"/>
    <mergeCell ref="B156:G156"/>
    <mergeCell ref="A163:G163"/>
    <mergeCell ref="B164:G164"/>
    <mergeCell ref="D2:G2"/>
    <mergeCell ref="D3:G3"/>
    <mergeCell ref="A5:G5"/>
    <mergeCell ref="A6:G6"/>
    <mergeCell ref="B112:G112"/>
  </mergeCells>
  <pageMargins left="0" right="0" top="0" bottom="0" header="0" footer="0"/>
  <pageSetup paperSize="9" scale="90"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8"/>
  <sheetViews>
    <sheetView topLeftCell="A16" workbookViewId="0">
      <selection activeCell="E11" sqref="E11"/>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2.42578125" style="1" customWidth="1"/>
    <col min="7" max="7" width="16.42578125" style="1" customWidth="1"/>
    <col min="8" max="8" width="17.5703125" style="1" customWidth="1"/>
    <col min="9" max="16384" width="9.140625" style="1"/>
  </cols>
  <sheetData>
    <row r="1" spans="2:8" x14ac:dyDescent="0.3">
      <c r="E1" s="2"/>
      <c r="F1" s="2"/>
      <c r="G1" s="465" t="s">
        <v>80</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02.75" customHeight="1" x14ac:dyDescent="0.3">
      <c r="B6" s="467" t="s">
        <v>69</v>
      </c>
      <c r="C6" s="467"/>
      <c r="D6" s="467"/>
      <c r="E6" s="467"/>
      <c r="F6" s="467"/>
      <c r="G6" s="467"/>
      <c r="H6" s="467"/>
    </row>
    <row r="7" spans="2:8" x14ac:dyDescent="0.3">
      <c r="D7" s="3"/>
      <c r="E7" s="2"/>
      <c r="F7" s="2"/>
      <c r="G7" s="2"/>
    </row>
    <row r="8" spans="2:8" ht="60" customHeight="1" x14ac:dyDescent="0.3">
      <c r="B8" s="80" t="s">
        <v>4</v>
      </c>
      <c r="C8" s="481" t="s">
        <v>5</v>
      </c>
      <c r="D8" s="481" t="s">
        <v>6</v>
      </c>
      <c r="E8" s="481" t="s">
        <v>7</v>
      </c>
      <c r="F8" s="81" t="s">
        <v>8</v>
      </c>
      <c r="G8" s="82" t="s">
        <v>9</v>
      </c>
      <c r="H8" s="82" t="s">
        <v>10</v>
      </c>
    </row>
    <row r="9" spans="2:8" ht="26.25" customHeight="1" x14ac:dyDescent="0.3">
      <c r="B9" s="83" t="s">
        <v>11</v>
      </c>
      <c r="C9" s="492"/>
      <c r="D9" s="492"/>
      <c r="E9" s="493"/>
      <c r="F9" s="82" t="s">
        <v>12</v>
      </c>
      <c r="G9" s="84" t="s">
        <v>12</v>
      </c>
      <c r="H9" s="84" t="s">
        <v>12</v>
      </c>
    </row>
    <row r="10" spans="2:8" ht="27" customHeight="1" x14ac:dyDescent="0.3">
      <c r="B10" s="84">
        <v>1</v>
      </c>
      <c r="C10" s="84">
        <v>2</v>
      </c>
      <c r="D10" s="84">
        <v>3</v>
      </c>
      <c r="E10" s="84">
        <v>4</v>
      </c>
      <c r="F10" s="84">
        <v>5</v>
      </c>
      <c r="G10" s="84">
        <v>6</v>
      </c>
      <c r="H10" s="84">
        <v>7</v>
      </c>
    </row>
    <row r="11" spans="2:8" ht="26.25" customHeight="1" x14ac:dyDescent="0.3">
      <c r="B11" s="85">
        <v>1</v>
      </c>
      <c r="C11" s="17" t="s">
        <v>157</v>
      </c>
      <c r="D11" s="85" t="s">
        <v>14</v>
      </c>
      <c r="E11" s="454">
        <v>22</v>
      </c>
      <c r="F11" s="76">
        <v>36568</v>
      </c>
      <c r="G11" s="76">
        <f t="shared" ref="G11:G16" si="0">E11*F11</f>
        <v>804496</v>
      </c>
      <c r="H11" s="76">
        <v>101577</v>
      </c>
    </row>
    <row r="12" spans="2:8" ht="27" customHeight="1" x14ac:dyDescent="0.3">
      <c r="B12" s="85">
        <v>2</v>
      </c>
      <c r="C12" s="88" t="s">
        <v>158</v>
      </c>
      <c r="D12" s="85" t="s">
        <v>14</v>
      </c>
      <c r="E12" s="40">
        <v>20</v>
      </c>
      <c r="F12" s="76">
        <v>11000</v>
      </c>
      <c r="G12" s="76">
        <f t="shared" si="0"/>
        <v>220000</v>
      </c>
      <c r="H12" s="76">
        <v>73333.2</v>
      </c>
    </row>
    <row r="13" spans="2:8" ht="27" customHeight="1" x14ac:dyDescent="0.3">
      <c r="B13" s="85">
        <v>3</v>
      </c>
      <c r="C13" s="88" t="s">
        <v>158</v>
      </c>
      <c r="D13" s="85" t="s">
        <v>14</v>
      </c>
      <c r="E13" s="40">
        <v>24</v>
      </c>
      <c r="F13" s="15">
        <v>12000</v>
      </c>
      <c r="G13" s="76">
        <f t="shared" si="0"/>
        <v>288000</v>
      </c>
      <c r="H13" s="76">
        <v>123428.64</v>
      </c>
    </row>
    <row r="14" spans="2:8" ht="27" customHeight="1" x14ac:dyDescent="0.3">
      <c r="B14" s="85">
        <v>4</v>
      </c>
      <c r="C14" s="88" t="s">
        <v>158</v>
      </c>
      <c r="D14" s="85" t="s">
        <v>14</v>
      </c>
      <c r="E14" s="40">
        <v>40</v>
      </c>
      <c r="F14" s="15">
        <v>19756</v>
      </c>
      <c r="G14" s="76">
        <f t="shared" si="0"/>
        <v>790240</v>
      </c>
      <c r="H14" s="76">
        <v>395120</v>
      </c>
    </row>
    <row r="15" spans="2:8" ht="26.25" customHeight="1" x14ac:dyDescent="0.3">
      <c r="B15" s="85">
        <v>5</v>
      </c>
      <c r="C15" s="88" t="s">
        <v>158</v>
      </c>
      <c r="D15" s="85" t="s">
        <v>14</v>
      </c>
      <c r="E15" s="40">
        <v>3</v>
      </c>
      <c r="F15" s="15">
        <v>7000</v>
      </c>
      <c r="G15" s="76">
        <f t="shared" si="0"/>
        <v>21000</v>
      </c>
      <c r="H15" s="76">
        <v>4200</v>
      </c>
    </row>
    <row r="16" spans="2:8" ht="26.25" customHeight="1" x14ac:dyDescent="0.3">
      <c r="B16" s="85">
        <v>6</v>
      </c>
      <c r="C16" s="88" t="s">
        <v>308</v>
      </c>
      <c r="D16" s="85" t="s">
        <v>14</v>
      </c>
      <c r="E16" s="40">
        <v>80</v>
      </c>
      <c r="F16" s="15">
        <v>2000</v>
      </c>
      <c r="G16" s="76">
        <f t="shared" si="0"/>
        <v>160000</v>
      </c>
      <c r="H16" s="76">
        <v>0</v>
      </c>
    </row>
    <row r="17" spans="2:8" s="29" customFormat="1" ht="27" customHeight="1" x14ac:dyDescent="0.3">
      <c r="B17" s="82"/>
      <c r="C17" s="79" t="s">
        <v>39</v>
      </c>
      <c r="D17" s="82"/>
      <c r="E17" s="78">
        <f>SUM(E11:E16)</f>
        <v>189</v>
      </c>
      <c r="F17" s="78"/>
      <c r="G17" s="87">
        <f>SUM(G11:G16)</f>
        <v>2283736</v>
      </c>
      <c r="H17" s="87">
        <f t="shared" ref="H17" si="1">SUM(H11:H15)</f>
        <v>697658.84000000008</v>
      </c>
    </row>
    <row r="18" spans="2:8" x14ac:dyDescent="0.3">
      <c r="G18" s="39"/>
    </row>
  </sheetData>
  <mergeCells count="8">
    <mergeCell ref="C8:C9"/>
    <mergeCell ref="D8:D9"/>
    <mergeCell ref="E8:E9"/>
    <mergeCell ref="G1:H1"/>
    <mergeCell ref="E2:H2"/>
    <mergeCell ref="E3:H3"/>
    <mergeCell ref="B5:H5"/>
    <mergeCell ref="B6:H6"/>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15"/>
  <sheetViews>
    <sheetView workbookViewId="0">
      <selection activeCell="G1" sqref="G1:H1"/>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2.42578125" style="1" customWidth="1"/>
    <col min="7" max="7" width="16.42578125" style="1" customWidth="1"/>
    <col min="8" max="8" width="17.5703125" style="1" customWidth="1"/>
    <col min="9" max="16384" width="9.140625" style="1"/>
  </cols>
  <sheetData>
    <row r="1" spans="2:8" x14ac:dyDescent="0.3">
      <c r="E1" s="2"/>
      <c r="F1" s="2"/>
      <c r="G1" s="465" t="s">
        <v>81</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97.5" customHeight="1" x14ac:dyDescent="0.3">
      <c r="B6" s="467" t="s">
        <v>70</v>
      </c>
      <c r="C6" s="467"/>
      <c r="D6" s="467"/>
      <c r="E6" s="467"/>
      <c r="F6" s="467"/>
      <c r="G6" s="467"/>
      <c r="H6" s="467"/>
    </row>
    <row r="7" spans="2:8" x14ac:dyDescent="0.3">
      <c r="D7" s="3"/>
      <c r="E7" s="2"/>
      <c r="F7" s="2"/>
      <c r="G7" s="2"/>
    </row>
    <row r="8" spans="2:8" ht="61.5" customHeight="1" x14ac:dyDescent="0.3">
      <c r="B8" s="4" t="s">
        <v>4</v>
      </c>
      <c r="C8" s="461" t="s">
        <v>5</v>
      </c>
      <c r="D8" s="461" t="s">
        <v>6</v>
      </c>
      <c r="E8" s="461" t="s">
        <v>7</v>
      </c>
      <c r="F8" s="5" t="s">
        <v>8</v>
      </c>
      <c r="G8" s="6" t="s">
        <v>9</v>
      </c>
      <c r="H8" s="6" t="s">
        <v>10</v>
      </c>
    </row>
    <row r="9" spans="2:8" ht="27.75" customHeight="1" x14ac:dyDescent="0.3">
      <c r="B9" s="30" t="s">
        <v>11</v>
      </c>
      <c r="C9" s="462"/>
      <c r="D9" s="462"/>
      <c r="E9" s="468"/>
      <c r="F9" s="6" t="s">
        <v>12</v>
      </c>
      <c r="G9" s="31" t="s">
        <v>12</v>
      </c>
      <c r="H9" s="31" t="s">
        <v>12</v>
      </c>
    </row>
    <row r="10" spans="2:8" ht="27" customHeight="1" x14ac:dyDescent="0.3">
      <c r="B10" s="31">
        <v>1</v>
      </c>
      <c r="C10" s="31">
        <v>2</v>
      </c>
      <c r="D10" s="31">
        <v>3</v>
      </c>
      <c r="E10" s="31">
        <v>4</v>
      </c>
      <c r="F10" s="31">
        <v>5</v>
      </c>
      <c r="G10" s="31">
        <v>6</v>
      </c>
      <c r="H10" s="31">
        <v>7</v>
      </c>
    </row>
    <row r="11" spans="2:8" ht="27" customHeight="1" x14ac:dyDescent="0.3">
      <c r="B11" s="85">
        <v>1</v>
      </c>
      <c r="C11" s="89" t="s">
        <v>159</v>
      </c>
      <c r="D11" s="90" t="s">
        <v>14</v>
      </c>
      <c r="E11" s="43">
        <v>2</v>
      </c>
      <c r="F11" s="91">
        <v>1</v>
      </c>
      <c r="G11" s="91">
        <f>E11*F11</f>
        <v>2</v>
      </c>
      <c r="H11" s="91">
        <v>0</v>
      </c>
    </row>
    <row r="12" spans="2:8" ht="28.5" customHeight="1" x14ac:dyDescent="0.3">
      <c r="B12" s="85">
        <v>2</v>
      </c>
      <c r="C12" s="89" t="s">
        <v>160</v>
      </c>
      <c r="D12" s="90" t="s">
        <v>14</v>
      </c>
      <c r="E12" s="43">
        <v>2</v>
      </c>
      <c r="F12" s="91">
        <v>1</v>
      </c>
      <c r="G12" s="91">
        <f t="shared" ref="G12:G13" si="0">E12*F12</f>
        <v>2</v>
      </c>
      <c r="H12" s="91">
        <v>0</v>
      </c>
    </row>
    <row r="13" spans="2:8" ht="27" customHeight="1" x14ac:dyDescent="0.3">
      <c r="B13" s="85">
        <v>3</v>
      </c>
      <c r="C13" s="89" t="s">
        <v>161</v>
      </c>
      <c r="D13" s="90" t="s">
        <v>14</v>
      </c>
      <c r="E13" s="43" t="s">
        <v>162</v>
      </c>
      <c r="F13" s="91">
        <v>15085</v>
      </c>
      <c r="G13" s="91">
        <f t="shared" si="0"/>
        <v>90510</v>
      </c>
      <c r="H13" s="91">
        <v>54354</v>
      </c>
    </row>
    <row r="14" spans="2:8" s="29" customFormat="1" ht="28.5" customHeight="1" x14ac:dyDescent="0.3">
      <c r="B14" s="82"/>
      <c r="C14" s="77"/>
      <c r="D14" s="92"/>
      <c r="E14" s="78">
        <f>SUM(E11:E13)</f>
        <v>4</v>
      </c>
      <c r="F14" s="86"/>
      <c r="G14" s="86">
        <f>SUM(G11:G13)</f>
        <v>90514</v>
      </c>
      <c r="H14" s="86">
        <f>SUM(H11:H13)</f>
        <v>54354</v>
      </c>
    </row>
    <row r="15" spans="2:8" x14ac:dyDescent="0.3">
      <c r="G15" s="39"/>
    </row>
  </sheetData>
  <mergeCells count="8">
    <mergeCell ref="C8:C9"/>
    <mergeCell ref="D8:D9"/>
    <mergeCell ref="E8:E9"/>
    <mergeCell ref="G1:H1"/>
    <mergeCell ref="E2:H2"/>
    <mergeCell ref="E3:H3"/>
    <mergeCell ref="B5:H5"/>
    <mergeCell ref="B6:H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42"/>
  <sheetViews>
    <sheetView topLeftCell="A34" workbookViewId="0">
      <selection activeCell="G1" sqref="G1:H1"/>
    </sheetView>
  </sheetViews>
  <sheetFormatPr defaultRowHeight="17.25" x14ac:dyDescent="0.3"/>
  <cols>
    <col min="1" max="1" width="2.5703125" style="1" customWidth="1"/>
    <col min="2" max="2" width="6" style="74" customWidth="1"/>
    <col min="3" max="3" width="35" style="1" customWidth="1"/>
    <col min="4" max="4" width="8.5703125" style="1" customWidth="1"/>
    <col min="5" max="5" width="8.42578125" style="1" customWidth="1"/>
    <col min="6" max="6" width="14.140625" style="1" customWidth="1"/>
    <col min="7" max="7" width="16.42578125" style="1" customWidth="1"/>
    <col min="8" max="8" width="17.5703125" style="1" customWidth="1"/>
    <col min="9" max="16384" width="9.140625" style="1"/>
  </cols>
  <sheetData>
    <row r="1" spans="2:8" x14ac:dyDescent="0.3">
      <c r="E1" s="46"/>
      <c r="F1" s="46"/>
      <c r="G1" s="465" t="s">
        <v>1256</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39.5" customHeight="1" x14ac:dyDescent="0.3">
      <c r="B6" s="467" t="s">
        <v>75</v>
      </c>
      <c r="C6" s="467"/>
      <c r="D6" s="467"/>
      <c r="E6" s="467"/>
      <c r="F6" s="467"/>
      <c r="G6" s="467"/>
      <c r="H6" s="467"/>
    </row>
    <row r="7" spans="2:8" x14ac:dyDescent="0.3">
      <c r="D7" s="3"/>
      <c r="E7" s="46"/>
      <c r="F7" s="46"/>
      <c r="G7" s="46"/>
    </row>
    <row r="8" spans="2:8" ht="51.75" x14ac:dyDescent="0.3">
      <c r="B8" s="44" t="s">
        <v>4</v>
      </c>
      <c r="C8" s="461" t="s">
        <v>5</v>
      </c>
      <c r="D8" s="461" t="s">
        <v>6</v>
      </c>
      <c r="E8" s="461" t="s">
        <v>7</v>
      </c>
      <c r="F8" s="5" t="s">
        <v>8</v>
      </c>
      <c r="G8" s="6" t="s">
        <v>9</v>
      </c>
      <c r="H8" s="6" t="s">
        <v>10</v>
      </c>
    </row>
    <row r="9" spans="2:8" x14ac:dyDescent="0.3">
      <c r="B9" s="45" t="s">
        <v>11</v>
      </c>
      <c r="C9" s="462"/>
      <c r="D9" s="462"/>
      <c r="E9" s="468"/>
      <c r="F9" s="6" t="s">
        <v>12</v>
      </c>
      <c r="G9" s="31" t="s">
        <v>12</v>
      </c>
      <c r="H9" s="31" t="s">
        <v>12</v>
      </c>
    </row>
    <row r="10" spans="2:8" x14ac:dyDescent="0.3">
      <c r="B10" s="31">
        <v>1</v>
      </c>
      <c r="C10" s="31">
        <v>2</v>
      </c>
      <c r="D10" s="31">
        <v>3</v>
      </c>
      <c r="E10" s="31">
        <v>4</v>
      </c>
      <c r="F10" s="31">
        <v>5</v>
      </c>
      <c r="G10" s="31">
        <v>6</v>
      </c>
      <c r="H10" s="31">
        <v>7</v>
      </c>
    </row>
    <row r="11" spans="2:8" ht="25.5" customHeight="1" x14ac:dyDescent="0.3">
      <c r="B11" s="494" t="s">
        <v>131</v>
      </c>
      <c r="C11" s="495"/>
      <c r="D11" s="495"/>
      <c r="E11" s="495"/>
      <c r="F11" s="495"/>
      <c r="G11" s="495"/>
      <c r="H11" s="496"/>
    </row>
    <row r="12" spans="2:8" ht="25.5" customHeight="1" x14ac:dyDescent="0.3">
      <c r="B12" s="235">
        <v>1</v>
      </c>
      <c r="C12" s="236" t="s">
        <v>144</v>
      </c>
      <c r="D12" s="237" t="s">
        <v>14</v>
      </c>
      <c r="E12" s="238">
        <v>1</v>
      </c>
      <c r="F12" s="239">
        <v>421400</v>
      </c>
      <c r="G12" s="240">
        <f>+E12*F12</f>
        <v>421400</v>
      </c>
      <c r="H12" s="240">
        <v>303958</v>
      </c>
    </row>
    <row r="13" spans="2:8" ht="25.5" customHeight="1" x14ac:dyDescent="0.3">
      <c r="B13" s="235">
        <v>2</v>
      </c>
      <c r="C13" s="236" t="s">
        <v>109</v>
      </c>
      <c r="D13" s="237" t="s">
        <v>14</v>
      </c>
      <c r="E13" s="238">
        <v>1</v>
      </c>
      <c r="F13" s="241">
        <v>1</v>
      </c>
      <c r="G13" s="240">
        <f t="shared" ref="G13:G22" si="0">+E13*F13</f>
        <v>1</v>
      </c>
      <c r="H13" s="242">
        <v>0</v>
      </c>
    </row>
    <row r="14" spans="2:8" ht="25.5" customHeight="1" x14ac:dyDescent="0.3">
      <c r="B14" s="235">
        <v>3</v>
      </c>
      <c r="C14" s="236" t="s">
        <v>136</v>
      </c>
      <c r="D14" s="237" t="s">
        <v>14</v>
      </c>
      <c r="E14" s="238">
        <v>1</v>
      </c>
      <c r="F14" s="241">
        <v>15000</v>
      </c>
      <c r="G14" s="240">
        <f t="shared" si="0"/>
        <v>15000</v>
      </c>
      <c r="H14" s="240">
        <v>13958</v>
      </c>
    </row>
    <row r="15" spans="2:8" ht="25.5" customHeight="1" x14ac:dyDescent="0.3">
      <c r="B15" s="235">
        <v>4</v>
      </c>
      <c r="C15" s="236" t="s">
        <v>115</v>
      </c>
      <c r="D15" s="237" t="s">
        <v>14</v>
      </c>
      <c r="E15" s="238">
        <v>2</v>
      </c>
      <c r="F15" s="241">
        <v>2975</v>
      </c>
      <c r="G15" s="240">
        <f t="shared" si="0"/>
        <v>5950</v>
      </c>
      <c r="H15" s="240">
        <v>3153.76</v>
      </c>
    </row>
    <row r="16" spans="2:8" ht="25.5" customHeight="1" x14ac:dyDescent="0.3">
      <c r="B16" s="235">
        <v>5</v>
      </c>
      <c r="C16" s="236" t="s">
        <v>110</v>
      </c>
      <c r="D16" s="237" t="s">
        <v>14</v>
      </c>
      <c r="E16" s="238">
        <v>1</v>
      </c>
      <c r="F16" s="241">
        <v>1838</v>
      </c>
      <c r="G16" s="240">
        <f t="shared" si="0"/>
        <v>1838</v>
      </c>
      <c r="H16" s="240">
        <v>2.4700000000000002</v>
      </c>
    </row>
    <row r="17" spans="2:8" ht="25.5" customHeight="1" x14ac:dyDescent="0.3">
      <c r="B17" s="235">
        <v>6</v>
      </c>
      <c r="C17" s="236" t="s">
        <v>49</v>
      </c>
      <c r="D17" s="237" t="s">
        <v>14</v>
      </c>
      <c r="E17" s="238">
        <v>5</v>
      </c>
      <c r="F17" s="241">
        <v>1</v>
      </c>
      <c r="G17" s="240">
        <f t="shared" si="0"/>
        <v>5</v>
      </c>
      <c r="H17" s="242">
        <v>0</v>
      </c>
    </row>
    <row r="18" spans="2:8" s="29" customFormat="1" ht="39.75" customHeight="1" x14ac:dyDescent="0.3">
      <c r="B18" s="235">
        <v>7</v>
      </c>
      <c r="C18" s="243" t="s">
        <v>145</v>
      </c>
      <c r="D18" s="237" t="s">
        <v>14</v>
      </c>
      <c r="E18" s="238">
        <v>1</v>
      </c>
      <c r="F18" s="241">
        <v>220500</v>
      </c>
      <c r="G18" s="240">
        <f t="shared" si="0"/>
        <v>220500</v>
      </c>
      <c r="H18" s="240">
        <v>122632</v>
      </c>
    </row>
    <row r="19" spans="2:8" ht="25.5" customHeight="1" x14ac:dyDescent="0.3">
      <c r="B19" s="235">
        <v>8</v>
      </c>
      <c r="C19" s="236" t="s">
        <v>112</v>
      </c>
      <c r="D19" s="237" t="s">
        <v>14</v>
      </c>
      <c r="E19" s="238">
        <v>1</v>
      </c>
      <c r="F19" s="241">
        <v>1</v>
      </c>
      <c r="G19" s="240">
        <f t="shared" si="0"/>
        <v>1</v>
      </c>
      <c r="H19" s="240">
        <v>0</v>
      </c>
    </row>
    <row r="20" spans="2:8" ht="25.5" customHeight="1" x14ac:dyDescent="0.3">
      <c r="B20" s="235">
        <v>9</v>
      </c>
      <c r="C20" s="236" t="s">
        <v>146</v>
      </c>
      <c r="D20" s="237" t="s">
        <v>14</v>
      </c>
      <c r="E20" s="238">
        <v>1</v>
      </c>
      <c r="F20" s="241">
        <v>1</v>
      </c>
      <c r="G20" s="240">
        <f t="shared" si="0"/>
        <v>1</v>
      </c>
      <c r="H20" s="240">
        <v>0</v>
      </c>
    </row>
    <row r="21" spans="2:8" ht="25.5" customHeight="1" x14ac:dyDescent="0.3">
      <c r="B21" s="235">
        <v>10</v>
      </c>
      <c r="C21" s="236" t="s">
        <v>116</v>
      </c>
      <c r="D21" s="237" t="s">
        <v>14</v>
      </c>
      <c r="E21" s="238">
        <v>2</v>
      </c>
      <c r="F21" s="241">
        <v>15085</v>
      </c>
      <c r="G21" s="240">
        <f t="shared" si="0"/>
        <v>30170</v>
      </c>
      <c r="H21" s="240">
        <v>18118.22</v>
      </c>
    </row>
    <row r="22" spans="2:8" ht="25.5" customHeight="1" x14ac:dyDescent="0.3">
      <c r="B22" s="235">
        <v>11</v>
      </c>
      <c r="C22" s="236" t="s">
        <v>114</v>
      </c>
      <c r="D22" s="237" t="s">
        <v>14</v>
      </c>
      <c r="E22" s="238">
        <v>1</v>
      </c>
      <c r="F22" s="241">
        <v>1</v>
      </c>
      <c r="G22" s="240">
        <f t="shared" si="0"/>
        <v>1</v>
      </c>
      <c r="H22" s="240">
        <v>0</v>
      </c>
    </row>
    <row r="23" spans="2:8" ht="25.5" customHeight="1" x14ac:dyDescent="0.3">
      <c r="B23" s="232"/>
      <c r="C23" s="244" t="s">
        <v>39</v>
      </c>
      <c r="D23" s="245"/>
      <c r="E23" s="246"/>
      <c r="F23" s="247"/>
      <c r="G23" s="248">
        <f>SUM(G12:G22)</f>
        <v>694867</v>
      </c>
      <c r="H23" s="248">
        <f>SUM(H12:H22)</f>
        <v>461822.44999999995</v>
      </c>
    </row>
    <row r="24" spans="2:8" ht="25.5" customHeight="1" x14ac:dyDescent="0.3">
      <c r="B24" s="497" t="s">
        <v>132</v>
      </c>
      <c r="C24" s="497"/>
      <c r="D24" s="497"/>
      <c r="E24" s="497"/>
      <c r="F24" s="497"/>
      <c r="G24" s="497"/>
      <c r="H24" s="497"/>
    </row>
    <row r="25" spans="2:8" ht="25.5" customHeight="1" x14ac:dyDescent="0.3">
      <c r="B25" s="235">
        <v>1</v>
      </c>
      <c r="C25" s="236" t="s">
        <v>137</v>
      </c>
      <c r="D25" s="237" t="s">
        <v>14</v>
      </c>
      <c r="E25" s="249">
        <v>1</v>
      </c>
      <c r="F25" s="242">
        <v>13000</v>
      </c>
      <c r="G25" s="242">
        <f t="shared" ref="G25:G40" si="1">E25*F25</f>
        <v>13000</v>
      </c>
      <c r="H25" s="250"/>
    </row>
    <row r="26" spans="2:8" ht="25.5" customHeight="1" x14ac:dyDescent="0.3">
      <c r="B26" s="235">
        <v>2</v>
      </c>
      <c r="C26" s="236" t="s">
        <v>117</v>
      </c>
      <c r="D26" s="237" t="s">
        <v>14</v>
      </c>
      <c r="E26" s="249">
        <v>2</v>
      </c>
      <c r="F26" s="242">
        <v>9667</v>
      </c>
      <c r="G26" s="242">
        <f t="shared" si="1"/>
        <v>19334</v>
      </c>
      <c r="H26" s="250"/>
    </row>
    <row r="27" spans="2:8" ht="25.5" customHeight="1" x14ac:dyDescent="0.3">
      <c r="B27" s="235">
        <v>3</v>
      </c>
      <c r="C27" s="236" t="s">
        <v>118</v>
      </c>
      <c r="D27" s="237" t="s">
        <v>14</v>
      </c>
      <c r="E27" s="249">
        <v>2</v>
      </c>
      <c r="F27" s="242">
        <v>10000</v>
      </c>
      <c r="G27" s="242">
        <f t="shared" si="1"/>
        <v>20000</v>
      </c>
      <c r="H27" s="250"/>
    </row>
    <row r="28" spans="2:8" ht="60" customHeight="1" x14ac:dyDescent="0.3">
      <c r="B28" s="235">
        <v>4</v>
      </c>
      <c r="C28" s="236" t="s">
        <v>119</v>
      </c>
      <c r="D28" s="237" t="s">
        <v>14</v>
      </c>
      <c r="E28" s="249">
        <v>2</v>
      </c>
      <c r="F28" s="242">
        <v>4770</v>
      </c>
      <c r="G28" s="242">
        <f t="shared" si="1"/>
        <v>9540</v>
      </c>
      <c r="H28" s="250"/>
    </row>
    <row r="29" spans="2:8" ht="25.5" customHeight="1" x14ac:dyDescent="0.3">
      <c r="B29" s="235">
        <v>5</v>
      </c>
      <c r="C29" s="236" t="s">
        <v>120</v>
      </c>
      <c r="D29" s="237" t="s">
        <v>14</v>
      </c>
      <c r="E29" s="249">
        <v>2</v>
      </c>
      <c r="F29" s="242">
        <v>2500</v>
      </c>
      <c r="G29" s="242">
        <f t="shared" si="1"/>
        <v>5000</v>
      </c>
      <c r="H29" s="250"/>
    </row>
    <row r="30" spans="2:8" ht="25.5" customHeight="1" x14ac:dyDescent="0.3">
      <c r="B30" s="235">
        <v>6</v>
      </c>
      <c r="C30" s="236" t="s">
        <v>121</v>
      </c>
      <c r="D30" s="237" t="s">
        <v>14</v>
      </c>
      <c r="E30" s="249">
        <v>3</v>
      </c>
      <c r="F30" s="242">
        <v>350</v>
      </c>
      <c r="G30" s="242">
        <f t="shared" si="1"/>
        <v>1050</v>
      </c>
      <c r="H30" s="250"/>
    </row>
    <row r="31" spans="2:8" ht="25.5" customHeight="1" x14ac:dyDescent="0.3">
      <c r="B31" s="235">
        <v>7</v>
      </c>
      <c r="C31" s="236" t="s">
        <v>122</v>
      </c>
      <c r="D31" s="237" t="s">
        <v>14</v>
      </c>
      <c r="E31" s="249">
        <v>3</v>
      </c>
      <c r="F31" s="242">
        <v>350</v>
      </c>
      <c r="G31" s="242">
        <f t="shared" si="1"/>
        <v>1050</v>
      </c>
      <c r="H31" s="250"/>
    </row>
    <row r="32" spans="2:8" ht="25.5" customHeight="1" x14ac:dyDescent="0.3">
      <c r="B32" s="235">
        <v>8</v>
      </c>
      <c r="C32" s="236" t="s">
        <v>123</v>
      </c>
      <c r="D32" s="237" t="s">
        <v>14</v>
      </c>
      <c r="E32" s="249">
        <v>3</v>
      </c>
      <c r="F32" s="242">
        <v>250</v>
      </c>
      <c r="G32" s="242">
        <f t="shared" si="1"/>
        <v>750</v>
      </c>
      <c r="H32" s="250"/>
    </row>
    <row r="33" spans="2:12" ht="25.5" customHeight="1" x14ac:dyDescent="0.3">
      <c r="B33" s="235">
        <v>9</v>
      </c>
      <c r="C33" s="236" t="s">
        <v>124</v>
      </c>
      <c r="D33" s="237" t="s">
        <v>14</v>
      </c>
      <c r="E33" s="249">
        <v>3</v>
      </c>
      <c r="F33" s="242">
        <v>400</v>
      </c>
      <c r="G33" s="242">
        <f t="shared" si="1"/>
        <v>1200</v>
      </c>
      <c r="H33" s="250"/>
    </row>
    <row r="34" spans="2:12" ht="25.5" customHeight="1" x14ac:dyDescent="0.3">
      <c r="B34" s="235">
        <v>10</v>
      </c>
      <c r="C34" s="236" t="s">
        <v>125</v>
      </c>
      <c r="D34" s="237" t="s">
        <v>14</v>
      </c>
      <c r="E34" s="249">
        <v>3</v>
      </c>
      <c r="F34" s="242">
        <v>300</v>
      </c>
      <c r="G34" s="242">
        <f t="shared" si="1"/>
        <v>900</v>
      </c>
      <c r="H34" s="250"/>
    </row>
    <row r="35" spans="2:12" ht="25.5" customHeight="1" x14ac:dyDescent="0.3">
      <c r="B35" s="235">
        <v>11</v>
      </c>
      <c r="C35" s="236" t="s">
        <v>138</v>
      </c>
      <c r="D35" s="237" t="s">
        <v>14</v>
      </c>
      <c r="E35" s="249">
        <v>1</v>
      </c>
      <c r="F35" s="242">
        <v>200</v>
      </c>
      <c r="G35" s="242">
        <f t="shared" si="1"/>
        <v>200</v>
      </c>
      <c r="H35" s="250"/>
    </row>
    <row r="36" spans="2:12" ht="25.5" customHeight="1" x14ac:dyDescent="0.3">
      <c r="B36" s="235">
        <v>12</v>
      </c>
      <c r="C36" s="236" t="s">
        <v>139</v>
      </c>
      <c r="D36" s="237" t="s">
        <v>14</v>
      </c>
      <c r="E36" s="249">
        <v>6</v>
      </c>
      <c r="F36" s="242">
        <v>176.6</v>
      </c>
      <c r="G36" s="242">
        <f t="shared" si="1"/>
        <v>1059.5999999999999</v>
      </c>
      <c r="H36" s="250"/>
      <c r="J36" s="234"/>
      <c r="L36" s="220"/>
    </row>
    <row r="37" spans="2:12" ht="25.5" customHeight="1" x14ac:dyDescent="0.3">
      <c r="B37" s="235">
        <v>13</v>
      </c>
      <c r="C37" s="236" t="s">
        <v>147</v>
      </c>
      <c r="D37" s="237" t="s">
        <v>14</v>
      </c>
      <c r="E37" s="249">
        <v>1</v>
      </c>
      <c r="F37" s="242">
        <v>2500</v>
      </c>
      <c r="G37" s="242">
        <f t="shared" si="1"/>
        <v>2500</v>
      </c>
      <c r="H37" s="250"/>
    </row>
    <row r="38" spans="2:12" ht="25.5" customHeight="1" x14ac:dyDescent="0.3">
      <c r="B38" s="235">
        <v>14</v>
      </c>
      <c r="C38" s="236" t="s">
        <v>141</v>
      </c>
      <c r="D38" s="237" t="s">
        <v>14</v>
      </c>
      <c r="E38" s="249">
        <v>1</v>
      </c>
      <c r="F38" s="242">
        <v>1000</v>
      </c>
      <c r="G38" s="242">
        <f t="shared" si="1"/>
        <v>1000</v>
      </c>
      <c r="H38" s="250"/>
    </row>
    <row r="39" spans="2:12" ht="25.5" customHeight="1" x14ac:dyDescent="0.3">
      <c r="B39" s="235">
        <v>15</v>
      </c>
      <c r="C39" s="236" t="s">
        <v>148</v>
      </c>
      <c r="D39" s="237" t="s">
        <v>14</v>
      </c>
      <c r="E39" s="249">
        <v>1</v>
      </c>
      <c r="F39" s="242">
        <v>18000</v>
      </c>
      <c r="G39" s="242">
        <f t="shared" si="1"/>
        <v>18000</v>
      </c>
      <c r="H39" s="250"/>
    </row>
    <row r="40" spans="2:12" ht="25.5" customHeight="1" x14ac:dyDescent="0.3">
      <c r="B40" s="235">
        <v>16</v>
      </c>
      <c r="C40" s="236" t="s">
        <v>149</v>
      </c>
      <c r="D40" s="237" t="s">
        <v>14</v>
      </c>
      <c r="E40" s="249">
        <v>1</v>
      </c>
      <c r="F40" s="242">
        <v>18000</v>
      </c>
      <c r="G40" s="242">
        <f t="shared" si="1"/>
        <v>18000</v>
      </c>
      <c r="H40" s="250"/>
    </row>
    <row r="41" spans="2:12" ht="25.5" customHeight="1" x14ac:dyDescent="0.3">
      <c r="B41" s="6"/>
      <c r="C41" s="37" t="s">
        <v>39</v>
      </c>
      <c r="D41" s="6"/>
      <c r="E41" s="71"/>
      <c r="F41" s="73"/>
      <c r="G41" s="73">
        <f>SUM(G25:G40)</f>
        <v>112583.6</v>
      </c>
      <c r="H41" s="70"/>
    </row>
    <row r="42" spans="2:12" s="75" customFormat="1" ht="25.5" customHeight="1" x14ac:dyDescent="0.25">
      <c r="B42" s="27"/>
      <c r="C42" s="26" t="s">
        <v>133</v>
      </c>
      <c r="D42" s="27"/>
      <c r="E42" s="27"/>
      <c r="F42" s="38"/>
      <c r="G42" s="38">
        <f>G23+G41</f>
        <v>807450.6</v>
      </c>
      <c r="H42" s="38">
        <f>H23+H41</f>
        <v>461822.44999999995</v>
      </c>
    </row>
  </sheetData>
  <mergeCells count="10">
    <mergeCell ref="G1:H1"/>
    <mergeCell ref="E2:H2"/>
    <mergeCell ref="E3:H3"/>
    <mergeCell ref="B5:H5"/>
    <mergeCell ref="B6:H6"/>
    <mergeCell ref="B11:H11"/>
    <mergeCell ref="B24:H24"/>
    <mergeCell ref="C8:C9"/>
    <mergeCell ref="D8:D9"/>
    <mergeCell ref="E8:E9"/>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5"/>
  <sheetViews>
    <sheetView topLeftCell="A25" workbookViewId="0">
      <selection activeCell="G1" sqref="G1:H1"/>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4.28515625" style="1" customWidth="1"/>
    <col min="7" max="7" width="16.42578125" style="1" customWidth="1"/>
    <col min="8" max="8" width="17.5703125" style="1" customWidth="1"/>
    <col min="9" max="16384" width="9.140625" style="1"/>
  </cols>
  <sheetData>
    <row r="1" spans="2:8" x14ac:dyDescent="0.3">
      <c r="E1" s="46"/>
      <c r="F1" s="46"/>
      <c r="G1" s="465" t="s">
        <v>82</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39.5" customHeight="1" x14ac:dyDescent="0.3">
      <c r="B6" s="467" t="s">
        <v>142</v>
      </c>
      <c r="C6" s="467"/>
      <c r="D6" s="467"/>
      <c r="E6" s="467"/>
      <c r="F6" s="467"/>
      <c r="G6" s="467"/>
      <c r="H6" s="467"/>
    </row>
    <row r="7" spans="2:8" x14ac:dyDescent="0.3">
      <c r="D7" s="3"/>
      <c r="E7" s="46"/>
      <c r="F7" s="46"/>
      <c r="G7" s="46"/>
    </row>
    <row r="8" spans="2:8" ht="51.75" x14ac:dyDescent="0.3">
      <c r="B8" s="44" t="s">
        <v>4</v>
      </c>
      <c r="C8" s="461" t="s">
        <v>5</v>
      </c>
      <c r="D8" s="461" t="s">
        <v>6</v>
      </c>
      <c r="E8" s="461" t="s">
        <v>7</v>
      </c>
      <c r="F8" s="5" t="s">
        <v>8</v>
      </c>
      <c r="G8" s="6" t="s">
        <v>9</v>
      </c>
      <c r="H8" s="6" t="s">
        <v>10</v>
      </c>
    </row>
    <row r="9" spans="2:8" x14ac:dyDescent="0.3">
      <c r="B9" s="45" t="s">
        <v>11</v>
      </c>
      <c r="C9" s="462"/>
      <c r="D9" s="462"/>
      <c r="E9" s="468"/>
      <c r="F9" s="6" t="s">
        <v>12</v>
      </c>
      <c r="G9" s="31" t="s">
        <v>12</v>
      </c>
      <c r="H9" s="31" t="s">
        <v>12</v>
      </c>
    </row>
    <row r="10" spans="2:8" x14ac:dyDescent="0.3">
      <c r="B10" s="31">
        <v>1</v>
      </c>
      <c r="C10" s="31">
        <v>2</v>
      </c>
      <c r="D10" s="31">
        <v>3</v>
      </c>
      <c r="E10" s="31">
        <v>4</v>
      </c>
      <c r="F10" s="31">
        <v>5</v>
      </c>
      <c r="G10" s="31">
        <v>6</v>
      </c>
      <c r="H10" s="31">
        <v>7</v>
      </c>
    </row>
    <row r="11" spans="2:8" ht="27.75" customHeight="1" x14ac:dyDescent="0.3">
      <c r="B11" s="494" t="s">
        <v>131</v>
      </c>
      <c r="C11" s="495"/>
      <c r="D11" s="495"/>
      <c r="E11" s="495"/>
      <c r="F11" s="495"/>
      <c r="G11" s="495"/>
      <c r="H11" s="496"/>
    </row>
    <row r="12" spans="2:8" ht="27" customHeight="1" x14ac:dyDescent="0.3">
      <c r="B12" s="49">
        <v>1</v>
      </c>
      <c r="C12" s="252" t="s">
        <v>140</v>
      </c>
      <c r="D12" s="48" t="s">
        <v>14</v>
      </c>
      <c r="E12" s="53">
        <v>1</v>
      </c>
      <c r="F12" s="66">
        <v>200000</v>
      </c>
      <c r="G12" s="66">
        <f>+E12*F12</f>
        <v>200000</v>
      </c>
      <c r="H12" s="66">
        <v>167012</v>
      </c>
    </row>
    <row r="13" spans="2:8" ht="27" customHeight="1" x14ac:dyDescent="0.3">
      <c r="B13" s="49">
        <v>2</v>
      </c>
      <c r="C13" s="252" t="s">
        <v>134</v>
      </c>
      <c r="D13" s="48" t="s">
        <v>14</v>
      </c>
      <c r="E13" s="53">
        <v>1</v>
      </c>
      <c r="F13" s="66">
        <v>200000</v>
      </c>
      <c r="G13" s="66">
        <f t="shared" ref="G13:G19" si="0">+E13*F13</f>
        <v>200000</v>
      </c>
      <c r="H13" s="66">
        <v>169422</v>
      </c>
    </row>
    <row r="14" spans="2:8" ht="27" customHeight="1" x14ac:dyDescent="0.3">
      <c r="B14" s="49">
        <v>3</v>
      </c>
      <c r="C14" s="252" t="s">
        <v>109</v>
      </c>
      <c r="D14" s="48" t="s">
        <v>14</v>
      </c>
      <c r="E14" s="59">
        <v>1</v>
      </c>
      <c r="F14" s="66">
        <v>1</v>
      </c>
      <c r="G14" s="66">
        <f t="shared" si="0"/>
        <v>1</v>
      </c>
      <c r="H14" s="54">
        <v>0</v>
      </c>
    </row>
    <row r="15" spans="2:8" ht="27" customHeight="1" x14ac:dyDescent="0.3">
      <c r="B15" s="49">
        <v>4</v>
      </c>
      <c r="C15" s="252" t="s">
        <v>110</v>
      </c>
      <c r="D15" s="48" t="s">
        <v>14</v>
      </c>
      <c r="E15" s="53">
        <v>1</v>
      </c>
      <c r="F15" s="66">
        <v>1838</v>
      </c>
      <c r="G15" s="66">
        <f t="shared" si="0"/>
        <v>1838</v>
      </c>
      <c r="H15" s="66">
        <v>2.4700000000000002</v>
      </c>
    </row>
    <row r="16" spans="2:8" ht="27" customHeight="1" x14ac:dyDescent="0.3">
      <c r="B16" s="49">
        <v>5</v>
      </c>
      <c r="C16" s="252" t="s">
        <v>116</v>
      </c>
      <c r="D16" s="48" t="s">
        <v>14</v>
      </c>
      <c r="E16" s="53">
        <v>2</v>
      </c>
      <c r="F16" s="66">
        <v>15085</v>
      </c>
      <c r="G16" s="66">
        <f t="shared" si="0"/>
        <v>30170</v>
      </c>
      <c r="H16" s="66">
        <v>18118.22</v>
      </c>
    </row>
    <row r="17" spans="2:8" ht="27" customHeight="1" x14ac:dyDescent="0.3">
      <c r="B17" s="49">
        <v>6</v>
      </c>
      <c r="C17" s="252" t="s">
        <v>113</v>
      </c>
      <c r="D17" s="48" t="s">
        <v>14</v>
      </c>
      <c r="E17" s="53">
        <v>1</v>
      </c>
      <c r="F17" s="66">
        <v>33792</v>
      </c>
      <c r="G17" s="66">
        <f t="shared" si="0"/>
        <v>33792</v>
      </c>
      <c r="H17" s="66">
        <v>24588.39</v>
      </c>
    </row>
    <row r="18" spans="2:8" s="29" customFormat="1" ht="27" customHeight="1" x14ac:dyDescent="0.3">
      <c r="B18" s="49">
        <v>7</v>
      </c>
      <c r="C18" s="252" t="s">
        <v>49</v>
      </c>
      <c r="D18" s="48" t="s">
        <v>14</v>
      </c>
      <c r="E18" s="59">
        <v>5</v>
      </c>
      <c r="F18" s="66">
        <v>1</v>
      </c>
      <c r="G18" s="66">
        <f t="shared" si="0"/>
        <v>5</v>
      </c>
      <c r="H18" s="54">
        <v>0</v>
      </c>
    </row>
    <row r="19" spans="2:8" ht="27" customHeight="1" x14ac:dyDescent="0.3">
      <c r="B19" s="49">
        <v>8</v>
      </c>
      <c r="C19" s="252" t="s">
        <v>115</v>
      </c>
      <c r="D19" s="48" t="s">
        <v>14</v>
      </c>
      <c r="E19" s="59">
        <v>1</v>
      </c>
      <c r="F19" s="66">
        <v>2975</v>
      </c>
      <c r="G19" s="66">
        <f t="shared" si="0"/>
        <v>2975</v>
      </c>
      <c r="H19" s="54">
        <v>1576.88</v>
      </c>
    </row>
    <row r="20" spans="2:8" ht="27" customHeight="1" x14ac:dyDescent="0.3">
      <c r="B20" s="50"/>
      <c r="C20" s="58" t="s">
        <v>39</v>
      </c>
      <c r="D20" s="55"/>
      <c r="E20" s="56"/>
      <c r="F20" s="56"/>
      <c r="G20" s="260">
        <f>SUM(G12:G19)</f>
        <v>468781</v>
      </c>
      <c r="H20" s="260">
        <f>SUM(H12:H19)</f>
        <v>380719.95999999996</v>
      </c>
    </row>
    <row r="21" spans="2:8" ht="27" customHeight="1" x14ac:dyDescent="0.3">
      <c r="B21" s="498" t="s">
        <v>132</v>
      </c>
      <c r="C21" s="498"/>
      <c r="D21" s="498"/>
      <c r="E21" s="498"/>
      <c r="F21" s="498"/>
      <c r="G21" s="498"/>
      <c r="H21" s="498"/>
    </row>
    <row r="22" spans="2:8" ht="27" customHeight="1" x14ac:dyDescent="0.3">
      <c r="B22" s="49">
        <v>1</v>
      </c>
      <c r="C22" s="47" t="s">
        <v>117</v>
      </c>
      <c r="D22" s="48" t="s">
        <v>14</v>
      </c>
      <c r="E22" s="52">
        <v>2</v>
      </c>
      <c r="F22" s="54">
        <v>9667</v>
      </c>
      <c r="G22" s="54">
        <f t="shared" ref="G22:G33" si="1">E22*F22</f>
        <v>19334</v>
      </c>
      <c r="H22" s="70"/>
    </row>
    <row r="23" spans="2:8" ht="27" customHeight="1" x14ac:dyDescent="0.3">
      <c r="B23" s="49">
        <v>2</v>
      </c>
      <c r="C23" s="47" t="s">
        <v>118</v>
      </c>
      <c r="D23" s="48" t="s">
        <v>14</v>
      </c>
      <c r="E23" s="52">
        <v>2</v>
      </c>
      <c r="F23" s="54">
        <v>10000</v>
      </c>
      <c r="G23" s="54">
        <f t="shared" si="1"/>
        <v>20000</v>
      </c>
      <c r="H23" s="70"/>
    </row>
    <row r="24" spans="2:8" ht="59.25" customHeight="1" x14ac:dyDescent="0.3">
      <c r="B24" s="49">
        <v>3</v>
      </c>
      <c r="C24" s="47" t="s">
        <v>119</v>
      </c>
      <c r="D24" s="48" t="s">
        <v>14</v>
      </c>
      <c r="E24" s="52">
        <v>2</v>
      </c>
      <c r="F24" s="54">
        <v>4770</v>
      </c>
      <c r="G24" s="54">
        <f t="shared" si="1"/>
        <v>9540</v>
      </c>
      <c r="H24" s="70"/>
    </row>
    <row r="25" spans="2:8" ht="27" customHeight="1" x14ac:dyDescent="0.3">
      <c r="B25" s="49">
        <v>4</v>
      </c>
      <c r="C25" s="47" t="s">
        <v>120</v>
      </c>
      <c r="D25" s="48" t="s">
        <v>14</v>
      </c>
      <c r="E25" s="52">
        <v>2</v>
      </c>
      <c r="F25" s="54">
        <v>2500</v>
      </c>
      <c r="G25" s="54">
        <f t="shared" si="1"/>
        <v>5000</v>
      </c>
      <c r="H25" s="70"/>
    </row>
    <row r="26" spans="2:8" ht="27" customHeight="1" x14ac:dyDescent="0.3">
      <c r="B26" s="49">
        <v>5</v>
      </c>
      <c r="C26" s="47" t="s">
        <v>121</v>
      </c>
      <c r="D26" s="48" t="s">
        <v>14</v>
      </c>
      <c r="E26" s="52">
        <v>3</v>
      </c>
      <c r="F26" s="54">
        <v>350</v>
      </c>
      <c r="G26" s="54">
        <f t="shared" si="1"/>
        <v>1050</v>
      </c>
      <c r="H26" s="70"/>
    </row>
    <row r="27" spans="2:8" ht="27" customHeight="1" x14ac:dyDescent="0.3">
      <c r="B27" s="49">
        <v>6</v>
      </c>
      <c r="C27" s="47" t="s">
        <v>122</v>
      </c>
      <c r="D27" s="48" t="s">
        <v>14</v>
      </c>
      <c r="E27" s="52">
        <v>3</v>
      </c>
      <c r="F27" s="54">
        <v>350</v>
      </c>
      <c r="G27" s="54">
        <f t="shared" si="1"/>
        <v>1050</v>
      </c>
      <c r="H27" s="70"/>
    </row>
    <row r="28" spans="2:8" ht="27" customHeight="1" x14ac:dyDescent="0.3">
      <c r="B28" s="49">
        <v>7</v>
      </c>
      <c r="C28" s="47" t="s">
        <v>123</v>
      </c>
      <c r="D28" s="48" t="s">
        <v>14</v>
      </c>
      <c r="E28" s="52">
        <v>3</v>
      </c>
      <c r="F28" s="54">
        <v>250</v>
      </c>
      <c r="G28" s="54">
        <f t="shared" si="1"/>
        <v>750</v>
      </c>
      <c r="H28" s="70"/>
    </row>
    <row r="29" spans="2:8" ht="27" customHeight="1" x14ac:dyDescent="0.3">
      <c r="B29" s="49">
        <v>8</v>
      </c>
      <c r="C29" s="47" t="s">
        <v>124</v>
      </c>
      <c r="D29" s="48" t="s">
        <v>14</v>
      </c>
      <c r="E29" s="52">
        <v>3</v>
      </c>
      <c r="F29" s="54">
        <v>400</v>
      </c>
      <c r="G29" s="54">
        <f t="shared" si="1"/>
        <v>1200</v>
      </c>
      <c r="H29" s="70"/>
    </row>
    <row r="30" spans="2:8" ht="27" customHeight="1" x14ac:dyDescent="0.3">
      <c r="B30" s="49">
        <v>9</v>
      </c>
      <c r="C30" s="47" t="s">
        <v>125</v>
      </c>
      <c r="D30" s="48" t="s">
        <v>14</v>
      </c>
      <c r="E30" s="52">
        <v>3</v>
      </c>
      <c r="F30" s="54">
        <v>300</v>
      </c>
      <c r="G30" s="54">
        <f t="shared" si="1"/>
        <v>900</v>
      </c>
      <c r="H30" s="70"/>
    </row>
    <row r="31" spans="2:8" ht="27" customHeight="1" x14ac:dyDescent="0.3">
      <c r="B31" s="49">
        <v>10</v>
      </c>
      <c r="C31" s="47" t="s">
        <v>126</v>
      </c>
      <c r="D31" s="48" t="s">
        <v>14</v>
      </c>
      <c r="E31" s="52">
        <v>6</v>
      </c>
      <c r="F31" s="54">
        <v>140</v>
      </c>
      <c r="G31" s="54">
        <f t="shared" si="1"/>
        <v>840</v>
      </c>
      <c r="H31" s="70"/>
    </row>
    <row r="32" spans="2:8" ht="27" customHeight="1" x14ac:dyDescent="0.3">
      <c r="B32" s="49">
        <v>11</v>
      </c>
      <c r="C32" s="47" t="s">
        <v>141</v>
      </c>
      <c r="D32" s="48" t="s">
        <v>14</v>
      </c>
      <c r="E32" s="52">
        <v>1</v>
      </c>
      <c r="F32" s="54">
        <v>1000</v>
      </c>
      <c r="G32" s="54">
        <f t="shared" si="1"/>
        <v>1000</v>
      </c>
      <c r="H32" s="70"/>
    </row>
    <row r="33" spans="2:8" ht="27" customHeight="1" x14ac:dyDescent="0.3">
      <c r="B33" s="49">
        <v>12</v>
      </c>
      <c r="C33" s="47" t="s">
        <v>130</v>
      </c>
      <c r="D33" s="48" t="s">
        <v>14</v>
      </c>
      <c r="E33" s="53">
        <v>1</v>
      </c>
      <c r="F33" s="54">
        <v>180</v>
      </c>
      <c r="G33" s="54">
        <f t="shared" si="1"/>
        <v>180</v>
      </c>
      <c r="H33" s="70"/>
    </row>
    <row r="34" spans="2:8" ht="27" customHeight="1" x14ac:dyDescent="0.3">
      <c r="B34" s="50"/>
      <c r="C34" s="58" t="s">
        <v>39</v>
      </c>
      <c r="D34" s="51"/>
      <c r="E34" s="60"/>
      <c r="F34" s="57"/>
      <c r="G34" s="57">
        <f>SUM(G22:G33)</f>
        <v>60844</v>
      </c>
      <c r="H34" s="70"/>
    </row>
    <row r="35" spans="2:8" s="29" customFormat="1" ht="27" customHeight="1" x14ac:dyDescent="0.3">
      <c r="B35" s="25"/>
      <c r="C35" s="26" t="s">
        <v>133</v>
      </c>
      <c r="D35" s="25"/>
      <c r="E35" s="25"/>
      <c r="F35" s="63"/>
      <c r="G35" s="38">
        <f>G20+G34</f>
        <v>529625</v>
      </c>
      <c r="H35" s="38">
        <f>H20+H34</f>
        <v>380719.95999999996</v>
      </c>
    </row>
  </sheetData>
  <mergeCells count="10">
    <mergeCell ref="G1:H1"/>
    <mergeCell ref="E2:H2"/>
    <mergeCell ref="E3:H3"/>
    <mergeCell ref="B5:H5"/>
    <mergeCell ref="B6:H6"/>
    <mergeCell ref="B21:H21"/>
    <mergeCell ref="B11:H11"/>
    <mergeCell ref="C8:C9"/>
    <mergeCell ref="D8:D9"/>
    <mergeCell ref="E8:E9"/>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38"/>
  <sheetViews>
    <sheetView topLeftCell="A22" workbookViewId="0">
      <selection activeCell="G1" sqref="G1:H1"/>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4.42578125" style="1" customWidth="1"/>
    <col min="7" max="7" width="16.42578125" style="1" customWidth="1"/>
    <col min="8" max="8" width="17.5703125" style="1" customWidth="1"/>
    <col min="9" max="16384" width="9.140625" style="1"/>
  </cols>
  <sheetData>
    <row r="1" spans="2:8" x14ac:dyDescent="0.3">
      <c r="E1" s="46"/>
      <c r="F1" s="46"/>
      <c r="G1" s="465" t="s">
        <v>83</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39.5" customHeight="1" x14ac:dyDescent="0.3">
      <c r="B6" s="467" t="s">
        <v>143</v>
      </c>
      <c r="C6" s="467"/>
      <c r="D6" s="467"/>
      <c r="E6" s="467"/>
      <c r="F6" s="467"/>
      <c r="G6" s="467"/>
      <c r="H6" s="467"/>
    </row>
    <row r="7" spans="2:8" x14ac:dyDescent="0.3">
      <c r="D7" s="3"/>
      <c r="E7" s="46"/>
      <c r="F7" s="46"/>
      <c r="G7" s="46"/>
    </row>
    <row r="8" spans="2:8" ht="51.75" x14ac:dyDescent="0.3">
      <c r="B8" s="44" t="s">
        <v>4</v>
      </c>
      <c r="C8" s="461" t="s">
        <v>5</v>
      </c>
      <c r="D8" s="461" t="s">
        <v>6</v>
      </c>
      <c r="E8" s="461" t="s">
        <v>7</v>
      </c>
      <c r="F8" s="5" t="s">
        <v>8</v>
      </c>
      <c r="G8" s="6" t="s">
        <v>9</v>
      </c>
      <c r="H8" s="6" t="s">
        <v>10</v>
      </c>
    </row>
    <row r="9" spans="2:8" x14ac:dyDescent="0.3">
      <c r="B9" s="45" t="s">
        <v>11</v>
      </c>
      <c r="C9" s="462"/>
      <c r="D9" s="462"/>
      <c r="E9" s="468"/>
      <c r="F9" s="6" t="s">
        <v>12</v>
      </c>
      <c r="G9" s="31" t="s">
        <v>12</v>
      </c>
      <c r="H9" s="31" t="s">
        <v>12</v>
      </c>
    </row>
    <row r="10" spans="2:8" x14ac:dyDescent="0.3">
      <c r="B10" s="31">
        <v>1</v>
      </c>
      <c r="C10" s="31">
        <v>2</v>
      </c>
      <c r="D10" s="31">
        <v>3</v>
      </c>
      <c r="E10" s="31">
        <v>4</v>
      </c>
      <c r="F10" s="31">
        <v>5</v>
      </c>
      <c r="G10" s="31">
        <v>6</v>
      </c>
      <c r="H10" s="31">
        <v>7</v>
      </c>
    </row>
    <row r="11" spans="2:8" ht="27.75" customHeight="1" x14ac:dyDescent="0.3">
      <c r="B11" s="494" t="s">
        <v>131</v>
      </c>
      <c r="C11" s="495"/>
      <c r="D11" s="495"/>
      <c r="E11" s="495"/>
      <c r="F11" s="495"/>
      <c r="G11" s="495"/>
      <c r="H11" s="496"/>
    </row>
    <row r="12" spans="2:8" ht="25.5" customHeight="1" x14ac:dyDescent="0.3">
      <c r="B12" s="251">
        <v>1</v>
      </c>
      <c r="C12" s="252" t="s">
        <v>134</v>
      </c>
      <c r="D12" s="237" t="s">
        <v>14</v>
      </c>
      <c r="E12" s="253">
        <v>1</v>
      </c>
      <c r="F12" s="241">
        <v>154800</v>
      </c>
      <c r="G12" s="241">
        <f>+E12*F12</f>
        <v>154800</v>
      </c>
      <c r="H12" s="241">
        <v>92963</v>
      </c>
    </row>
    <row r="13" spans="2:8" ht="25.5" customHeight="1" x14ac:dyDescent="0.3">
      <c r="B13" s="251">
        <v>2</v>
      </c>
      <c r="C13" s="252" t="s">
        <v>107</v>
      </c>
      <c r="D13" s="237" t="s">
        <v>14</v>
      </c>
      <c r="E13" s="253">
        <v>1</v>
      </c>
      <c r="F13" s="241">
        <v>163095</v>
      </c>
      <c r="G13" s="241">
        <f t="shared" ref="G13:G20" si="0">+E13*F13</f>
        <v>163095</v>
      </c>
      <c r="H13" s="241">
        <v>112329</v>
      </c>
    </row>
    <row r="14" spans="2:8" ht="25.5" customHeight="1" x14ac:dyDescent="0.3">
      <c r="B14" s="251">
        <v>3</v>
      </c>
      <c r="C14" s="252" t="s">
        <v>135</v>
      </c>
      <c r="D14" s="237" t="s">
        <v>14</v>
      </c>
      <c r="E14" s="253">
        <v>1</v>
      </c>
      <c r="F14" s="239">
        <v>45000</v>
      </c>
      <c r="G14" s="241">
        <f t="shared" si="0"/>
        <v>45000</v>
      </c>
      <c r="H14" s="239">
        <v>35746</v>
      </c>
    </row>
    <row r="15" spans="2:8" ht="25.5" customHeight="1" x14ac:dyDescent="0.3">
      <c r="B15" s="251">
        <v>4</v>
      </c>
      <c r="C15" s="252" t="s">
        <v>109</v>
      </c>
      <c r="D15" s="237" t="s">
        <v>14</v>
      </c>
      <c r="E15" s="253">
        <v>1</v>
      </c>
      <c r="F15" s="241">
        <v>1</v>
      </c>
      <c r="G15" s="241">
        <f t="shared" si="0"/>
        <v>1</v>
      </c>
      <c r="H15" s="241">
        <v>0</v>
      </c>
    </row>
    <row r="16" spans="2:8" ht="25.5" customHeight="1" x14ac:dyDescent="0.3">
      <c r="B16" s="251">
        <v>5</v>
      </c>
      <c r="C16" s="252" t="s">
        <v>49</v>
      </c>
      <c r="D16" s="237" t="s">
        <v>14</v>
      </c>
      <c r="E16" s="253">
        <v>5</v>
      </c>
      <c r="F16" s="241">
        <v>1</v>
      </c>
      <c r="G16" s="241">
        <f t="shared" si="0"/>
        <v>5</v>
      </c>
      <c r="H16" s="239">
        <v>0</v>
      </c>
    </row>
    <row r="17" spans="2:8" s="29" customFormat="1" ht="25.5" customHeight="1" x14ac:dyDescent="0.3">
      <c r="B17" s="251">
        <v>6</v>
      </c>
      <c r="C17" s="252" t="s">
        <v>110</v>
      </c>
      <c r="D17" s="237" t="s">
        <v>14</v>
      </c>
      <c r="E17" s="253">
        <v>1</v>
      </c>
      <c r="F17" s="241">
        <v>1838</v>
      </c>
      <c r="G17" s="241">
        <f t="shared" si="0"/>
        <v>1838</v>
      </c>
      <c r="H17" s="239">
        <v>2.4700000000000002</v>
      </c>
    </row>
    <row r="18" spans="2:8" ht="25.5" customHeight="1" x14ac:dyDescent="0.3">
      <c r="B18" s="251">
        <v>7</v>
      </c>
      <c r="C18" s="252" t="s">
        <v>111</v>
      </c>
      <c r="D18" s="237" t="s">
        <v>14</v>
      </c>
      <c r="E18" s="253">
        <v>1</v>
      </c>
      <c r="F18" s="241">
        <v>1</v>
      </c>
      <c r="G18" s="241">
        <f t="shared" si="0"/>
        <v>1</v>
      </c>
      <c r="H18" s="239">
        <v>0</v>
      </c>
    </row>
    <row r="19" spans="2:8" ht="25.5" customHeight="1" x14ac:dyDescent="0.3">
      <c r="B19" s="251">
        <v>8</v>
      </c>
      <c r="C19" s="252" t="s">
        <v>115</v>
      </c>
      <c r="D19" s="237" t="s">
        <v>14</v>
      </c>
      <c r="E19" s="253">
        <v>1</v>
      </c>
      <c r="F19" s="241">
        <v>2975</v>
      </c>
      <c r="G19" s="241">
        <f t="shared" si="0"/>
        <v>2975</v>
      </c>
      <c r="H19" s="241">
        <v>1576.88</v>
      </c>
    </row>
    <row r="20" spans="2:8" ht="25.5" customHeight="1" x14ac:dyDescent="0.3">
      <c r="B20" s="251">
        <v>9</v>
      </c>
      <c r="C20" s="252" t="s">
        <v>116</v>
      </c>
      <c r="D20" s="237" t="s">
        <v>14</v>
      </c>
      <c r="E20" s="253">
        <v>2</v>
      </c>
      <c r="F20" s="241">
        <v>15085</v>
      </c>
      <c r="G20" s="241">
        <f t="shared" si="0"/>
        <v>30170</v>
      </c>
      <c r="H20" s="241">
        <v>18118.22</v>
      </c>
    </row>
    <row r="21" spans="2:8" ht="25.5" customHeight="1" x14ac:dyDescent="0.3">
      <c r="B21" s="254"/>
      <c r="C21" s="255" t="s">
        <v>39</v>
      </c>
      <c r="D21" s="256"/>
      <c r="E21" s="257"/>
      <c r="F21" s="258"/>
      <c r="G21" s="259">
        <f>SUM(G12:G20)</f>
        <v>397885</v>
      </c>
      <c r="H21" s="259">
        <f>SUM(H12:H20)</f>
        <v>260735.57</v>
      </c>
    </row>
    <row r="22" spans="2:8" ht="27.75" customHeight="1" x14ac:dyDescent="0.3">
      <c r="B22" s="499" t="s">
        <v>132</v>
      </c>
      <c r="C22" s="500"/>
      <c r="D22" s="500"/>
      <c r="E22" s="500"/>
      <c r="F22" s="500"/>
      <c r="G22" s="500"/>
      <c r="H22" s="501"/>
    </row>
    <row r="23" spans="2:8" ht="27.75" customHeight="1" x14ac:dyDescent="0.3">
      <c r="B23" s="251">
        <v>1</v>
      </c>
      <c r="C23" s="252" t="s">
        <v>137</v>
      </c>
      <c r="D23" s="237" t="s">
        <v>14</v>
      </c>
      <c r="E23" s="67">
        <v>1</v>
      </c>
      <c r="F23" s="241">
        <v>13000</v>
      </c>
      <c r="G23" s="241">
        <f t="shared" ref="G23:G36" si="1">E23*F23</f>
        <v>13000</v>
      </c>
      <c r="H23" s="207"/>
    </row>
    <row r="24" spans="2:8" ht="27.75" customHeight="1" x14ac:dyDescent="0.3">
      <c r="B24" s="251">
        <v>2</v>
      </c>
      <c r="C24" s="252" t="s">
        <v>117</v>
      </c>
      <c r="D24" s="237" t="s">
        <v>14</v>
      </c>
      <c r="E24" s="67">
        <v>2</v>
      </c>
      <c r="F24" s="241">
        <v>9667</v>
      </c>
      <c r="G24" s="241">
        <f t="shared" si="1"/>
        <v>19334</v>
      </c>
      <c r="H24" s="207"/>
    </row>
    <row r="25" spans="2:8" ht="27.75" customHeight="1" x14ac:dyDescent="0.3">
      <c r="B25" s="251">
        <v>3</v>
      </c>
      <c r="C25" s="252" t="s">
        <v>118</v>
      </c>
      <c r="D25" s="237" t="s">
        <v>14</v>
      </c>
      <c r="E25" s="67">
        <v>2</v>
      </c>
      <c r="F25" s="241">
        <v>10000</v>
      </c>
      <c r="G25" s="241">
        <f t="shared" si="1"/>
        <v>20000</v>
      </c>
      <c r="H25" s="207"/>
    </row>
    <row r="26" spans="2:8" ht="59.25" customHeight="1" x14ac:dyDescent="0.3">
      <c r="B26" s="251">
        <v>4</v>
      </c>
      <c r="C26" s="252" t="s">
        <v>119</v>
      </c>
      <c r="D26" s="237" t="s">
        <v>14</v>
      </c>
      <c r="E26" s="67">
        <v>2</v>
      </c>
      <c r="F26" s="241">
        <v>4770</v>
      </c>
      <c r="G26" s="241">
        <f t="shared" si="1"/>
        <v>9540</v>
      </c>
      <c r="H26" s="207"/>
    </row>
    <row r="27" spans="2:8" ht="27.75" customHeight="1" x14ac:dyDescent="0.3">
      <c r="B27" s="251">
        <v>5</v>
      </c>
      <c r="C27" s="252" t="s">
        <v>120</v>
      </c>
      <c r="D27" s="237" t="s">
        <v>14</v>
      </c>
      <c r="E27" s="67">
        <v>2</v>
      </c>
      <c r="F27" s="241">
        <v>2500</v>
      </c>
      <c r="G27" s="241">
        <f t="shared" si="1"/>
        <v>5000</v>
      </c>
      <c r="H27" s="207"/>
    </row>
    <row r="28" spans="2:8" ht="27.75" customHeight="1" x14ac:dyDescent="0.3">
      <c r="B28" s="251">
        <v>6</v>
      </c>
      <c r="C28" s="252" t="s">
        <v>121</v>
      </c>
      <c r="D28" s="237" t="s">
        <v>14</v>
      </c>
      <c r="E28" s="67">
        <v>3</v>
      </c>
      <c r="F28" s="241">
        <v>350</v>
      </c>
      <c r="G28" s="241">
        <f t="shared" si="1"/>
        <v>1050</v>
      </c>
      <c r="H28" s="207"/>
    </row>
    <row r="29" spans="2:8" ht="27.75" customHeight="1" x14ac:dyDescent="0.3">
      <c r="B29" s="251">
        <v>7</v>
      </c>
      <c r="C29" s="252" t="s">
        <v>122</v>
      </c>
      <c r="D29" s="237" t="s">
        <v>14</v>
      </c>
      <c r="E29" s="67">
        <v>3</v>
      </c>
      <c r="F29" s="241">
        <v>350</v>
      </c>
      <c r="G29" s="241">
        <f t="shared" si="1"/>
        <v>1050</v>
      </c>
      <c r="H29" s="207"/>
    </row>
    <row r="30" spans="2:8" ht="27.75" customHeight="1" x14ac:dyDescent="0.3">
      <c r="B30" s="251">
        <v>8</v>
      </c>
      <c r="C30" s="252" t="s">
        <v>123</v>
      </c>
      <c r="D30" s="237" t="s">
        <v>14</v>
      </c>
      <c r="E30" s="67">
        <v>3</v>
      </c>
      <c r="F30" s="241">
        <v>250</v>
      </c>
      <c r="G30" s="241">
        <f t="shared" si="1"/>
        <v>750</v>
      </c>
      <c r="H30" s="207"/>
    </row>
    <row r="31" spans="2:8" ht="27.75" customHeight="1" x14ac:dyDescent="0.3">
      <c r="B31" s="251">
        <v>9</v>
      </c>
      <c r="C31" s="252" t="s">
        <v>124</v>
      </c>
      <c r="D31" s="237" t="s">
        <v>14</v>
      </c>
      <c r="E31" s="67">
        <v>3</v>
      </c>
      <c r="F31" s="241">
        <v>400</v>
      </c>
      <c r="G31" s="241">
        <f t="shared" si="1"/>
        <v>1200</v>
      </c>
      <c r="H31" s="207"/>
    </row>
    <row r="32" spans="2:8" ht="27.75" customHeight="1" x14ac:dyDescent="0.3">
      <c r="B32" s="251">
        <v>10</v>
      </c>
      <c r="C32" s="252" t="s">
        <v>125</v>
      </c>
      <c r="D32" s="237" t="s">
        <v>14</v>
      </c>
      <c r="E32" s="67">
        <v>3</v>
      </c>
      <c r="F32" s="241">
        <v>300</v>
      </c>
      <c r="G32" s="241">
        <f t="shared" si="1"/>
        <v>900</v>
      </c>
      <c r="H32" s="207"/>
    </row>
    <row r="33" spans="2:8" ht="27.75" customHeight="1" x14ac:dyDescent="0.3">
      <c r="B33" s="251">
        <v>11</v>
      </c>
      <c r="C33" s="252" t="s">
        <v>127</v>
      </c>
      <c r="D33" s="237" t="s">
        <v>14</v>
      </c>
      <c r="E33" s="67">
        <v>6</v>
      </c>
      <c r="F33" s="241">
        <v>140</v>
      </c>
      <c r="G33" s="241">
        <f t="shared" si="1"/>
        <v>840</v>
      </c>
      <c r="H33" s="207"/>
    </row>
    <row r="34" spans="2:8" ht="27.75" customHeight="1" x14ac:dyDescent="0.3">
      <c r="B34" s="251">
        <v>12</v>
      </c>
      <c r="C34" s="252" t="s">
        <v>138</v>
      </c>
      <c r="D34" s="237" t="s">
        <v>14</v>
      </c>
      <c r="E34" s="67">
        <v>1</v>
      </c>
      <c r="F34" s="241">
        <v>200</v>
      </c>
      <c r="G34" s="241">
        <f t="shared" si="1"/>
        <v>200</v>
      </c>
      <c r="H34" s="207"/>
    </row>
    <row r="35" spans="2:8" ht="27.75" customHeight="1" x14ac:dyDescent="0.3">
      <c r="B35" s="251">
        <v>13</v>
      </c>
      <c r="C35" s="252" t="s">
        <v>128</v>
      </c>
      <c r="D35" s="237" t="s">
        <v>14</v>
      </c>
      <c r="E35" s="67">
        <v>1</v>
      </c>
      <c r="F35" s="241">
        <v>3000</v>
      </c>
      <c r="G35" s="241">
        <f t="shared" si="1"/>
        <v>3000</v>
      </c>
      <c r="H35" s="207"/>
    </row>
    <row r="36" spans="2:8" ht="27.75" customHeight="1" x14ac:dyDescent="0.3">
      <c r="B36" s="251">
        <v>14</v>
      </c>
      <c r="C36" s="252" t="s">
        <v>139</v>
      </c>
      <c r="D36" s="237" t="s">
        <v>14</v>
      </c>
      <c r="E36" s="67">
        <v>6</v>
      </c>
      <c r="F36" s="241">
        <v>176.6</v>
      </c>
      <c r="G36" s="241">
        <f t="shared" si="1"/>
        <v>1059.5999999999999</v>
      </c>
      <c r="H36" s="207"/>
    </row>
    <row r="37" spans="2:8" ht="27.75" customHeight="1" x14ac:dyDescent="0.3">
      <c r="B37" s="50"/>
      <c r="C37" s="58" t="s">
        <v>39</v>
      </c>
      <c r="D37" s="51"/>
      <c r="E37" s="60"/>
      <c r="F37" s="57"/>
      <c r="G37" s="57">
        <f>SUM(G23:G36)</f>
        <v>76923.600000000006</v>
      </c>
      <c r="H37" s="62"/>
    </row>
    <row r="38" spans="2:8" s="69" customFormat="1" ht="26.25" customHeight="1" x14ac:dyDescent="0.25">
      <c r="B38" s="68"/>
      <c r="C38" s="26" t="s">
        <v>133</v>
      </c>
      <c r="D38" s="68"/>
      <c r="E38" s="68"/>
      <c r="F38" s="68"/>
      <c r="G38" s="64">
        <f>G21+G37</f>
        <v>474808.6</v>
      </c>
      <c r="H38" s="38">
        <f>H21+H37</f>
        <v>260735.57</v>
      </c>
    </row>
  </sheetData>
  <mergeCells count="10">
    <mergeCell ref="G1:H1"/>
    <mergeCell ref="E2:H2"/>
    <mergeCell ref="E3:H3"/>
    <mergeCell ref="B5:H5"/>
    <mergeCell ref="B6:H6"/>
    <mergeCell ref="B11:H11"/>
    <mergeCell ref="B22:H22"/>
    <mergeCell ref="C8:C9"/>
    <mergeCell ref="D8:D9"/>
    <mergeCell ref="E8:E9"/>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41"/>
  <sheetViews>
    <sheetView topLeftCell="A10" workbookViewId="0">
      <selection activeCell="G1" sqref="G1:H1"/>
    </sheetView>
  </sheetViews>
  <sheetFormatPr defaultRowHeight="17.25" x14ac:dyDescent="0.3"/>
  <cols>
    <col min="1" max="1" width="2.5703125" style="1" customWidth="1"/>
    <col min="2" max="2" width="6" style="1" customWidth="1"/>
    <col min="3" max="3" width="35" style="1" customWidth="1"/>
    <col min="4" max="4" width="8.5703125" style="1" customWidth="1"/>
    <col min="5" max="5" width="8.42578125" style="1" customWidth="1"/>
    <col min="6" max="6" width="14.140625" style="1" customWidth="1"/>
    <col min="7" max="7" width="16.42578125" style="1" customWidth="1"/>
    <col min="8" max="8" width="17.5703125" style="1" customWidth="1"/>
    <col min="9" max="16384" width="9.140625" style="1"/>
  </cols>
  <sheetData>
    <row r="1" spans="2:8" x14ac:dyDescent="0.3">
      <c r="E1" s="46"/>
      <c r="F1" s="46"/>
      <c r="G1" s="465" t="s">
        <v>84</v>
      </c>
      <c r="H1" s="465"/>
    </row>
    <row r="2" spans="2:8" x14ac:dyDescent="0.3">
      <c r="E2" s="465" t="s">
        <v>1</v>
      </c>
      <c r="F2" s="465"/>
      <c r="G2" s="465"/>
      <c r="H2" s="465"/>
    </row>
    <row r="3" spans="2:8" x14ac:dyDescent="0.3">
      <c r="E3" s="465" t="s">
        <v>2</v>
      </c>
      <c r="F3" s="465"/>
      <c r="G3" s="465"/>
      <c r="H3" s="465"/>
    </row>
    <row r="5" spans="2:8" x14ac:dyDescent="0.3">
      <c r="B5" s="466" t="s">
        <v>3</v>
      </c>
      <c r="C5" s="466"/>
      <c r="D5" s="466"/>
      <c r="E5" s="466"/>
      <c r="F5" s="466"/>
      <c r="G5" s="466"/>
      <c r="H5" s="466"/>
    </row>
    <row r="6" spans="2:8" ht="139.5" customHeight="1" x14ac:dyDescent="0.3">
      <c r="B6" s="467" t="s">
        <v>151</v>
      </c>
      <c r="C6" s="467"/>
      <c r="D6" s="467"/>
      <c r="E6" s="467"/>
      <c r="F6" s="467"/>
      <c r="G6" s="467"/>
      <c r="H6" s="467"/>
    </row>
    <row r="7" spans="2:8" x14ac:dyDescent="0.3">
      <c r="D7" s="3"/>
      <c r="E7" s="46"/>
      <c r="F7" s="46"/>
      <c r="G7" s="46"/>
    </row>
    <row r="8" spans="2:8" ht="51.75" x14ac:dyDescent="0.3">
      <c r="B8" s="44" t="s">
        <v>4</v>
      </c>
      <c r="C8" s="461" t="s">
        <v>5</v>
      </c>
      <c r="D8" s="461" t="s">
        <v>6</v>
      </c>
      <c r="E8" s="461" t="s">
        <v>7</v>
      </c>
      <c r="F8" s="5" t="s">
        <v>8</v>
      </c>
      <c r="G8" s="6" t="s">
        <v>9</v>
      </c>
      <c r="H8" s="6" t="s">
        <v>10</v>
      </c>
    </row>
    <row r="9" spans="2:8" x14ac:dyDescent="0.3">
      <c r="B9" s="45" t="s">
        <v>11</v>
      </c>
      <c r="C9" s="462"/>
      <c r="D9" s="462"/>
      <c r="E9" s="468"/>
      <c r="F9" s="6" t="s">
        <v>12</v>
      </c>
      <c r="G9" s="31" t="s">
        <v>12</v>
      </c>
      <c r="H9" s="31" t="s">
        <v>12</v>
      </c>
    </row>
    <row r="10" spans="2:8" x14ac:dyDescent="0.3">
      <c r="B10" s="31">
        <v>1</v>
      </c>
      <c r="C10" s="31">
        <v>2</v>
      </c>
      <c r="D10" s="31">
        <v>3</v>
      </c>
      <c r="E10" s="31">
        <v>4</v>
      </c>
      <c r="F10" s="31">
        <v>5</v>
      </c>
      <c r="G10" s="31">
        <v>6</v>
      </c>
      <c r="H10" s="31">
        <v>7</v>
      </c>
    </row>
    <row r="11" spans="2:8" ht="24.75" customHeight="1" x14ac:dyDescent="0.3">
      <c r="B11" s="494" t="s">
        <v>131</v>
      </c>
      <c r="C11" s="495"/>
      <c r="D11" s="495"/>
      <c r="E11" s="495"/>
      <c r="F11" s="495"/>
      <c r="G11" s="495"/>
      <c r="H11" s="496"/>
    </row>
    <row r="12" spans="2:8" ht="24.75" customHeight="1" x14ac:dyDescent="0.3">
      <c r="B12" s="49">
        <v>1</v>
      </c>
      <c r="C12" s="252" t="s">
        <v>107</v>
      </c>
      <c r="D12" s="48" t="s">
        <v>14</v>
      </c>
      <c r="E12" s="59">
        <v>1</v>
      </c>
      <c r="F12" s="54">
        <v>163095</v>
      </c>
      <c r="G12" s="54">
        <f>E12*F12</f>
        <v>163095</v>
      </c>
      <c r="H12" s="54">
        <v>112329</v>
      </c>
    </row>
    <row r="13" spans="2:8" ht="24.75" customHeight="1" x14ac:dyDescent="0.3">
      <c r="B13" s="49">
        <v>2</v>
      </c>
      <c r="C13" s="252" t="s">
        <v>108</v>
      </c>
      <c r="D13" s="48" t="s">
        <v>14</v>
      </c>
      <c r="E13" s="59">
        <v>1</v>
      </c>
      <c r="F13" s="54">
        <v>31000</v>
      </c>
      <c r="G13" s="54">
        <f t="shared" ref="G13:G23" si="0">E13*F13</f>
        <v>31000</v>
      </c>
      <c r="H13" s="54">
        <v>7032</v>
      </c>
    </row>
    <row r="14" spans="2:8" ht="24.75" customHeight="1" x14ac:dyDescent="0.3">
      <c r="B14" s="49">
        <v>3</v>
      </c>
      <c r="C14" s="252" t="s">
        <v>1078</v>
      </c>
      <c r="D14" s="48" t="s">
        <v>14</v>
      </c>
      <c r="E14" s="59">
        <v>1</v>
      </c>
      <c r="F14" s="54">
        <v>15000</v>
      </c>
      <c r="G14" s="54">
        <f t="shared" si="0"/>
        <v>15000</v>
      </c>
      <c r="H14" s="54">
        <v>13958</v>
      </c>
    </row>
    <row r="15" spans="2:8" ht="24.75" customHeight="1" x14ac:dyDescent="0.3">
      <c r="B15" s="49">
        <v>3</v>
      </c>
      <c r="C15" s="252" t="s">
        <v>109</v>
      </c>
      <c r="D15" s="48" t="s">
        <v>14</v>
      </c>
      <c r="E15" s="59">
        <v>1</v>
      </c>
      <c r="F15" s="54">
        <v>1</v>
      </c>
      <c r="G15" s="54">
        <f t="shared" si="0"/>
        <v>1</v>
      </c>
      <c r="H15" s="54">
        <v>0</v>
      </c>
    </row>
    <row r="16" spans="2:8" ht="24.75" customHeight="1" x14ac:dyDescent="0.3">
      <c r="B16" s="49">
        <v>4</v>
      </c>
      <c r="C16" s="252" t="s">
        <v>49</v>
      </c>
      <c r="D16" s="48" t="s">
        <v>14</v>
      </c>
      <c r="E16" s="59">
        <v>5</v>
      </c>
      <c r="F16" s="54">
        <v>1</v>
      </c>
      <c r="G16" s="54">
        <f t="shared" si="0"/>
        <v>5</v>
      </c>
      <c r="H16" s="54">
        <v>0</v>
      </c>
    </row>
    <row r="17" spans="2:8" ht="24.75" customHeight="1" x14ac:dyDescent="0.3">
      <c r="B17" s="49">
        <v>5</v>
      </c>
      <c r="C17" s="252" t="s">
        <v>110</v>
      </c>
      <c r="D17" s="48" t="s">
        <v>14</v>
      </c>
      <c r="E17" s="59">
        <v>1</v>
      </c>
      <c r="F17" s="54">
        <v>1838</v>
      </c>
      <c r="G17" s="54">
        <f t="shared" si="0"/>
        <v>1838</v>
      </c>
      <c r="H17" s="54">
        <v>2.4700000000000002</v>
      </c>
    </row>
    <row r="18" spans="2:8" ht="24.75" customHeight="1" x14ac:dyDescent="0.3">
      <c r="B18" s="49">
        <v>6</v>
      </c>
      <c r="C18" s="252" t="s">
        <v>111</v>
      </c>
      <c r="D18" s="48" t="s">
        <v>14</v>
      </c>
      <c r="E18" s="59">
        <v>1</v>
      </c>
      <c r="F18" s="54">
        <v>1</v>
      </c>
      <c r="G18" s="54">
        <f t="shared" si="0"/>
        <v>1</v>
      </c>
      <c r="H18" s="54">
        <v>0</v>
      </c>
    </row>
    <row r="19" spans="2:8" s="29" customFormat="1" ht="24.75" customHeight="1" x14ac:dyDescent="0.3">
      <c r="B19" s="49">
        <v>7</v>
      </c>
      <c r="C19" s="252" t="s">
        <v>112</v>
      </c>
      <c r="D19" s="48" t="s">
        <v>14</v>
      </c>
      <c r="E19" s="59">
        <v>1</v>
      </c>
      <c r="F19" s="54">
        <v>1</v>
      </c>
      <c r="G19" s="54">
        <f t="shared" si="0"/>
        <v>1</v>
      </c>
      <c r="H19" s="54">
        <v>0</v>
      </c>
    </row>
    <row r="20" spans="2:8" ht="24.75" customHeight="1" x14ac:dyDescent="0.3">
      <c r="B20" s="49">
        <v>8</v>
      </c>
      <c r="C20" s="252" t="s">
        <v>1079</v>
      </c>
      <c r="D20" s="48" t="s">
        <v>14</v>
      </c>
      <c r="E20" s="59">
        <v>1</v>
      </c>
      <c r="F20" s="54">
        <v>33792</v>
      </c>
      <c r="G20" s="54">
        <f t="shared" si="0"/>
        <v>33792</v>
      </c>
      <c r="H20" s="54">
        <v>24588.39</v>
      </c>
    </row>
    <row r="21" spans="2:8" ht="24.75" customHeight="1" x14ac:dyDescent="0.3">
      <c r="B21" s="49">
        <v>9</v>
      </c>
      <c r="C21" s="252" t="s">
        <v>114</v>
      </c>
      <c r="D21" s="48" t="s">
        <v>14</v>
      </c>
      <c r="E21" s="59">
        <v>1</v>
      </c>
      <c r="F21" s="54">
        <v>1</v>
      </c>
      <c r="G21" s="54">
        <f t="shared" si="0"/>
        <v>1</v>
      </c>
      <c r="H21" s="54">
        <v>0</v>
      </c>
    </row>
    <row r="22" spans="2:8" ht="24.75" customHeight="1" x14ac:dyDescent="0.3">
      <c r="B22" s="49">
        <v>10</v>
      </c>
      <c r="C22" s="252" t="s">
        <v>115</v>
      </c>
      <c r="D22" s="48" t="s">
        <v>14</v>
      </c>
      <c r="E22" s="59">
        <v>1</v>
      </c>
      <c r="F22" s="54">
        <v>2975</v>
      </c>
      <c r="G22" s="54">
        <f t="shared" si="0"/>
        <v>2975</v>
      </c>
      <c r="H22" s="54">
        <v>1576.88</v>
      </c>
    </row>
    <row r="23" spans="2:8" ht="24.75" customHeight="1" x14ac:dyDescent="0.3">
      <c r="B23" s="49">
        <v>11</v>
      </c>
      <c r="C23" s="252" t="s">
        <v>116</v>
      </c>
      <c r="D23" s="48" t="s">
        <v>14</v>
      </c>
      <c r="E23" s="59">
        <v>2</v>
      </c>
      <c r="F23" s="54">
        <v>15085</v>
      </c>
      <c r="G23" s="54">
        <f t="shared" si="0"/>
        <v>30170</v>
      </c>
      <c r="H23" s="54">
        <v>18118.22</v>
      </c>
    </row>
    <row r="24" spans="2:8" ht="24.75" customHeight="1" x14ac:dyDescent="0.3">
      <c r="B24" s="51"/>
      <c r="C24" s="58" t="s">
        <v>39</v>
      </c>
      <c r="D24" s="55"/>
      <c r="E24" s="56"/>
      <c r="F24" s="57"/>
      <c r="G24" s="57">
        <f>SUM(G12:G23)</f>
        <v>277879</v>
      </c>
      <c r="H24" s="57">
        <f>SUM(H12:H23)</f>
        <v>177604.96</v>
      </c>
    </row>
    <row r="25" spans="2:8" ht="26.25" customHeight="1" x14ac:dyDescent="0.3">
      <c r="B25" s="494" t="s">
        <v>132</v>
      </c>
      <c r="C25" s="495"/>
      <c r="D25" s="495"/>
      <c r="E25" s="495"/>
      <c r="F25" s="495"/>
      <c r="G25" s="495"/>
      <c r="H25" s="496"/>
    </row>
    <row r="26" spans="2:8" ht="25.5" customHeight="1" x14ac:dyDescent="0.3">
      <c r="B26" s="49">
        <v>1</v>
      </c>
      <c r="C26" s="47" t="s">
        <v>117</v>
      </c>
      <c r="D26" s="48" t="s">
        <v>14</v>
      </c>
      <c r="E26" s="52">
        <v>2</v>
      </c>
      <c r="F26" s="54">
        <v>9667</v>
      </c>
      <c r="G26" s="54">
        <f t="shared" ref="G26:G39" si="1">E26*F26</f>
        <v>19334</v>
      </c>
      <c r="H26" s="54"/>
    </row>
    <row r="27" spans="2:8" ht="25.5" customHeight="1" x14ac:dyDescent="0.3">
      <c r="B27" s="49">
        <v>2</v>
      </c>
      <c r="C27" s="47" t="s">
        <v>118</v>
      </c>
      <c r="D27" s="48" t="s">
        <v>14</v>
      </c>
      <c r="E27" s="52">
        <v>2</v>
      </c>
      <c r="F27" s="54">
        <v>10000</v>
      </c>
      <c r="G27" s="54">
        <f t="shared" si="1"/>
        <v>20000</v>
      </c>
      <c r="H27" s="54"/>
    </row>
    <row r="28" spans="2:8" ht="69" customHeight="1" x14ac:dyDescent="0.3">
      <c r="B28" s="49">
        <v>3</v>
      </c>
      <c r="C28" s="47" t="s">
        <v>119</v>
      </c>
      <c r="D28" s="48" t="s">
        <v>14</v>
      </c>
      <c r="E28" s="52">
        <v>2</v>
      </c>
      <c r="F28" s="54">
        <v>4770</v>
      </c>
      <c r="G28" s="54">
        <f t="shared" si="1"/>
        <v>9540</v>
      </c>
      <c r="H28" s="54"/>
    </row>
    <row r="29" spans="2:8" ht="25.5" customHeight="1" x14ac:dyDescent="0.3">
      <c r="B29" s="49">
        <v>4</v>
      </c>
      <c r="C29" s="47" t="s">
        <v>120</v>
      </c>
      <c r="D29" s="48" t="s">
        <v>14</v>
      </c>
      <c r="E29" s="52">
        <v>2</v>
      </c>
      <c r="F29" s="54">
        <v>2500</v>
      </c>
      <c r="G29" s="54">
        <f t="shared" si="1"/>
        <v>5000</v>
      </c>
      <c r="H29" s="54"/>
    </row>
    <row r="30" spans="2:8" ht="25.5" customHeight="1" x14ac:dyDescent="0.3">
      <c r="B30" s="49">
        <v>5</v>
      </c>
      <c r="C30" s="47" t="s">
        <v>121</v>
      </c>
      <c r="D30" s="48" t="s">
        <v>14</v>
      </c>
      <c r="E30" s="52">
        <v>3</v>
      </c>
      <c r="F30" s="54">
        <v>350</v>
      </c>
      <c r="G30" s="54">
        <f t="shared" si="1"/>
        <v>1050</v>
      </c>
      <c r="H30" s="54"/>
    </row>
    <row r="31" spans="2:8" ht="25.5" customHeight="1" x14ac:dyDescent="0.3">
      <c r="B31" s="49">
        <v>6</v>
      </c>
      <c r="C31" s="47" t="s">
        <v>122</v>
      </c>
      <c r="D31" s="48" t="s">
        <v>14</v>
      </c>
      <c r="E31" s="52">
        <v>3</v>
      </c>
      <c r="F31" s="54">
        <v>350</v>
      </c>
      <c r="G31" s="54">
        <f t="shared" si="1"/>
        <v>1050</v>
      </c>
      <c r="H31" s="54"/>
    </row>
    <row r="32" spans="2:8" ht="25.5" customHeight="1" x14ac:dyDescent="0.3">
      <c r="B32" s="49">
        <v>7</v>
      </c>
      <c r="C32" s="47" t="s">
        <v>123</v>
      </c>
      <c r="D32" s="48" t="s">
        <v>14</v>
      </c>
      <c r="E32" s="52">
        <v>3</v>
      </c>
      <c r="F32" s="54">
        <v>250</v>
      </c>
      <c r="G32" s="54">
        <f t="shared" si="1"/>
        <v>750</v>
      </c>
      <c r="H32" s="54"/>
    </row>
    <row r="33" spans="2:8" ht="25.5" customHeight="1" x14ac:dyDescent="0.3">
      <c r="B33" s="49">
        <v>8</v>
      </c>
      <c r="C33" s="47" t="s">
        <v>124</v>
      </c>
      <c r="D33" s="48" t="s">
        <v>14</v>
      </c>
      <c r="E33" s="52">
        <v>3</v>
      </c>
      <c r="F33" s="54">
        <v>400</v>
      </c>
      <c r="G33" s="54">
        <f t="shared" si="1"/>
        <v>1200</v>
      </c>
      <c r="H33" s="54"/>
    </row>
    <row r="34" spans="2:8" ht="25.5" customHeight="1" x14ac:dyDescent="0.3">
      <c r="B34" s="49">
        <v>9</v>
      </c>
      <c r="C34" s="47" t="s">
        <v>125</v>
      </c>
      <c r="D34" s="48" t="s">
        <v>14</v>
      </c>
      <c r="E34" s="52">
        <v>3</v>
      </c>
      <c r="F34" s="54">
        <v>300</v>
      </c>
      <c r="G34" s="54">
        <f t="shared" si="1"/>
        <v>900</v>
      </c>
      <c r="H34" s="54"/>
    </row>
    <row r="35" spans="2:8" ht="25.5" customHeight="1" x14ac:dyDescent="0.3">
      <c r="B35" s="49">
        <v>10</v>
      </c>
      <c r="C35" s="47" t="s">
        <v>126</v>
      </c>
      <c r="D35" s="48" t="s">
        <v>14</v>
      </c>
      <c r="E35" s="52">
        <v>6</v>
      </c>
      <c r="F35" s="54">
        <v>140</v>
      </c>
      <c r="G35" s="54">
        <f t="shared" si="1"/>
        <v>840</v>
      </c>
      <c r="H35" s="54"/>
    </row>
    <row r="36" spans="2:8" ht="25.5" customHeight="1" x14ac:dyDescent="0.3">
      <c r="B36" s="49">
        <v>11</v>
      </c>
      <c r="C36" s="47" t="s">
        <v>127</v>
      </c>
      <c r="D36" s="48" t="s">
        <v>14</v>
      </c>
      <c r="E36" s="52">
        <v>6</v>
      </c>
      <c r="F36" s="54">
        <v>140</v>
      </c>
      <c r="G36" s="54">
        <f t="shared" si="1"/>
        <v>840</v>
      </c>
      <c r="H36" s="54"/>
    </row>
    <row r="37" spans="2:8" ht="25.5" customHeight="1" x14ac:dyDescent="0.3">
      <c r="B37" s="49">
        <v>12</v>
      </c>
      <c r="C37" s="47" t="s">
        <v>128</v>
      </c>
      <c r="D37" s="48" t="s">
        <v>14</v>
      </c>
      <c r="E37" s="53">
        <v>1</v>
      </c>
      <c r="F37" s="54">
        <v>3000</v>
      </c>
      <c r="G37" s="54">
        <f t="shared" si="1"/>
        <v>3000</v>
      </c>
      <c r="H37" s="54"/>
    </row>
    <row r="38" spans="2:8" ht="25.5" customHeight="1" x14ac:dyDescent="0.3">
      <c r="B38" s="49">
        <v>13</v>
      </c>
      <c r="C38" s="47" t="s">
        <v>129</v>
      </c>
      <c r="D38" s="48" t="s">
        <v>14</v>
      </c>
      <c r="E38" s="53">
        <v>1</v>
      </c>
      <c r="F38" s="54">
        <v>2000</v>
      </c>
      <c r="G38" s="54">
        <f t="shared" si="1"/>
        <v>2000</v>
      </c>
      <c r="H38" s="54"/>
    </row>
    <row r="39" spans="2:8" ht="25.5" customHeight="1" x14ac:dyDescent="0.3">
      <c r="B39" s="49">
        <v>14</v>
      </c>
      <c r="C39" s="47" t="s">
        <v>130</v>
      </c>
      <c r="D39" s="48" t="s">
        <v>14</v>
      </c>
      <c r="E39" s="53">
        <v>1</v>
      </c>
      <c r="F39" s="54">
        <v>180</v>
      </c>
      <c r="G39" s="54">
        <f t="shared" si="1"/>
        <v>180</v>
      </c>
      <c r="H39" s="54"/>
    </row>
    <row r="40" spans="2:8" ht="25.5" customHeight="1" x14ac:dyDescent="0.3">
      <c r="B40" s="50"/>
      <c r="C40" s="58" t="s">
        <v>39</v>
      </c>
      <c r="D40" s="51"/>
      <c r="E40" s="60"/>
      <c r="F40" s="60"/>
      <c r="G40" s="57">
        <f>SUM(G26:G39)</f>
        <v>65684</v>
      </c>
      <c r="H40" s="61"/>
    </row>
    <row r="41" spans="2:8" s="29" customFormat="1" ht="28.5" customHeight="1" x14ac:dyDescent="0.3">
      <c r="B41" s="25"/>
      <c r="C41" s="26" t="s">
        <v>133</v>
      </c>
      <c r="D41" s="25"/>
      <c r="E41" s="25"/>
      <c r="F41" s="25"/>
      <c r="G41" s="38">
        <f>G24+G40</f>
        <v>343563</v>
      </c>
      <c r="H41" s="65">
        <f>H24+H40</f>
        <v>177604.96</v>
      </c>
    </row>
  </sheetData>
  <mergeCells count="10">
    <mergeCell ref="B25:H25"/>
    <mergeCell ref="C8:C9"/>
    <mergeCell ref="D8:D9"/>
    <mergeCell ref="E8:E9"/>
    <mergeCell ref="G1:H1"/>
    <mergeCell ref="E2:H2"/>
    <mergeCell ref="E3:H3"/>
    <mergeCell ref="B5:H5"/>
    <mergeCell ref="B6:H6"/>
    <mergeCell ref="B11:H11"/>
  </mergeCells>
  <pageMargins left="0" right="0" top="0" bottom="0" header="0" footer="0"/>
  <pageSetup paperSize="9" scale="90" orientation="portrait"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22"/>
  <sheetViews>
    <sheetView topLeftCell="A16" workbookViewId="0">
      <selection activeCell="G1" sqref="G1:H1"/>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9" x14ac:dyDescent="0.25">
      <c r="E1" s="119"/>
      <c r="F1" s="119"/>
      <c r="G1" s="465" t="s">
        <v>85</v>
      </c>
      <c r="H1" s="465"/>
    </row>
    <row r="2" spans="1:9" x14ac:dyDescent="0.25">
      <c r="E2" s="465" t="s">
        <v>1</v>
      </c>
      <c r="F2" s="465"/>
      <c r="G2" s="465"/>
      <c r="H2" s="465"/>
    </row>
    <row r="3" spans="1:9" x14ac:dyDescent="0.25">
      <c r="E3" s="465" t="s">
        <v>2</v>
      </c>
      <c r="F3" s="465"/>
      <c r="G3" s="465"/>
      <c r="H3" s="465"/>
    </row>
    <row r="5" spans="1:9" x14ac:dyDescent="0.25">
      <c r="A5" s="504" t="s">
        <v>3</v>
      </c>
      <c r="B5" s="504"/>
      <c r="C5" s="504"/>
      <c r="D5" s="504"/>
      <c r="E5" s="504"/>
      <c r="F5" s="504"/>
      <c r="G5" s="504"/>
      <c r="H5" s="504"/>
    </row>
    <row r="6" spans="1:9" ht="78" customHeight="1" x14ac:dyDescent="0.25">
      <c r="A6" s="505" t="s">
        <v>559</v>
      </c>
      <c r="B6" s="505"/>
      <c r="C6" s="505"/>
      <c r="D6" s="505"/>
      <c r="E6" s="505"/>
      <c r="F6" s="505"/>
      <c r="G6" s="505"/>
      <c r="H6" s="505"/>
    </row>
    <row r="7" spans="1:9" x14ac:dyDescent="0.25">
      <c r="D7" s="123"/>
      <c r="E7" s="119"/>
      <c r="F7" s="119"/>
      <c r="G7" s="119"/>
    </row>
    <row r="8" spans="1:9" ht="69" x14ac:dyDescent="0.25">
      <c r="A8" s="461" t="s">
        <v>4</v>
      </c>
      <c r="B8" s="461" t="s">
        <v>5</v>
      </c>
      <c r="C8" s="461" t="s">
        <v>560</v>
      </c>
      <c r="D8" s="461" t="s">
        <v>6</v>
      </c>
      <c r="E8" s="461" t="s">
        <v>7</v>
      </c>
      <c r="F8" s="5" t="s">
        <v>8</v>
      </c>
      <c r="G8" s="120" t="s">
        <v>9</v>
      </c>
      <c r="H8" s="120" t="s">
        <v>10</v>
      </c>
    </row>
    <row r="9" spans="1:9" x14ac:dyDescent="0.25">
      <c r="A9" s="503"/>
      <c r="B9" s="462"/>
      <c r="C9" s="503"/>
      <c r="D9" s="462"/>
      <c r="E9" s="468"/>
      <c r="F9" s="120" t="s">
        <v>12</v>
      </c>
      <c r="G9" s="31" t="s">
        <v>12</v>
      </c>
      <c r="H9" s="31" t="s">
        <v>12</v>
      </c>
    </row>
    <row r="10" spans="1:9" x14ac:dyDescent="0.25">
      <c r="A10" s="31">
        <v>1</v>
      </c>
      <c r="B10" s="120">
        <v>2</v>
      </c>
      <c r="C10" s="31">
        <v>3</v>
      </c>
      <c r="D10" s="31">
        <v>4</v>
      </c>
      <c r="E10" s="31">
        <v>5</v>
      </c>
      <c r="F10" s="31">
        <v>6</v>
      </c>
      <c r="G10" s="31">
        <v>7</v>
      </c>
      <c r="H10" s="31">
        <v>8</v>
      </c>
    </row>
    <row r="11" spans="1:9" ht="66" x14ac:dyDescent="0.25">
      <c r="A11" s="85">
        <v>1</v>
      </c>
      <c r="B11" s="124" t="s">
        <v>561</v>
      </c>
      <c r="C11" s="85" t="s">
        <v>562</v>
      </c>
      <c r="D11" s="85" t="s">
        <v>14</v>
      </c>
      <c r="E11" s="125">
        <v>1</v>
      </c>
      <c r="F11" s="91">
        <v>160472</v>
      </c>
      <c r="G11" s="91">
        <f t="shared" ref="G11:G17" si="0">E11*F11</f>
        <v>160472</v>
      </c>
      <c r="H11" s="91">
        <f>E11*0</f>
        <v>0</v>
      </c>
    </row>
    <row r="12" spans="1:9" ht="66" x14ac:dyDescent="0.25">
      <c r="A12" s="85">
        <v>2</v>
      </c>
      <c r="B12" s="126" t="s">
        <v>563</v>
      </c>
      <c r="C12" s="132">
        <v>40015131303</v>
      </c>
      <c r="D12" s="85" t="s">
        <v>14</v>
      </c>
      <c r="E12" s="127">
        <v>1</v>
      </c>
      <c r="F12" s="91">
        <v>37452</v>
      </c>
      <c r="G12" s="91">
        <f t="shared" si="0"/>
        <v>37452</v>
      </c>
      <c r="H12" s="91">
        <f>E12*0</f>
        <v>0</v>
      </c>
    </row>
    <row r="13" spans="1:9" ht="115.5" customHeight="1" x14ac:dyDescent="0.25">
      <c r="A13" s="415">
        <v>3</v>
      </c>
      <c r="B13" s="446" t="s">
        <v>564</v>
      </c>
      <c r="C13" s="422" t="s">
        <v>565</v>
      </c>
      <c r="D13" s="415" t="s">
        <v>14</v>
      </c>
      <c r="E13" s="323">
        <v>5</v>
      </c>
      <c r="F13" s="413">
        <v>49220</v>
      </c>
      <c r="G13" s="413">
        <f t="shared" si="0"/>
        <v>246100</v>
      </c>
      <c r="H13" s="447">
        <f>E13*8613.5</f>
        <v>43067.5</v>
      </c>
      <c r="I13" s="129"/>
    </row>
    <row r="14" spans="1:9" ht="49.5" x14ac:dyDescent="0.25">
      <c r="A14" s="406">
        <v>4</v>
      </c>
      <c r="B14" s="428" t="s">
        <v>1357</v>
      </c>
      <c r="C14" s="429" t="s">
        <v>1392</v>
      </c>
      <c r="D14" s="429" t="s">
        <v>14</v>
      </c>
      <c r="E14" s="430">
        <v>3</v>
      </c>
      <c r="F14" s="431">
        <v>287487</v>
      </c>
      <c r="G14" s="431">
        <f t="shared" si="0"/>
        <v>862461</v>
      </c>
      <c r="H14" s="431">
        <v>0</v>
      </c>
      <c r="I14" s="129"/>
    </row>
    <row r="15" spans="1:9" ht="66" x14ac:dyDescent="0.25">
      <c r="A15" s="406">
        <v>5</v>
      </c>
      <c r="B15" s="428" t="s">
        <v>606</v>
      </c>
      <c r="C15" s="429" t="s">
        <v>1393</v>
      </c>
      <c r="D15" s="429" t="s">
        <v>14</v>
      </c>
      <c r="E15" s="430">
        <v>1</v>
      </c>
      <c r="F15" s="431">
        <v>573000</v>
      </c>
      <c r="G15" s="431">
        <f t="shared" si="0"/>
        <v>573000</v>
      </c>
      <c r="H15" s="431">
        <v>0</v>
      </c>
      <c r="I15" s="129"/>
    </row>
    <row r="16" spans="1:9" ht="49.5" x14ac:dyDescent="0.25">
      <c r="A16" s="406">
        <v>6</v>
      </c>
      <c r="B16" s="428" t="s">
        <v>573</v>
      </c>
      <c r="C16" s="429" t="s">
        <v>1394</v>
      </c>
      <c r="D16" s="429" t="s">
        <v>14</v>
      </c>
      <c r="E16" s="430">
        <v>3</v>
      </c>
      <c r="F16" s="431">
        <v>55986</v>
      </c>
      <c r="G16" s="431">
        <f t="shared" si="0"/>
        <v>167958</v>
      </c>
      <c r="H16" s="431">
        <v>0</v>
      </c>
      <c r="I16" s="129"/>
    </row>
    <row r="17" spans="1:9" ht="33" x14ac:dyDescent="0.25">
      <c r="A17" s="406">
        <v>7</v>
      </c>
      <c r="B17" s="428" t="s">
        <v>1395</v>
      </c>
      <c r="C17" s="429" t="s">
        <v>1396</v>
      </c>
      <c r="D17" s="429" t="s">
        <v>14</v>
      </c>
      <c r="E17" s="430">
        <v>1</v>
      </c>
      <c r="F17" s="431">
        <v>74160</v>
      </c>
      <c r="G17" s="431">
        <f t="shared" si="0"/>
        <v>74160</v>
      </c>
      <c r="H17" s="431">
        <v>0</v>
      </c>
      <c r="I17" s="129"/>
    </row>
    <row r="18" spans="1:9" x14ac:dyDescent="0.25">
      <c r="A18" s="502" t="s">
        <v>39</v>
      </c>
      <c r="B18" s="502"/>
      <c r="C18" s="448"/>
      <c r="D18" s="448"/>
      <c r="E18" s="449">
        <f>SUM(E11:E17)</f>
        <v>15</v>
      </c>
      <c r="F18" s="449"/>
      <c r="G18" s="450">
        <f>SUM(G11:G17)</f>
        <v>2121603</v>
      </c>
      <c r="H18" s="450">
        <f>SUM(H11:H17)</f>
        <v>43067.5</v>
      </c>
    </row>
    <row r="22" spans="1:9" x14ac:dyDescent="0.25">
      <c r="F22" s="131"/>
    </row>
  </sheetData>
  <mergeCells count="11">
    <mergeCell ref="A18:B18"/>
    <mergeCell ref="C8:C9"/>
    <mergeCell ref="D8:D9"/>
    <mergeCell ref="E8:E9"/>
    <mergeCell ref="G1:H1"/>
    <mergeCell ref="E2:H2"/>
    <mergeCell ref="E3:H3"/>
    <mergeCell ref="A5:H5"/>
    <mergeCell ref="A6:H6"/>
    <mergeCell ref="A8:A9"/>
    <mergeCell ref="B8:B9"/>
  </mergeCells>
  <pageMargins left="0.7" right="0.7" top="0.75" bottom="0.75" header="0.3" footer="0.3"/>
  <pageSetup paperSize="9" orientation="portrait" verticalDpi="0" r:id="rId1"/>
  <legacy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workbookViewId="0">
      <selection activeCell="D22" sqref="D22"/>
    </sheetView>
  </sheetViews>
  <sheetFormatPr defaultRowHeight="17.25" x14ac:dyDescent="0.25"/>
  <cols>
    <col min="1" max="1" width="4.28515625" style="74" customWidth="1"/>
    <col min="2" max="2" width="22.140625" style="74" customWidth="1"/>
    <col min="3" max="3" width="18.5703125" style="74" customWidth="1"/>
    <col min="4" max="4" width="11.42578125" style="74" customWidth="1"/>
    <col min="5" max="5" width="10.7109375" style="74" customWidth="1"/>
    <col min="6" max="8" width="17.140625" style="74" customWidth="1"/>
    <col min="9" max="16384" width="9.140625" style="74"/>
  </cols>
  <sheetData>
    <row r="1" spans="1:8" x14ac:dyDescent="0.25">
      <c r="E1" s="119"/>
      <c r="F1" s="119"/>
      <c r="G1" s="465" t="s">
        <v>86</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69.75" customHeight="1" x14ac:dyDescent="0.25">
      <c r="A6" s="506" t="s">
        <v>566</v>
      </c>
      <c r="B6" s="506"/>
      <c r="C6" s="506"/>
      <c r="D6" s="506"/>
      <c r="E6" s="506"/>
      <c r="F6" s="506"/>
      <c r="G6" s="506"/>
      <c r="H6" s="506"/>
    </row>
    <row r="7" spans="1:8" x14ac:dyDescent="0.25">
      <c r="D7" s="133"/>
      <c r="E7" s="133"/>
      <c r="F7" s="133"/>
      <c r="G7" s="133"/>
    </row>
    <row r="8" spans="1:8" ht="69" x14ac:dyDescent="0.25">
      <c r="A8" s="461" t="s">
        <v>4</v>
      </c>
      <c r="B8" s="461" t="s">
        <v>5</v>
      </c>
      <c r="C8" s="461" t="s">
        <v>560</v>
      </c>
      <c r="D8" s="461" t="s">
        <v>6</v>
      </c>
      <c r="E8" s="461" t="s">
        <v>7</v>
      </c>
      <c r="F8" s="5" t="s">
        <v>8</v>
      </c>
      <c r="G8" s="120" t="s">
        <v>9</v>
      </c>
      <c r="H8" s="120" t="s">
        <v>10</v>
      </c>
    </row>
    <row r="9" spans="1:8" x14ac:dyDescent="0.25">
      <c r="A9" s="503"/>
      <c r="B9" s="462"/>
      <c r="C9" s="503"/>
      <c r="D9" s="462"/>
      <c r="E9" s="468"/>
      <c r="F9" s="120" t="s">
        <v>12</v>
      </c>
      <c r="G9" s="31" t="s">
        <v>12</v>
      </c>
      <c r="H9" s="31" t="s">
        <v>12</v>
      </c>
    </row>
    <row r="10" spans="1:8" x14ac:dyDescent="0.25">
      <c r="A10" s="31">
        <v>1</v>
      </c>
      <c r="B10" s="31">
        <v>2</v>
      </c>
      <c r="C10" s="31">
        <v>3</v>
      </c>
      <c r="D10" s="31">
        <v>4</v>
      </c>
      <c r="E10" s="31">
        <v>5</v>
      </c>
      <c r="F10" s="31">
        <v>6</v>
      </c>
      <c r="G10" s="31">
        <v>7</v>
      </c>
      <c r="H10" s="31">
        <v>8</v>
      </c>
    </row>
    <row r="11" spans="1:8" x14ac:dyDescent="0.25">
      <c r="A11" s="499" t="s">
        <v>567</v>
      </c>
      <c r="B11" s="500"/>
      <c r="C11" s="500"/>
      <c r="D11" s="500"/>
      <c r="E11" s="500"/>
      <c r="F11" s="500"/>
      <c r="G11" s="500"/>
      <c r="H11" s="501"/>
    </row>
    <row r="12" spans="1:8" ht="66" x14ac:dyDescent="0.25">
      <c r="A12" s="85">
        <v>1</v>
      </c>
      <c r="B12" s="134" t="s">
        <v>561</v>
      </c>
      <c r="C12" s="147" t="s">
        <v>568</v>
      </c>
      <c r="D12" s="135" t="s">
        <v>14</v>
      </c>
      <c r="E12" s="135">
        <v>1</v>
      </c>
      <c r="F12" s="91">
        <v>160472</v>
      </c>
      <c r="G12" s="91">
        <f>E12*F12</f>
        <v>160472</v>
      </c>
      <c r="H12" s="91">
        <f>E12*0</f>
        <v>0</v>
      </c>
    </row>
    <row r="13" spans="1:8" ht="99" x14ac:dyDescent="0.25">
      <c r="A13" s="85">
        <v>2</v>
      </c>
      <c r="B13" s="136" t="s">
        <v>569</v>
      </c>
      <c r="C13" s="148" t="s">
        <v>570</v>
      </c>
      <c r="D13" s="135" t="s">
        <v>14</v>
      </c>
      <c r="E13" s="125">
        <v>2</v>
      </c>
      <c r="F13" s="91">
        <v>620550</v>
      </c>
      <c r="G13" s="91">
        <f t="shared" ref="G13:G19" si="0">E13*F13</f>
        <v>1241100</v>
      </c>
      <c r="H13" s="91">
        <f t="shared" ref="H13:H19" si="1">E13*0</f>
        <v>0</v>
      </c>
    </row>
    <row r="14" spans="1:8" ht="49.5" x14ac:dyDescent="0.25">
      <c r="A14" s="85">
        <v>3</v>
      </c>
      <c r="B14" s="136" t="s">
        <v>571</v>
      </c>
      <c r="C14" s="132" t="s">
        <v>572</v>
      </c>
      <c r="D14" s="135" t="s">
        <v>14</v>
      </c>
      <c r="E14" s="125">
        <v>1</v>
      </c>
      <c r="F14" s="91">
        <v>80408</v>
      </c>
      <c r="G14" s="91">
        <f t="shared" si="0"/>
        <v>80408</v>
      </c>
      <c r="H14" s="91">
        <f t="shared" si="1"/>
        <v>0</v>
      </c>
    </row>
    <row r="15" spans="1:8" ht="33" x14ac:dyDescent="0.25">
      <c r="A15" s="406">
        <v>4</v>
      </c>
      <c r="B15" s="136" t="s">
        <v>573</v>
      </c>
      <c r="C15" s="148" t="s">
        <v>574</v>
      </c>
      <c r="D15" s="135" t="s">
        <v>14</v>
      </c>
      <c r="E15" s="125">
        <v>2</v>
      </c>
      <c r="F15" s="91">
        <v>55986</v>
      </c>
      <c r="G15" s="91">
        <f t="shared" si="0"/>
        <v>111972</v>
      </c>
      <c r="H15" s="91">
        <f t="shared" si="1"/>
        <v>0</v>
      </c>
    </row>
    <row r="16" spans="1:8" ht="66" x14ac:dyDescent="0.25">
      <c r="A16" s="406">
        <v>5</v>
      </c>
      <c r="B16" s="136" t="s">
        <v>563</v>
      </c>
      <c r="C16" s="132" t="s">
        <v>575</v>
      </c>
      <c r="D16" s="135" t="s">
        <v>14</v>
      </c>
      <c r="E16" s="125">
        <v>1</v>
      </c>
      <c r="F16" s="91">
        <v>37452</v>
      </c>
      <c r="G16" s="91">
        <f t="shared" si="0"/>
        <v>37452</v>
      </c>
      <c r="H16" s="91">
        <f t="shared" si="1"/>
        <v>0</v>
      </c>
    </row>
    <row r="17" spans="1:8" s="75" customFormat="1" ht="99" x14ac:dyDescent="0.25">
      <c r="A17" s="406">
        <v>6</v>
      </c>
      <c r="B17" s="136" t="s">
        <v>576</v>
      </c>
      <c r="C17" s="148" t="s">
        <v>577</v>
      </c>
      <c r="D17" s="135" t="s">
        <v>14</v>
      </c>
      <c r="E17" s="125">
        <v>2</v>
      </c>
      <c r="F17" s="91">
        <v>19398</v>
      </c>
      <c r="G17" s="91">
        <f t="shared" si="0"/>
        <v>38796</v>
      </c>
      <c r="H17" s="91">
        <f t="shared" si="1"/>
        <v>0</v>
      </c>
    </row>
    <row r="18" spans="1:8" ht="165" x14ac:dyDescent="0.25">
      <c r="A18" s="406">
        <v>7</v>
      </c>
      <c r="B18" s="137" t="s">
        <v>564</v>
      </c>
      <c r="C18" s="148" t="s">
        <v>578</v>
      </c>
      <c r="D18" s="125" t="s">
        <v>14</v>
      </c>
      <c r="E18" s="125">
        <v>10</v>
      </c>
      <c r="F18" s="91">
        <v>49220</v>
      </c>
      <c r="G18" s="91">
        <f t="shared" si="0"/>
        <v>492200</v>
      </c>
      <c r="H18" s="91">
        <f>E18*8613.5</f>
        <v>86135</v>
      </c>
    </row>
    <row r="19" spans="1:8" ht="82.5" x14ac:dyDescent="0.25">
      <c r="A19" s="453">
        <v>8</v>
      </c>
      <c r="B19" s="455" t="s">
        <v>579</v>
      </c>
      <c r="C19" s="451">
        <v>3552950410</v>
      </c>
      <c r="D19" s="456" t="s">
        <v>14</v>
      </c>
      <c r="E19" s="456">
        <v>1</v>
      </c>
      <c r="F19" s="457">
        <v>185981</v>
      </c>
      <c r="G19" s="452">
        <f t="shared" si="0"/>
        <v>185981</v>
      </c>
      <c r="H19" s="452">
        <f t="shared" si="1"/>
        <v>0</v>
      </c>
    </row>
    <row r="20" spans="1:8" ht="49.5" x14ac:dyDescent="0.25">
      <c r="A20" s="406">
        <v>9</v>
      </c>
      <c r="B20" s="428" t="s">
        <v>1357</v>
      </c>
      <c r="C20" s="429" t="s">
        <v>1378</v>
      </c>
      <c r="D20" s="430" t="s">
        <v>14</v>
      </c>
      <c r="E20" s="430">
        <v>2</v>
      </c>
      <c r="F20" s="431">
        <v>287484</v>
      </c>
      <c r="G20" s="431">
        <f>F20*E20</f>
        <v>574968</v>
      </c>
      <c r="H20" s="431">
        <v>0</v>
      </c>
    </row>
    <row r="21" spans="1:8" ht="66" x14ac:dyDescent="0.25">
      <c r="A21" s="406">
        <v>10</v>
      </c>
      <c r="B21" s="428" t="s">
        <v>1379</v>
      </c>
      <c r="C21" s="429" t="s">
        <v>1390</v>
      </c>
      <c r="D21" s="430" t="s">
        <v>14</v>
      </c>
      <c r="E21" s="430">
        <v>4</v>
      </c>
      <c r="F21" s="431">
        <v>385011.95</v>
      </c>
      <c r="G21" s="431">
        <f>F21*E21</f>
        <v>1540047.8</v>
      </c>
      <c r="H21" s="431">
        <f>4*25667.4633333333</f>
        <v>102669.8533333332</v>
      </c>
    </row>
    <row r="22" spans="1:8" ht="49.5" x14ac:dyDescent="0.25">
      <c r="A22" s="406">
        <v>11</v>
      </c>
      <c r="B22" s="428" t="s">
        <v>573</v>
      </c>
      <c r="C22" s="429" t="s">
        <v>1380</v>
      </c>
      <c r="D22" s="430" t="s">
        <v>14</v>
      </c>
      <c r="E22" s="430">
        <v>3</v>
      </c>
      <c r="F22" s="431">
        <v>55986</v>
      </c>
      <c r="G22" s="431">
        <f>F22*E22</f>
        <v>167958</v>
      </c>
      <c r="H22" s="431">
        <v>0</v>
      </c>
    </row>
    <row r="23" spans="1:8" ht="49.5" x14ac:dyDescent="0.25">
      <c r="A23" s="406">
        <v>12</v>
      </c>
      <c r="B23" s="428" t="s">
        <v>1381</v>
      </c>
      <c r="C23" s="429" t="s">
        <v>1382</v>
      </c>
      <c r="D23" s="430" t="s">
        <v>14</v>
      </c>
      <c r="E23" s="430">
        <v>1</v>
      </c>
      <c r="F23" s="431">
        <v>42889.82</v>
      </c>
      <c r="G23" s="431">
        <f t="shared" ref="G23:G27" si="2">F23*E23</f>
        <v>42889.82</v>
      </c>
      <c r="H23" s="431">
        <v>0</v>
      </c>
    </row>
    <row r="24" spans="1:8" ht="49.5" x14ac:dyDescent="0.25">
      <c r="A24" s="406">
        <v>13</v>
      </c>
      <c r="B24" s="428" t="s">
        <v>1383</v>
      </c>
      <c r="C24" s="429">
        <v>20766920809</v>
      </c>
      <c r="D24" s="430" t="s">
        <v>14</v>
      </c>
      <c r="E24" s="430">
        <v>1</v>
      </c>
      <c r="F24" s="431">
        <v>17758.2</v>
      </c>
      <c r="G24" s="431">
        <f t="shared" si="2"/>
        <v>17758.2</v>
      </c>
      <c r="H24" s="431">
        <v>0</v>
      </c>
    </row>
    <row r="25" spans="1:8" ht="66" x14ac:dyDescent="0.25">
      <c r="A25" s="406">
        <v>14</v>
      </c>
      <c r="B25" s="428" t="s">
        <v>1384</v>
      </c>
      <c r="C25" s="429">
        <v>40102311605</v>
      </c>
      <c r="D25" s="430" t="s">
        <v>14</v>
      </c>
      <c r="E25" s="430">
        <v>1</v>
      </c>
      <c r="F25" s="431">
        <v>41700</v>
      </c>
      <c r="G25" s="431">
        <f t="shared" si="2"/>
        <v>41700</v>
      </c>
      <c r="H25" s="431">
        <v>0</v>
      </c>
    </row>
    <row r="26" spans="1:8" ht="82.5" x14ac:dyDescent="0.25">
      <c r="A26" s="406">
        <v>15</v>
      </c>
      <c r="B26" s="428" t="s">
        <v>1385</v>
      </c>
      <c r="C26" s="429">
        <v>40102641605</v>
      </c>
      <c r="D26" s="430" t="s">
        <v>14</v>
      </c>
      <c r="E26" s="430">
        <v>1</v>
      </c>
      <c r="F26" s="431">
        <v>41700</v>
      </c>
      <c r="G26" s="431">
        <f t="shared" si="2"/>
        <v>41700</v>
      </c>
      <c r="H26" s="431">
        <v>0</v>
      </c>
    </row>
    <row r="27" spans="1:8" ht="49.5" x14ac:dyDescent="0.25">
      <c r="A27" s="406">
        <v>16</v>
      </c>
      <c r="B27" s="428" t="s">
        <v>1386</v>
      </c>
      <c r="C27" s="429">
        <v>200229711112</v>
      </c>
      <c r="D27" s="430" t="s">
        <v>14</v>
      </c>
      <c r="E27" s="430">
        <v>1</v>
      </c>
      <c r="F27" s="431">
        <v>18250</v>
      </c>
      <c r="G27" s="431">
        <f t="shared" si="2"/>
        <v>18250</v>
      </c>
      <c r="H27" s="431">
        <v>0</v>
      </c>
    </row>
    <row r="28" spans="1:8" ht="49.5" x14ac:dyDescent="0.25">
      <c r="A28" s="406">
        <v>17</v>
      </c>
      <c r="B28" s="428" t="s">
        <v>1387</v>
      </c>
      <c r="C28" s="429" t="s">
        <v>1391</v>
      </c>
      <c r="D28" s="430" t="s">
        <v>14</v>
      </c>
      <c r="E28" s="430">
        <v>2</v>
      </c>
      <c r="F28" s="431">
        <v>97870.79</v>
      </c>
      <c r="G28" s="431">
        <f>F28*E28</f>
        <v>195741.58</v>
      </c>
      <c r="H28" s="431">
        <v>55926.165714285708</v>
      </c>
    </row>
    <row r="29" spans="1:8" ht="33" x14ac:dyDescent="0.25">
      <c r="A29" s="406">
        <v>18</v>
      </c>
      <c r="B29" s="428" t="s">
        <v>1388</v>
      </c>
      <c r="C29" s="429" t="s">
        <v>1389</v>
      </c>
      <c r="D29" s="430" t="s">
        <v>14</v>
      </c>
      <c r="E29" s="430">
        <v>1</v>
      </c>
      <c r="F29" s="431">
        <v>94444.21</v>
      </c>
      <c r="G29" s="431">
        <f>F29*E29</f>
        <v>94444.21</v>
      </c>
      <c r="H29" s="431">
        <v>26984.06</v>
      </c>
    </row>
    <row r="30" spans="1:8" ht="82.5" x14ac:dyDescent="0.25">
      <c r="A30" s="406">
        <v>19</v>
      </c>
      <c r="B30" s="432" t="s">
        <v>579</v>
      </c>
      <c r="C30" s="429">
        <v>3552952099</v>
      </c>
      <c r="D30" s="430" t="s">
        <v>14</v>
      </c>
      <c r="E30" s="430">
        <v>2</v>
      </c>
      <c r="F30" s="431">
        <v>185981</v>
      </c>
      <c r="G30" s="431">
        <f t="shared" ref="G30" si="3">E30*F30</f>
        <v>371962</v>
      </c>
      <c r="H30" s="431">
        <f>E30*0</f>
        <v>0</v>
      </c>
    </row>
    <row r="31" spans="1:8" s="412" customFormat="1" x14ac:dyDescent="0.25">
      <c r="A31" s="509" t="s">
        <v>39</v>
      </c>
      <c r="B31" s="509"/>
      <c r="C31" s="458"/>
      <c r="D31" s="458"/>
      <c r="E31" s="459">
        <f>SUM(E12:E30)</f>
        <v>39</v>
      </c>
      <c r="F31" s="459"/>
      <c r="G31" s="460">
        <f t="shared" ref="G31:H31" si="4">SUM(G12:G30)</f>
        <v>5455800.6100000003</v>
      </c>
      <c r="H31" s="460">
        <f t="shared" si="4"/>
        <v>271715.07904761896</v>
      </c>
    </row>
    <row r="32" spans="1:8" s="412" customFormat="1" ht="17.25" customHeight="1" x14ac:dyDescent="0.25">
      <c r="A32" s="510" t="s">
        <v>580</v>
      </c>
      <c r="B32" s="511"/>
      <c r="C32" s="511"/>
      <c r="D32" s="511"/>
      <c r="E32" s="511"/>
      <c r="F32" s="511"/>
      <c r="G32" s="511"/>
      <c r="H32" s="512"/>
    </row>
    <row r="33" spans="1:8" ht="49.5" customHeight="1" x14ac:dyDescent="0.25">
      <c r="A33" s="283">
        <v>9</v>
      </c>
      <c r="B33" s="118" t="s">
        <v>581</v>
      </c>
      <c r="C33" s="283"/>
      <c r="D33" s="283" t="s">
        <v>14</v>
      </c>
      <c r="E33" s="290">
        <v>1</v>
      </c>
      <c r="F33" s="414">
        <v>96504</v>
      </c>
      <c r="G33" s="91">
        <f t="shared" ref="G33:G41" si="5">E33*F33</f>
        <v>96504</v>
      </c>
      <c r="H33" s="414">
        <v>0</v>
      </c>
    </row>
    <row r="34" spans="1:8" ht="49.5" x14ac:dyDescent="0.25">
      <c r="A34" s="283">
        <v>10</v>
      </c>
      <c r="B34" s="142" t="s">
        <v>582</v>
      </c>
      <c r="C34" s="283"/>
      <c r="D34" s="283" t="s">
        <v>14</v>
      </c>
      <c r="E34" s="290">
        <v>1</v>
      </c>
      <c r="F34" s="414">
        <v>18800</v>
      </c>
      <c r="G34" s="91">
        <f t="shared" si="5"/>
        <v>18800</v>
      </c>
      <c r="H34" s="414">
        <v>0</v>
      </c>
    </row>
    <row r="35" spans="1:8" ht="66" x14ac:dyDescent="0.25">
      <c r="A35" s="90">
        <v>11</v>
      </c>
      <c r="B35" s="142" t="s">
        <v>583</v>
      </c>
      <c r="C35" s="90"/>
      <c r="D35" s="90" t="s">
        <v>14</v>
      </c>
      <c r="E35" s="141">
        <v>1</v>
      </c>
      <c r="F35" s="140">
        <v>1575</v>
      </c>
      <c r="G35" s="91">
        <f t="shared" si="5"/>
        <v>1575</v>
      </c>
      <c r="H35" s="140">
        <v>0</v>
      </c>
    </row>
    <row r="36" spans="1:8" ht="66" x14ac:dyDescent="0.25">
      <c r="A36" s="90">
        <v>12</v>
      </c>
      <c r="B36" s="118" t="s">
        <v>584</v>
      </c>
      <c r="C36" s="90"/>
      <c r="D36" s="90" t="s">
        <v>14</v>
      </c>
      <c r="E36" s="85">
        <v>5</v>
      </c>
      <c r="F36" s="140">
        <v>14500</v>
      </c>
      <c r="G36" s="91">
        <f t="shared" si="5"/>
        <v>72500</v>
      </c>
      <c r="H36" s="140">
        <v>0</v>
      </c>
    </row>
    <row r="37" spans="1:8" ht="49.5" x14ac:dyDescent="0.25">
      <c r="A37" s="90">
        <v>13</v>
      </c>
      <c r="B37" s="118" t="s">
        <v>585</v>
      </c>
      <c r="C37" s="90"/>
      <c r="D37" s="90" t="s">
        <v>14</v>
      </c>
      <c r="E37" s="85">
        <v>1</v>
      </c>
      <c r="F37" s="140">
        <v>12000</v>
      </c>
      <c r="G37" s="91">
        <f t="shared" si="5"/>
        <v>12000</v>
      </c>
      <c r="H37" s="140">
        <v>0</v>
      </c>
    </row>
    <row r="38" spans="1:8" ht="82.5" x14ac:dyDescent="0.25">
      <c r="A38" s="90">
        <v>14</v>
      </c>
      <c r="B38" s="143" t="s">
        <v>586</v>
      </c>
      <c r="C38" s="90"/>
      <c r="D38" s="90" t="s">
        <v>14</v>
      </c>
      <c r="E38" s="85">
        <v>1</v>
      </c>
      <c r="F38" s="140">
        <v>161700</v>
      </c>
      <c r="G38" s="91">
        <f t="shared" si="5"/>
        <v>161700</v>
      </c>
      <c r="H38" s="140">
        <v>0</v>
      </c>
    </row>
    <row r="39" spans="1:8" ht="66" x14ac:dyDescent="0.25">
      <c r="A39" s="90">
        <v>15</v>
      </c>
      <c r="B39" s="118" t="s">
        <v>587</v>
      </c>
      <c r="C39" s="90"/>
      <c r="D39" s="90" t="s">
        <v>14</v>
      </c>
      <c r="E39" s="85">
        <v>1</v>
      </c>
      <c r="F39" s="140">
        <v>6000</v>
      </c>
      <c r="G39" s="91">
        <f t="shared" si="5"/>
        <v>6000</v>
      </c>
      <c r="H39" s="140">
        <v>0</v>
      </c>
    </row>
    <row r="40" spans="1:8" ht="49.5" x14ac:dyDescent="0.25">
      <c r="A40" s="90">
        <v>16</v>
      </c>
      <c r="B40" s="118" t="s">
        <v>588</v>
      </c>
      <c r="C40" s="90"/>
      <c r="D40" s="90" t="s">
        <v>14</v>
      </c>
      <c r="E40" s="85">
        <v>1</v>
      </c>
      <c r="F40" s="140">
        <v>55000</v>
      </c>
      <c r="G40" s="91">
        <f t="shared" si="5"/>
        <v>55000</v>
      </c>
      <c r="H40" s="140">
        <v>0</v>
      </c>
    </row>
    <row r="41" spans="1:8" ht="82.5" x14ac:dyDescent="0.25">
      <c r="A41" s="90">
        <v>17</v>
      </c>
      <c r="B41" s="118" t="s">
        <v>589</v>
      </c>
      <c r="C41" s="90"/>
      <c r="D41" s="90" t="s">
        <v>14</v>
      </c>
      <c r="E41" s="85">
        <v>1</v>
      </c>
      <c r="F41" s="140">
        <v>98831</v>
      </c>
      <c r="G41" s="91">
        <f t="shared" si="5"/>
        <v>98831</v>
      </c>
      <c r="H41" s="140">
        <v>0</v>
      </c>
    </row>
    <row r="42" spans="1:8" ht="17.25" customHeight="1" x14ac:dyDescent="0.25">
      <c r="A42" s="513" t="s">
        <v>39</v>
      </c>
      <c r="B42" s="513"/>
      <c r="C42" s="90"/>
      <c r="D42" s="90"/>
      <c r="E42" s="92">
        <f>SUM(E33:E41)</f>
        <v>13</v>
      </c>
      <c r="F42" s="149"/>
      <c r="G42" s="149">
        <f>SUM(G33:G41)</f>
        <v>522910</v>
      </c>
      <c r="H42" s="149">
        <f>SUM(H33:H41)</f>
        <v>0</v>
      </c>
    </row>
    <row r="43" spans="1:8" ht="18.75" x14ac:dyDescent="0.25">
      <c r="A43" s="507" t="s">
        <v>590</v>
      </c>
      <c r="B43" s="508"/>
      <c r="C43" s="144"/>
      <c r="D43" s="144"/>
      <c r="E43" s="145">
        <f>E31+E42</f>
        <v>52</v>
      </c>
      <c r="F43" s="146"/>
      <c r="G43" s="146">
        <f>G31+G42</f>
        <v>5978710.6100000003</v>
      </c>
      <c r="H43" s="146">
        <f>H31+H42</f>
        <v>271715.07904761896</v>
      </c>
    </row>
    <row r="45" spans="1:8" x14ac:dyDescent="0.25">
      <c r="G45" s="445"/>
    </row>
  </sheetData>
  <mergeCells count="15">
    <mergeCell ref="A43:B43"/>
    <mergeCell ref="A31:B31"/>
    <mergeCell ref="A32:H32"/>
    <mergeCell ref="A42:B42"/>
    <mergeCell ref="A8:A9"/>
    <mergeCell ref="B8:B9"/>
    <mergeCell ref="A11:H11"/>
    <mergeCell ref="C8:C9"/>
    <mergeCell ref="D8:D9"/>
    <mergeCell ref="E8:E9"/>
    <mergeCell ref="G1:H1"/>
    <mergeCell ref="E2:H2"/>
    <mergeCell ref="E3:H3"/>
    <mergeCell ref="A5:H5"/>
    <mergeCell ref="A6:H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A6" sqref="A6:H6"/>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87</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6.5" customHeight="1" x14ac:dyDescent="0.25">
      <c r="A6" s="506" t="s">
        <v>591</v>
      </c>
      <c r="B6" s="506"/>
      <c r="C6" s="506"/>
      <c r="D6" s="506"/>
      <c r="E6" s="506"/>
      <c r="F6" s="506"/>
      <c r="G6" s="506"/>
      <c r="H6" s="506"/>
    </row>
    <row r="7" spans="1:8" x14ac:dyDescent="0.25">
      <c r="D7" s="123"/>
      <c r="E7" s="119"/>
      <c r="F7" s="119"/>
      <c r="G7" s="119"/>
    </row>
    <row r="8" spans="1:8" ht="69" x14ac:dyDescent="0.25">
      <c r="A8" s="461" t="s">
        <v>4</v>
      </c>
      <c r="B8" s="461" t="s">
        <v>5</v>
      </c>
      <c r="C8" s="461" t="s">
        <v>560</v>
      </c>
      <c r="D8" s="461" t="s">
        <v>6</v>
      </c>
      <c r="E8" s="461" t="s">
        <v>7</v>
      </c>
      <c r="F8" s="5" t="s">
        <v>8</v>
      </c>
      <c r="G8" s="120" t="s">
        <v>9</v>
      </c>
      <c r="H8" s="120" t="s">
        <v>10</v>
      </c>
    </row>
    <row r="9" spans="1:8" x14ac:dyDescent="0.25">
      <c r="A9" s="503"/>
      <c r="B9" s="462"/>
      <c r="C9" s="503"/>
      <c r="D9" s="462"/>
      <c r="E9" s="468"/>
      <c r="F9" s="120" t="s">
        <v>12</v>
      </c>
      <c r="G9" s="31" t="s">
        <v>12</v>
      </c>
      <c r="H9" s="31" t="s">
        <v>12</v>
      </c>
    </row>
    <row r="10" spans="1:8" x14ac:dyDescent="0.25">
      <c r="A10" s="31">
        <v>1</v>
      </c>
      <c r="B10" s="31">
        <v>2</v>
      </c>
      <c r="C10" s="31">
        <v>3</v>
      </c>
      <c r="D10" s="31">
        <v>4</v>
      </c>
      <c r="E10" s="31">
        <v>5</v>
      </c>
      <c r="F10" s="31">
        <v>6</v>
      </c>
      <c r="G10" s="31">
        <v>7</v>
      </c>
      <c r="H10" s="31">
        <v>8</v>
      </c>
    </row>
    <row r="11" spans="1:8" ht="115.5" x14ac:dyDescent="0.25">
      <c r="A11" s="85">
        <v>1</v>
      </c>
      <c r="B11" s="137" t="s">
        <v>564</v>
      </c>
      <c r="C11" s="132" t="s">
        <v>592</v>
      </c>
      <c r="D11" s="85" t="s">
        <v>14</v>
      </c>
      <c r="E11" s="43">
        <v>5</v>
      </c>
      <c r="F11" s="91">
        <v>49220</v>
      </c>
      <c r="G11" s="91">
        <f>E11*F11</f>
        <v>246100</v>
      </c>
      <c r="H11" s="91">
        <f>E11*8613.5</f>
        <v>43067.5</v>
      </c>
    </row>
    <row r="12" spans="1:8" x14ac:dyDescent="0.25">
      <c r="A12" s="514" t="s">
        <v>39</v>
      </c>
      <c r="B12" s="514"/>
      <c r="C12" s="150"/>
      <c r="D12" s="32"/>
      <c r="E12" s="151">
        <f>SUM(E11:E11)</f>
        <v>5</v>
      </c>
      <c r="F12" s="152"/>
      <c r="G12" s="152">
        <f>SUM(G11:G11)</f>
        <v>246100</v>
      </c>
      <c r="H12" s="152">
        <f>SUM(H11:H11)</f>
        <v>43067.5</v>
      </c>
    </row>
    <row r="13" spans="1:8" x14ac:dyDescent="0.25">
      <c r="G13" s="39"/>
    </row>
  </sheetData>
  <mergeCells count="11">
    <mergeCell ref="A12:B12"/>
    <mergeCell ref="C8:C9"/>
    <mergeCell ref="D8:D9"/>
    <mergeCell ref="E8:E9"/>
    <mergeCell ref="G1:H1"/>
    <mergeCell ref="E2:H2"/>
    <mergeCell ref="E3:H3"/>
    <mergeCell ref="A5:H5"/>
    <mergeCell ref="A6:H6"/>
    <mergeCell ref="A8:A9"/>
    <mergeCell ref="B8:B9"/>
  </mergeCells>
  <pageMargins left="0" right="0" top="0" bottom="0" header="0" footer="0"/>
  <pageSetup paperSize="9" scale="85"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opLeftCell="A13" workbookViewId="0">
      <selection activeCell="G1" sqref="G1:H1"/>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88</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1.25" customHeight="1" x14ac:dyDescent="0.25">
      <c r="A6" s="506" t="s">
        <v>593</v>
      </c>
      <c r="B6" s="506"/>
      <c r="C6" s="506"/>
      <c r="D6" s="506"/>
      <c r="E6" s="506"/>
      <c r="F6" s="506"/>
      <c r="G6" s="506"/>
      <c r="H6" s="506"/>
    </row>
    <row r="7" spans="1:8" x14ac:dyDescent="0.25">
      <c r="D7" s="123"/>
      <c r="E7" s="119"/>
      <c r="F7" s="119"/>
      <c r="G7" s="119"/>
    </row>
    <row r="8" spans="1:8" ht="69" x14ac:dyDescent="0.25">
      <c r="A8" s="461" t="s">
        <v>4</v>
      </c>
      <c r="B8" s="461" t="s">
        <v>5</v>
      </c>
      <c r="C8" s="461" t="s">
        <v>560</v>
      </c>
      <c r="D8" s="461" t="s">
        <v>6</v>
      </c>
      <c r="E8" s="461" t="s">
        <v>7</v>
      </c>
      <c r="F8" s="5" t="s">
        <v>8</v>
      </c>
      <c r="G8" s="120" t="s">
        <v>9</v>
      </c>
      <c r="H8" s="120" t="s">
        <v>10</v>
      </c>
    </row>
    <row r="9" spans="1:8" x14ac:dyDescent="0.25">
      <c r="A9" s="503"/>
      <c r="B9" s="462"/>
      <c r="C9" s="503"/>
      <c r="D9" s="462"/>
      <c r="E9" s="468"/>
      <c r="F9" s="120" t="s">
        <v>12</v>
      </c>
      <c r="G9" s="31" t="s">
        <v>12</v>
      </c>
      <c r="H9" s="31" t="s">
        <v>12</v>
      </c>
    </row>
    <row r="10" spans="1:8" x14ac:dyDescent="0.25">
      <c r="A10" s="31">
        <v>1</v>
      </c>
      <c r="B10" s="31">
        <v>2</v>
      </c>
      <c r="C10" s="31">
        <v>3</v>
      </c>
      <c r="D10" s="31">
        <v>4</v>
      </c>
      <c r="E10" s="31">
        <v>5</v>
      </c>
      <c r="F10" s="31">
        <v>6</v>
      </c>
      <c r="G10" s="31">
        <v>7</v>
      </c>
      <c r="H10" s="31">
        <v>8</v>
      </c>
    </row>
    <row r="11" spans="1:8" x14ac:dyDescent="0.25">
      <c r="A11" s="499" t="s">
        <v>567</v>
      </c>
      <c r="B11" s="500"/>
      <c r="C11" s="500"/>
      <c r="D11" s="500"/>
      <c r="E11" s="500"/>
      <c r="F11" s="500"/>
      <c r="G11" s="500"/>
      <c r="H11" s="501"/>
    </row>
    <row r="12" spans="1:8" ht="66" x14ac:dyDescent="0.25">
      <c r="A12" s="85">
        <v>1</v>
      </c>
      <c r="B12" s="135" t="s">
        <v>561</v>
      </c>
      <c r="C12" s="132" t="s">
        <v>594</v>
      </c>
      <c r="D12" s="85" t="s">
        <v>14</v>
      </c>
      <c r="E12" s="125">
        <v>1</v>
      </c>
      <c r="F12" s="91">
        <v>160472</v>
      </c>
      <c r="G12" s="91">
        <f>E12*F12</f>
        <v>160472</v>
      </c>
      <c r="H12" s="91">
        <f>E12*0</f>
        <v>0</v>
      </c>
    </row>
    <row r="13" spans="1:8" ht="49.5" x14ac:dyDescent="0.25">
      <c r="A13" s="85">
        <v>2</v>
      </c>
      <c r="B13" s="125" t="s">
        <v>571</v>
      </c>
      <c r="C13" s="132" t="s">
        <v>595</v>
      </c>
      <c r="D13" s="85" t="s">
        <v>14</v>
      </c>
      <c r="E13" s="125">
        <v>1</v>
      </c>
      <c r="F13" s="91">
        <v>80408</v>
      </c>
      <c r="G13" s="91">
        <f>E13*F13</f>
        <v>80408</v>
      </c>
      <c r="H13" s="91">
        <f>E13*0</f>
        <v>0</v>
      </c>
    </row>
    <row r="14" spans="1:8" ht="66" x14ac:dyDescent="0.25">
      <c r="A14" s="85">
        <v>3</v>
      </c>
      <c r="B14" s="125" t="s">
        <v>563</v>
      </c>
      <c r="C14" s="132">
        <v>4021243110</v>
      </c>
      <c r="D14" s="85" t="s">
        <v>14</v>
      </c>
      <c r="E14" s="125">
        <v>1</v>
      </c>
      <c r="F14" s="91">
        <v>37452</v>
      </c>
      <c r="G14" s="91">
        <f>E14*F14</f>
        <v>37452</v>
      </c>
      <c r="H14" s="91">
        <f>E14*0</f>
        <v>0</v>
      </c>
    </row>
    <row r="15" spans="1:8" ht="115.5" x14ac:dyDescent="0.25">
      <c r="A15" s="85">
        <v>4</v>
      </c>
      <c r="B15" s="137" t="s">
        <v>564</v>
      </c>
      <c r="C15" s="132" t="s">
        <v>596</v>
      </c>
      <c r="D15" s="85" t="s">
        <v>14</v>
      </c>
      <c r="E15" s="125">
        <v>6</v>
      </c>
      <c r="F15" s="91">
        <v>49220</v>
      </c>
      <c r="G15" s="91">
        <f>E15*F15</f>
        <v>295320</v>
      </c>
      <c r="H15" s="91">
        <f>E15*8613.5</f>
        <v>51681</v>
      </c>
    </row>
    <row r="16" spans="1:8" ht="17.25" customHeight="1" x14ac:dyDescent="0.25">
      <c r="A16" s="513" t="s">
        <v>39</v>
      </c>
      <c r="B16" s="513"/>
      <c r="C16" s="17"/>
      <c r="D16" s="85"/>
      <c r="E16" s="78">
        <f>SUM(E12:E15)</f>
        <v>9</v>
      </c>
      <c r="F16" s="86"/>
      <c r="G16" s="86">
        <f>SUM(G12:G15)</f>
        <v>573652</v>
      </c>
      <c r="H16" s="86">
        <f>SUM(H12:H15)</f>
        <v>51681</v>
      </c>
    </row>
    <row r="17" spans="1:8" s="69" customFormat="1" ht="17.25" customHeight="1" x14ac:dyDescent="0.25">
      <c r="A17" s="499" t="s">
        <v>580</v>
      </c>
      <c r="B17" s="500"/>
      <c r="C17" s="500"/>
      <c r="D17" s="500"/>
      <c r="E17" s="500"/>
      <c r="F17" s="500"/>
      <c r="G17" s="500"/>
      <c r="H17" s="501"/>
    </row>
    <row r="18" spans="1:8" ht="66" customHeight="1" x14ac:dyDescent="0.25">
      <c r="A18" s="158">
        <v>5</v>
      </c>
      <c r="B18" s="137" t="s">
        <v>597</v>
      </c>
      <c r="C18" s="153"/>
      <c r="D18" s="141" t="s">
        <v>14</v>
      </c>
      <c r="E18" s="141">
        <v>7</v>
      </c>
      <c r="F18" s="128">
        <v>12000</v>
      </c>
      <c r="G18" s="128">
        <f>E18*F18</f>
        <v>84000</v>
      </c>
      <c r="H18" s="91">
        <f>E18*0</f>
        <v>0</v>
      </c>
    </row>
    <row r="19" spans="1:8" ht="49.5" x14ac:dyDescent="0.25">
      <c r="A19" s="158">
        <v>6</v>
      </c>
      <c r="B19" s="137" t="s">
        <v>598</v>
      </c>
      <c r="C19" s="153"/>
      <c r="D19" s="141" t="s">
        <v>14</v>
      </c>
      <c r="E19" s="141">
        <v>4</v>
      </c>
      <c r="F19" s="128">
        <v>13000</v>
      </c>
      <c r="G19" s="128">
        <f>E19*F19</f>
        <v>52000</v>
      </c>
      <c r="H19" s="91">
        <f>E19*0</f>
        <v>0</v>
      </c>
    </row>
    <row r="20" spans="1:8" ht="49.5" x14ac:dyDescent="0.25">
      <c r="A20" s="158">
        <v>7</v>
      </c>
      <c r="B20" s="137" t="s">
        <v>599</v>
      </c>
      <c r="C20" s="153"/>
      <c r="D20" s="141" t="s">
        <v>14</v>
      </c>
      <c r="E20" s="141">
        <v>2</v>
      </c>
      <c r="F20" s="154">
        <v>20000</v>
      </c>
      <c r="G20" s="128">
        <f>E20*F20</f>
        <v>40000</v>
      </c>
      <c r="H20" s="128">
        <f>E20*8000</f>
        <v>16000</v>
      </c>
    </row>
    <row r="21" spans="1:8" ht="49.5" x14ac:dyDescent="0.25">
      <c r="A21" s="158">
        <v>8</v>
      </c>
      <c r="B21" s="137" t="s">
        <v>600</v>
      </c>
      <c r="C21" s="153"/>
      <c r="D21" s="141" t="s">
        <v>14</v>
      </c>
      <c r="E21" s="141">
        <v>1</v>
      </c>
      <c r="F21" s="154">
        <v>12619</v>
      </c>
      <c r="G21" s="128">
        <f>E21*F21</f>
        <v>12619</v>
      </c>
      <c r="H21" s="91">
        <f>E21*0</f>
        <v>0</v>
      </c>
    </row>
    <row r="22" spans="1:8" x14ac:dyDescent="0.25">
      <c r="A22" s="513" t="s">
        <v>39</v>
      </c>
      <c r="B22" s="513"/>
      <c r="C22" s="153"/>
      <c r="D22" s="153"/>
      <c r="E22" s="159">
        <f>SUM(E18:E21)</f>
        <v>14</v>
      </c>
      <c r="F22" s="86"/>
      <c r="G22" s="86">
        <f>SUM(G18:G21)</f>
        <v>188619</v>
      </c>
      <c r="H22" s="86">
        <f>SUM(H18:H21)</f>
        <v>16000</v>
      </c>
    </row>
    <row r="23" spans="1:8" ht="18.75" x14ac:dyDescent="0.25">
      <c r="A23" s="507" t="s">
        <v>590</v>
      </c>
      <c r="B23" s="508"/>
      <c r="C23" s="155"/>
      <c r="D23" s="155"/>
      <c r="E23" s="156">
        <f>E16+E22</f>
        <v>23</v>
      </c>
      <c r="F23" s="157"/>
      <c r="G23" s="157">
        <f>G16+G22</f>
        <v>762271</v>
      </c>
      <c r="H23" s="157">
        <f>H16+H22</f>
        <v>67681</v>
      </c>
    </row>
  </sheetData>
  <mergeCells count="15">
    <mergeCell ref="A23:B23"/>
    <mergeCell ref="A11:H11"/>
    <mergeCell ref="A16:B16"/>
    <mergeCell ref="A17:H17"/>
    <mergeCell ref="A22:B22"/>
    <mergeCell ref="C8:C9"/>
    <mergeCell ref="D8:D9"/>
    <mergeCell ref="E8:E9"/>
    <mergeCell ref="G1:H1"/>
    <mergeCell ref="E2:H2"/>
    <mergeCell ref="E3:H3"/>
    <mergeCell ref="A5:H5"/>
    <mergeCell ref="A6:H6"/>
    <mergeCell ref="A8:A9"/>
    <mergeCell ref="B8:B9"/>
  </mergeCells>
  <pageMargins left="0.7" right="0.7" top="0.75" bottom="0.75" header="0.3" footer="0.3"/>
  <pageSetup paperSize="9" orientation="portrait"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G1" sqref="G1:H1"/>
    </sheetView>
  </sheetViews>
  <sheetFormatPr defaultRowHeight="17.25" x14ac:dyDescent="0.3"/>
  <cols>
    <col min="1" max="1" width="4.28515625" style="1" customWidth="1"/>
    <col min="2" max="2" width="22.140625" style="1" customWidth="1"/>
    <col min="3" max="3" width="18.5703125" style="1" customWidth="1"/>
    <col min="4" max="4" width="11.42578125" style="1" customWidth="1"/>
    <col min="5" max="5" width="10.7109375" style="1" customWidth="1"/>
    <col min="6" max="8" width="17.140625" style="1" customWidth="1"/>
    <col min="9" max="16384" width="9.140625" style="1"/>
  </cols>
  <sheetData>
    <row r="1" spans="1:8" x14ac:dyDescent="0.3">
      <c r="E1" s="119"/>
      <c r="F1" s="119"/>
      <c r="G1" s="465" t="s">
        <v>90</v>
      </c>
      <c r="H1" s="465"/>
    </row>
    <row r="2" spans="1:8" x14ac:dyDescent="0.3">
      <c r="E2" s="465" t="s">
        <v>1</v>
      </c>
      <c r="F2" s="465"/>
      <c r="G2" s="465"/>
      <c r="H2" s="465"/>
    </row>
    <row r="3" spans="1:8" x14ac:dyDescent="0.3">
      <c r="E3" s="465" t="s">
        <v>2</v>
      </c>
      <c r="F3" s="465"/>
      <c r="G3" s="465"/>
      <c r="H3" s="465"/>
    </row>
    <row r="5" spans="1:8" x14ac:dyDescent="0.3">
      <c r="A5" s="466" t="s">
        <v>3</v>
      </c>
      <c r="B5" s="466"/>
      <c r="C5" s="466"/>
      <c r="D5" s="466"/>
      <c r="E5" s="466"/>
      <c r="F5" s="466"/>
      <c r="G5" s="466"/>
      <c r="H5" s="466"/>
    </row>
    <row r="6" spans="1:8" ht="74.25" customHeight="1" x14ac:dyDescent="0.3">
      <c r="A6" s="506" t="s">
        <v>601</v>
      </c>
      <c r="B6" s="506"/>
      <c r="C6" s="506"/>
      <c r="D6" s="506"/>
      <c r="E6" s="506"/>
      <c r="F6" s="506"/>
      <c r="G6" s="506"/>
      <c r="H6" s="506"/>
    </row>
    <row r="7" spans="1:8" x14ac:dyDescent="0.3">
      <c r="D7" s="3"/>
      <c r="E7" s="119"/>
      <c r="F7" s="119"/>
      <c r="G7" s="119"/>
    </row>
    <row r="8" spans="1:8" ht="69" x14ac:dyDescent="0.3">
      <c r="A8" s="461" t="s">
        <v>4</v>
      </c>
      <c r="B8" s="461" t="s">
        <v>5</v>
      </c>
      <c r="C8" s="461" t="s">
        <v>560</v>
      </c>
      <c r="D8" s="461" t="s">
        <v>6</v>
      </c>
      <c r="E8" s="461" t="s">
        <v>7</v>
      </c>
      <c r="F8" s="5" t="s">
        <v>8</v>
      </c>
      <c r="G8" s="120" t="s">
        <v>9</v>
      </c>
      <c r="H8" s="120" t="s">
        <v>10</v>
      </c>
    </row>
    <row r="9" spans="1:8" x14ac:dyDescent="0.3">
      <c r="A9" s="503"/>
      <c r="B9" s="462"/>
      <c r="C9" s="503"/>
      <c r="D9" s="462"/>
      <c r="E9" s="468"/>
      <c r="F9" s="120" t="s">
        <v>12</v>
      </c>
      <c r="G9" s="31" t="s">
        <v>12</v>
      </c>
      <c r="H9" s="31" t="s">
        <v>12</v>
      </c>
    </row>
    <row r="10" spans="1:8" x14ac:dyDescent="0.3">
      <c r="A10" s="31">
        <v>1</v>
      </c>
      <c r="B10" s="31">
        <v>2</v>
      </c>
      <c r="C10" s="31">
        <v>3</v>
      </c>
      <c r="D10" s="31">
        <v>4</v>
      </c>
      <c r="E10" s="31">
        <v>5</v>
      </c>
      <c r="F10" s="31">
        <v>6</v>
      </c>
      <c r="G10" s="31">
        <v>7</v>
      </c>
      <c r="H10" s="31">
        <v>8</v>
      </c>
    </row>
    <row r="11" spans="1:8" ht="115.5" x14ac:dyDescent="0.3">
      <c r="A11" s="85">
        <v>1</v>
      </c>
      <c r="B11" s="137" t="s">
        <v>564</v>
      </c>
      <c r="C11" s="132" t="s">
        <v>602</v>
      </c>
      <c r="D11" s="85" t="s">
        <v>14</v>
      </c>
      <c r="E11" s="43">
        <v>3</v>
      </c>
      <c r="F11" s="91">
        <v>49220</v>
      </c>
      <c r="G11" s="91">
        <f>E11*F11</f>
        <v>147660</v>
      </c>
      <c r="H11" s="91">
        <f>E11*8613.5</f>
        <v>25840.5</v>
      </c>
    </row>
    <row r="12" spans="1:8" s="29" customFormat="1" x14ac:dyDescent="0.3">
      <c r="A12" s="514" t="s">
        <v>39</v>
      </c>
      <c r="B12" s="514"/>
      <c r="C12" s="160"/>
      <c r="D12" s="120"/>
      <c r="E12" s="151">
        <f>SUM(E11:E11)</f>
        <v>3</v>
      </c>
      <c r="F12" s="152"/>
      <c r="G12" s="152">
        <f>SUM(G11:G11)</f>
        <v>147660</v>
      </c>
      <c r="H12" s="152">
        <f>SUM(H11:H11)</f>
        <v>25840.5</v>
      </c>
    </row>
    <row r="13" spans="1:8" x14ac:dyDescent="0.3">
      <c r="G13" s="39"/>
    </row>
  </sheetData>
  <mergeCells count="11">
    <mergeCell ref="A12:B12"/>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workbookViewId="0">
      <selection activeCell="G1" sqref="G1:H1"/>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89</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4.25" customHeight="1" x14ac:dyDescent="0.25">
      <c r="A6" s="506" t="s">
        <v>603</v>
      </c>
      <c r="B6" s="506"/>
      <c r="C6" s="506"/>
      <c r="D6" s="506"/>
      <c r="E6" s="506"/>
      <c r="F6" s="506"/>
      <c r="G6" s="506"/>
      <c r="H6" s="506"/>
    </row>
    <row r="7" spans="1:8" x14ac:dyDescent="0.25">
      <c r="D7" s="123"/>
      <c r="E7" s="119"/>
      <c r="F7" s="119"/>
      <c r="G7" s="119"/>
    </row>
    <row r="8" spans="1:8" ht="69" x14ac:dyDescent="0.25">
      <c r="A8" s="461" t="s">
        <v>4</v>
      </c>
      <c r="B8" s="461" t="s">
        <v>5</v>
      </c>
      <c r="C8" s="461" t="s">
        <v>560</v>
      </c>
      <c r="D8" s="461" t="s">
        <v>6</v>
      </c>
      <c r="E8" s="461" t="s">
        <v>7</v>
      </c>
      <c r="F8" s="5" t="s">
        <v>8</v>
      </c>
      <c r="G8" s="120" t="s">
        <v>9</v>
      </c>
      <c r="H8" s="120" t="s">
        <v>10</v>
      </c>
    </row>
    <row r="9" spans="1:8" x14ac:dyDescent="0.25">
      <c r="A9" s="503"/>
      <c r="B9" s="462"/>
      <c r="C9" s="503"/>
      <c r="D9" s="462"/>
      <c r="E9" s="468"/>
      <c r="F9" s="120" t="s">
        <v>12</v>
      </c>
      <c r="G9" s="31" t="s">
        <v>12</v>
      </c>
      <c r="H9" s="31" t="s">
        <v>12</v>
      </c>
    </row>
    <row r="10" spans="1:8" x14ac:dyDescent="0.25">
      <c r="A10" s="31">
        <v>1</v>
      </c>
      <c r="B10" s="31">
        <v>2</v>
      </c>
      <c r="C10" s="31">
        <v>3</v>
      </c>
      <c r="D10" s="31">
        <v>4</v>
      </c>
      <c r="E10" s="31">
        <v>5</v>
      </c>
      <c r="F10" s="31">
        <v>6</v>
      </c>
      <c r="G10" s="31">
        <v>7</v>
      </c>
      <c r="H10" s="31">
        <v>8</v>
      </c>
    </row>
    <row r="11" spans="1:8" ht="132" x14ac:dyDescent="0.25">
      <c r="A11" s="85">
        <v>1</v>
      </c>
      <c r="B11" s="137" t="s">
        <v>564</v>
      </c>
      <c r="C11" s="85" t="s">
        <v>604</v>
      </c>
      <c r="D11" s="85" t="s">
        <v>14</v>
      </c>
      <c r="E11" s="43">
        <v>8</v>
      </c>
      <c r="F11" s="91">
        <v>49220</v>
      </c>
      <c r="G11" s="91">
        <f>E11*F11</f>
        <v>393760</v>
      </c>
      <c r="H11" s="91">
        <f>E11*8613.5</f>
        <v>68908</v>
      </c>
    </row>
    <row r="12" spans="1:8" s="69" customFormat="1" x14ac:dyDescent="0.25">
      <c r="A12" s="514" t="s">
        <v>39</v>
      </c>
      <c r="B12" s="514"/>
      <c r="C12" s="160"/>
      <c r="D12" s="120"/>
      <c r="E12" s="151">
        <f>SUM(E11:E11)</f>
        <v>8</v>
      </c>
      <c r="F12" s="152"/>
      <c r="G12" s="152">
        <f>SUM(G11:G11)</f>
        <v>393760</v>
      </c>
      <c r="H12" s="152">
        <f>SUM(H11:H11)</f>
        <v>68908</v>
      </c>
    </row>
    <row r="13" spans="1:8" x14ac:dyDescent="0.25">
      <c r="G13" s="39"/>
    </row>
  </sheetData>
  <mergeCells count="11">
    <mergeCell ref="A12:B12"/>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3" workbookViewId="0">
      <selection activeCell="A15" sqref="A15"/>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91</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6.5" customHeight="1" x14ac:dyDescent="0.25">
      <c r="A6" s="506" t="s">
        <v>605</v>
      </c>
      <c r="B6" s="506"/>
      <c r="C6" s="506"/>
      <c r="D6" s="506"/>
      <c r="E6" s="506"/>
      <c r="F6" s="506"/>
      <c r="G6" s="506"/>
      <c r="H6" s="506"/>
    </row>
    <row r="7" spans="1:8" x14ac:dyDescent="0.25">
      <c r="D7" s="123"/>
      <c r="E7" s="119"/>
      <c r="F7" s="119"/>
      <c r="G7" s="119"/>
    </row>
    <row r="8" spans="1:8" ht="69" x14ac:dyDescent="0.25">
      <c r="A8" s="461" t="s">
        <v>4</v>
      </c>
      <c r="B8" s="461" t="s">
        <v>5</v>
      </c>
      <c r="C8" s="461" t="s">
        <v>560</v>
      </c>
      <c r="D8" s="461" t="s">
        <v>6</v>
      </c>
      <c r="E8" s="461" t="s">
        <v>7</v>
      </c>
      <c r="F8" s="5" t="s">
        <v>8</v>
      </c>
      <c r="G8" s="120" t="s">
        <v>9</v>
      </c>
      <c r="H8" s="120" t="s">
        <v>10</v>
      </c>
    </row>
    <row r="9" spans="1:8" x14ac:dyDescent="0.25">
      <c r="A9" s="503"/>
      <c r="B9" s="462"/>
      <c r="C9" s="503"/>
      <c r="D9" s="462"/>
      <c r="E9" s="468"/>
      <c r="F9" s="120" t="s">
        <v>12</v>
      </c>
      <c r="G9" s="31" t="s">
        <v>12</v>
      </c>
      <c r="H9" s="31" t="s">
        <v>12</v>
      </c>
    </row>
    <row r="10" spans="1:8" x14ac:dyDescent="0.25">
      <c r="A10" s="31">
        <v>1</v>
      </c>
      <c r="B10" s="31">
        <v>2</v>
      </c>
      <c r="C10" s="31">
        <v>3</v>
      </c>
      <c r="D10" s="31">
        <v>4</v>
      </c>
      <c r="E10" s="31">
        <v>5</v>
      </c>
      <c r="F10" s="31">
        <v>6</v>
      </c>
      <c r="G10" s="31">
        <v>7</v>
      </c>
      <c r="H10" s="31">
        <v>8</v>
      </c>
    </row>
    <row r="11" spans="1:8" ht="66" x14ac:dyDescent="0.25">
      <c r="A11" s="85">
        <v>1</v>
      </c>
      <c r="B11" s="136" t="s">
        <v>606</v>
      </c>
      <c r="C11" s="85" t="s">
        <v>607</v>
      </c>
      <c r="D11" s="85" t="s">
        <v>14</v>
      </c>
      <c r="E11" s="125">
        <v>1</v>
      </c>
      <c r="F11" s="91">
        <v>573000</v>
      </c>
      <c r="G11" s="91">
        <f>E11*F11</f>
        <v>573000</v>
      </c>
      <c r="H11" s="91">
        <f>E11*0</f>
        <v>0</v>
      </c>
    </row>
    <row r="12" spans="1:8" ht="33" x14ac:dyDescent="0.25">
      <c r="A12" s="85">
        <v>2</v>
      </c>
      <c r="B12" s="126" t="s">
        <v>573</v>
      </c>
      <c r="C12" s="132" t="s">
        <v>608</v>
      </c>
      <c r="D12" s="85" t="s">
        <v>14</v>
      </c>
      <c r="E12" s="125">
        <v>1</v>
      </c>
      <c r="F12" s="91">
        <v>55986</v>
      </c>
      <c r="G12" s="91">
        <f>E12*F12</f>
        <v>55986</v>
      </c>
      <c r="H12" s="91">
        <f>E12*0</f>
        <v>0</v>
      </c>
    </row>
    <row r="13" spans="1:8" ht="99" x14ac:dyDescent="0.25">
      <c r="A13" s="85">
        <v>3</v>
      </c>
      <c r="B13" s="136" t="s">
        <v>576</v>
      </c>
      <c r="C13" s="132" t="s">
        <v>609</v>
      </c>
      <c r="D13" s="85" t="s">
        <v>14</v>
      </c>
      <c r="E13" s="125">
        <v>1</v>
      </c>
      <c r="F13" s="91">
        <v>19398</v>
      </c>
      <c r="G13" s="91">
        <f>E13*F13</f>
        <v>19398</v>
      </c>
      <c r="H13" s="91">
        <f>E13*0</f>
        <v>0</v>
      </c>
    </row>
    <row r="14" spans="1:8" ht="132" x14ac:dyDescent="0.25">
      <c r="A14" s="85">
        <v>4</v>
      </c>
      <c r="B14" s="137" t="s">
        <v>564</v>
      </c>
      <c r="C14" s="132" t="s">
        <v>610</v>
      </c>
      <c r="D14" s="85" t="s">
        <v>14</v>
      </c>
      <c r="E14" s="125">
        <v>8</v>
      </c>
      <c r="F14" s="91">
        <v>49220</v>
      </c>
      <c r="G14" s="91">
        <f>E14*F14</f>
        <v>393760</v>
      </c>
      <c r="H14" s="91">
        <f>E14*8613.5</f>
        <v>68908</v>
      </c>
    </row>
    <row r="15" spans="1:8" ht="115.5" x14ac:dyDescent="0.25">
      <c r="A15" s="85">
        <v>5</v>
      </c>
      <c r="B15" s="161" t="s">
        <v>611</v>
      </c>
      <c r="C15" s="132" t="s">
        <v>612</v>
      </c>
      <c r="D15" s="85" t="s">
        <v>14</v>
      </c>
      <c r="E15" s="125">
        <v>1</v>
      </c>
      <c r="F15" s="91">
        <v>276600</v>
      </c>
      <c r="G15" s="91">
        <f>E15*F15</f>
        <v>276600</v>
      </c>
      <c r="H15" s="91">
        <f>E15*0</f>
        <v>0</v>
      </c>
    </row>
    <row r="16" spans="1:8" s="69" customFormat="1" ht="17.25" customHeight="1" x14ac:dyDescent="0.25">
      <c r="A16" s="513" t="s">
        <v>39</v>
      </c>
      <c r="B16" s="513"/>
      <c r="C16" s="77"/>
      <c r="D16" s="82"/>
      <c r="E16" s="78">
        <f>SUM(E11:E15)</f>
        <v>12</v>
      </c>
      <c r="F16" s="86"/>
      <c r="G16" s="86">
        <f>SUM(G11:G15)</f>
        <v>1318744</v>
      </c>
      <c r="H16" s="86">
        <f>SUM(H11:H15)</f>
        <v>68908</v>
      </c>
    </row>
    <row r="17" spans="7:7" x14ac:dyDescent="0.25">
      <c r="G17" s="39"/>
    </row>
  </sheetData>
  <mergeCells count="11">
    <mergeCell ref="A16:B16"/>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opLeftCell="A16" workbookViewId="0">
      <selection activeCell="G1" sqref="G1:H1"/>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93</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1.25" customHeight="1" x14ac:dyDescent="0.25">
      <c r="A6" s="506" t="s">
        <v>613</v>
      </c>
      <c r="B6" s="506"/>
      <c r="C6" s="506"/>
      <c r="D6" s="506"/>
      <c r="E6" s="506"/>
      <c r="F6" s="506"/>
      <c r="G6" s="506"/>
      <c r="H6" s="506"/>
    </row>
    <row r="7" spans="1:8" x14ac:dyDescent="0.25">
      <c r="D7" s="123"/>
      <c r="E7" s="119"/>
      <c r="F7" s="119"/>
      <c r="G7" s="119"/>
    </row>
    <row r="8" spans="1:8" ht="69" x14ac:dyDescent="0.25">
      <c r="A8" s="461" t="s">
        <v>4</v>
      </c>
      <c r="B8" s="461" t="s">
        <v>5</v>
      </c>
      <c r="C8" s="461" t="s">
        <v>560</v>
      </c>
      <c r="D8" s="461" t="s">
        <v>6</v>
      </c>
      <c r="E8" s="461" t="s">
        <v>7</v>
      </c>
      <c r="F8" s="5" t="s">
        <v>8</v>
      </c>
      <c r="G8" s="120" t="s">
        <v>9</v>
      </c>
      <c r="H8" s="120" t="s">
        <v>10</v>
      </c>
    </row>
    <row r="9" spans="1:8" x14ac:dyDescent="0.25">
      <c r="A9" s="503"/>
      <c r="B9" s="462"/>
      <c r="C9" s="503"/>
      <c r="D9" s="462"/>
      <c r="E9" s="468"/>
      <c r="F9" s="120" t="s">
        <v>12</v>
      </c>
      <c r="G9" s="31" t="s">
        <v>12</v>
      </c>
      <c r="H9" s="31" t="s">
        <v>12</v>
      </c>
    </row>
    <row r="10" spans="1:8" x14ac:dyDescent="0.25">
      <c r="A10" s="31">
        <v>1</v>
      </c>
      <c r="B10" s="31">
        <v>2</v>
      </c>
      <c r="C10" s="31">
        <v>3</v>
      </c>
      <c r="D10" s="31">
        <v>4</v>
      </c>
      <c r="E10" s="31">
        <v>5</v>
      </c>
      <c r="F10" s="31">
        <v>6</v>
      </c>
      <c r="G10" s="31">
        <v>7</v>
      </c>
      <c r="H10" s="31">
        <v>8</v>
      </c>
    </row>
    <row r="11" spans="1:8" ht="33" x14ac:dyDescent="0.25">
      <c r="A11" s="85">
        <v>1</v>
      </c>
      <c r="B11" s="126" t="s">
        <v>614</v>
      </c>
      <c r="C11" s="132" t="s">
        <v>615</v>
      </c>
      <c r="D11" s="85" t="s">
        <v>14</v>
      </c>
      <c r="E11" s="125">
        <v>1</v>
      </c>
      <c r="F11" s="91">
        <v>287484</v>
      </c>
      <c r="G11" s="91">
        <f>E11*F11</f>
        <v>287484</v>
      </c>
      <c r="H11" s="91">
        <f>E11*0</f>
        <v>0</v>
      </c>
    </row>
    <row r="12" spans="1:8" ht="33" x14ac:dyDescent="0.25">
      <c r="A12" s="85">
        <v>2</v>
      </c>
      <c r="B12" s="126" t="s">
        <v>573</v>
      </c>
      <c r="C12" s="132" t="s">
        <v>616</v>
      </c>
      <c r="D12" s="85" t="s">
        <v>14</v>
      </c>
      <c r="E12" s="125">
        <v>1</v>
      </c>
      <c r="F12" s="91">
        <v>55986</v>
      </c>
      <c r="G12" s="91">
        <f>E12*F12</f>
        <v>55986</v>
      </c>
      <c r="H12" s="91">
        <f>E12*0</f>
        <v>0</v>
      </c>
    </row>
    <row r="13" spans="1:8" ht="66" x14ac:dyDescent="0.25">
      <c r="A13" s="85">
        <v>3</v>
      </c>
      <c r="B13" s="136" t="s">
        <v>563</v>
      </c>
      <c r="C13" s="132">
        <v>40103711605</v>
      </c>
      <c r="D13" s="85" t="s">
        <v>14</v>
      </c>
      <c r="E13" s="125">
        <v>1</v>
      </c>
      <c r="F13" s="91">
        <v>37452</v>
      </c>
      <c r="G13" s="91">
        <f>E13*F13</f>
        <v>37452</v>
      </c>
      <c r="H13" s="91">
        <f>E13*0</f>
        <v>0</v>
      </c>
    </row>
    <row r="14" spans="1:8" ht="115.5" x14ac:dyDescent="0.25">
      <c r="A14" s="85">
        <v>4</v>
      </c>
      <c r="B14" s="137" t="s">
        <v>564</v>
      </c>
      <c r="C14" s="132" t="s">
        <v>617</v>
      </c>
      <c r="D14" s="85" t="s">
        <v>14</v>
      </c>
      <c r="E14" s="125">
        <v>3</v>
      </c>
      <c r="F14" s="91">
        <v>49220</v>
      </c>
      <c r="G14" s="91">
        <f>E14*F14</f>
        <v>147660</v>
      </c>
      <c r="H14" s="91">
        <f>E14*8613.5</f>
        <v>25840.5</v>
      </c>
    </row>
    <row r="15" spans="1:8" ht="82.5" x14ac:dyDescent="0.25">
      <c r="A15" s="85">
        <v>5</v>
      </c>
      <c r="B15" s="139" t="s">
        <v>579</v>
      </c>
      <c r="C15" s="132">
        <v>3563435568</v>
      </c>
      <c r="D15" s="85" t="s">
        <v>14</v>
      </c>
      <c r="E15" s="125">
        <v>1</v>
      </c>
      <c r="F15" s="91">
        <v>185981</v>
      </c>
      <c r="G15" s="91">
        <f>E15*F15</f>
        <v>185981</v>
      </c>
      <c r="H15" s="91">
        <f>E15*0</f>
        <v>0</v>
      </c>
    </row>
    <row r="16" spans="1:8" s="69" customFormat="1" x14ac:dyDescent="0.25">
      <c r="A16" s="513" t="s">
        <v>39</v>
      </c>
      <c r="B16" s="513"/>
      <c r="C16" s="77"/>
      <c r="D16" s="82"/>
      <c r="E16" s="78">
        <f>SUM(E11:E15)</f>
        <v>7</v>
      </c>
      <c r="F16" s="86"/>
      <c r="G16" s="86">
        <f>SUM(G11:G15)</f>
        <v>714563</v>
      </c>
      <c r="H16" s="86">
        <f>SUM(H11:H15)</f>
        <v>25840.5</v>
      </c>
    </row>
    <row r="17" spans="7:7" x14ac:dyDescent="0.25">
      <c r="G17" s="39"/>
    </row>
  </sheetData>
  <mergeCells count="11">
    <mergeCell ref="A16:B16"/>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topLeftCell="A13" workbookViewId="0">
      <selection activeCell="M20" sqref="M20"/>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92</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1.25" customHeight="1" x14ac:dyDescent="0.25">
      <c r="A6" s="506" t="s">
        <v>618</v>
      </c>
      <c r="B6" s="506"/>
      <c r="C6" s="506"/>
      <c r="D6" s="506"/>
      <c r="E6" s="506"/>
      <c r="F6" s="506"/>
      <c r="G6" s="506"/>
      <c r="H6" s="506"/>
    </row>
    <row r="7" spans="1:8" x14ac:dyDescent="0.25">
      <c r="D7" s="123"/>
      <c r="E7" s="119"/>
      <c r="F7" s="119"/>
      <c r="G7" s="119"/>
    </row>
    <row r="8" spans="1:8" ht="69" x14ac:dyDescent="0.25">
      <c r="A8" s="498" t="s">
        <v>4</v>
      </c>
      <c r="B8" s="498" t="s">
        <v>5</v>
      </c>
      <c r="C8" s="498" t="s">
        <v>560</v>
      </c>
      <c r="D8" s="498" t="s">
        <v>6</v>
      </c>
      <c r="E8" s="498" t="s">
        <v>7</v>
      </c>
      <c r="F8" s="120" t="s">
        <v>8</v>
      </c>
      <c r="G8" s="120" t="s">
        <v>9</v>
      </c>
      <c r="H8" s="120" t="s">
        <v>10</v>
      </c>
    </row>
    <row r="9" spans="1:8" x14ac:dyDescent="0.25">
      <c r="A9" s="498"/>
      <c r="B9" s="498"/>
      <c r="C9" s="498"/>
      <c r="D9" s="498"/>
      <c r="E9" s="498"/>
      <c r="F9" s="120" t="s">
        <v>12</v>
      </c>
      <c r="G9" s="120" t="s">
        <v>12</v>
      </c>
      <c r="H9" s="120" t="s">
        <v>12</v>
      </c>
    </row>
    <row r="10" spans="1:8" x14ac:dyDescent="0.25">
      <c r="A10" s="120">
        <v>1</v>
      </c>
      <c r="B10" s="120">
        <v>2</v>
      </c>
      <c r="C10" s="120">
        <v>3</v>
      </c>
      <c r="D10" s="120">
        <v>4</v>
      </c>
      <c r="E10" s="120">
        <v>5</v>
      </c>
      <c r="F10" s="120">
        <v>6</v>
      </c>
      <c r="G10" s="120">
        <v>7</v>
      </c>
      <c r="H10" s="120">
        <v>8</v>
      </c>
    </row>
    <row r="11" spans="1:8" ht="66" x14ac:dyDescent="0.25">
      <c r="A11" s="85">
        <v>1</v>
      </c>
      <c r="B11" s="136" t="s">
        <v>561</v>
      </c>
      <c r="C11" s="148" t="s">
        <v>619</v>
      </c>
      <c r="D11" s="85" t="s">
        <v>14</v>
      </c>
      <c r="E11" s="125">
        <v>1</v>
      </c>
      <c r="F11" s="91">
        <v>160472</v>
      </c>
      <c r="G11" s="91">
        <f>E11*F11</f>
        <v>160472</v>
      </c>
      <c r="H11" s="91">
        <f>E11*0</f>
        <v>0</v>
      </c>
    </row>
    <row r="12" spans="1:8" ht="66" x14ac:dyDescent="0.25">
      <c r="A12" s="85">
        <v>2</v>
      </c>
      <c r="B12" s="126" t="s">
        <v>620</v>
      </c>
      <c r="C12" s="148" t="s">
        <v>621</v>
      </c>
      <c r="D12" s="85" t="s">
        <v>14</v>
      </c>
      <c r="E12" s="125">
        <v>1</v>
      </c>
      <c r="F12" s="91">
        <v>156400</v>
      </c>
      <c r="G12" s="91">
        <f>E12*F12</f>
        <v>156400</v>
      </c>
      <c r="H12" s="91">
        <f>E12*0</f>
        <v>0</v>
      </c>
    </row>
    <row r="13" spans="1:8" ht="33" customHeight="1" x14ac:dyDescent="0.25">
      <c r="A13" s="85">
        <v>3</v>
      </c>
      <c r="B13" s="126" t="s">
        <v>573</v>
      </c>
      <c r="C13" s="132" t="s">
        <v>622</v>
      </c>
      <c r="D13" s="85" t="s">
        <v>14</v>
      </c>
      <c r="E13" s="125">
        <v>1</v>
      </c>
      <c r="F13" s="91">
        <v>55986</v>
      </c>
      <c r="G13" s="91">
        <f>E13*F13</f>
        <v>55986</v>
      </c>
      <c r="H13" s="91">
        <f>E13*0</f>
        <v>0</v>
      </c>
    </row>
    <row r="14" spans="1:8" ht="115.5" x14ac:dyDescent="0.25">
      <c r="A14" s="415">
        <v>4</v>
      </c>
      <c r="B14" s="427" t="s">
        <v>564</v>
      </c>
      <c r="C14" s="422" t="s">
        <v>623</v>
      </c>
      <c r="D14" s="415" t="s">
        <v>14</v>
      </c>
      <c r="E14" s="419">
        <v>5</v>
      </c>
      <c r="F14" s="413">
        <v>49220</v>
      </c>
      <c r="G14" s="413">
        <f>E14*F14</f>
        <v>246100</v>
      </c>
      <c r="H14" s="413">
        <f>E14*8613.5</f>
        <v>43067.5</v>
      </c>
    </row>
    <row r="15" spans="1:8" ht="66" x14ac:dyDescent="0.25">
      <c r="A15" s="406">
        <v>5</v>
      </c>
      <c r="B15" s="428" t="s">
        <v>1330</v>
      </c>
      <c r="C15" s="429" t="s">
        <v>1331</v>
      </c>
      <c r="D15" s="429" t="s">
        <v>14</v>
      </c>
      <c r="E15" s="430">
        <v>2</v>
      </c>
      <c r="F15" s="431">
        <v>385011.95</v>
      </c>
      <c r="G15" s="431">
        <f t="shared" ref="G15:G22" si="0">E15*F15</f>
        <v>770023.9</v>
      </c>
      <c r="H15" s="431">
        <v>38501.195</v>
      </c>
    </row>
    <row r="16" spans="1:8" ht="33" x14ac:dyDescent="0.25">
      <c r="A16" s="406">
        <v>6</v>
      </c>
      <c r="B16" s="428" t="s">
        <v>1332</v>
      </c>
      <c r="C16" s="429" t="s">
        <v>1333</v>
      </c>
      <c r="D16" s="429" t="s">
        <v>14</v>
      </c>
      <c r="E16" s="430">
        <v>2</v>
      </c>
      <c r="F16" s="431">
        <v>287484</v>
      </c>
      <c r="G16" s="431">
        <f t="shared" si="0"/>
        <v>574968</v>
      </c>
      <c r="H16" s="431">
        <v>0</v>
      </c>
    </row>
    <row r="17" spans="1:8" ht="66" x14ac:dyDescent="0.25">
      <c r="A17" s="406">
        <v>7</v>
      </c>
      <c r="B17" s="428" t="s">
        <v>1334</v>
      </c>
      <c r="C17" s="429" t="s">
        <v>1335</v>
      </c>
      <c r="D17" s="429" t="s">
        <v>14</v>
      </c>
      <c r="E17" s="430">
        <v>4</v>
      </c>
      <c r="F17" s="431">
        <v>41700</v>
      </c>
      <c r="G17" s="431">
        <f t="shared" si="0"/>
        <v>166800</v>
      </c>
      <c r="H17" s="431">
        <v>0</v>
      </c>
    </row>
    <row r="18" spans="1:8" x14ac:dyDescent="0.25">
      <c r="A18" s="406">
        <v>8</v>
      </c>
      <c r="B18" s="428" t="s">
        <v>1325</v>
      </c>
      <c r="C18" s="429" t="s">
        <v>1326</v>
      </c>
      <c r="D18" s="429" t="s">
        <v>14</v>
      </c>
      <c r="E18" s="430">
        <v>1</v>
      </c>
      <c r="F18" s="431">
        <v>98600</v>
      </c>
      <c r="G18" s="431">
        <f t="shared" si="0"/>
        <v>98600</v>
      </c>
      <c r="H18" s="431">
        <f>E18*0</f>
        <v>0</v>
      </c>
    </row>
    <row r="19" spans="1:8" ht="33" x14ac:dyDescent="0.25">
      <c r="A19" s="406">
        <v>9</v>
      </c>
      <c r="B19" s="432" t="s">
        <v>1327</v>
      </c>
      <c r="C19" s="429" t="s">
        <v>1328</v>
      </c>
      <c r="D19" s="429" t="s">
        <v>14</v>
      </c>
      <c r="E19" s="430">
        <v>1</v>
      </c>
      <c r="F19" s="431">
        <v>74160</v>
      </c>
      <c r="G19" s="431">
        <f t="shared" si="0"/>
        <v>74160</v>
      </c>
      <c r="H19" s="431">
        <v>0</v>
      </c>
    </row>
    <row r="20" spans="1:8" ht="33" x14ac:dyDescent="0.25">
      <c r="A20" s="406">
        <v>10</v>
      </c>
      <c r="B20" s="433" t="s">
        <v>573</v>
      </c>
      <c r="C20" s="429" t="s">
        <v>1329</v>
      </c>
      <c r="D20" s="429" t="s">
        <v>14</v>
      </c>
      <c r="E20" s="430">
        <v>2</v>
      </c>
      <c r="F20" s="431">
        <v>55986</v>
      </c>
      <c r="G20" s="431">
        <f t="shared" si="0"/>
        <v>111972</v>
      </c>
      <c r="H20" s="431">
        <f>E20*0</f>
        <v>0</v>
      </c>
    </row>
    <row r="21" spans="1:8" ht="49.5" x14ac:dyDescent="0.25">
      <c r="A21" s="406">
        <v>11</v>
      </c>
      <c r="B21" s="434" t="s">
        <v>1336</v>
      </c>
      <c r="C21" s="429">
        <v>3552950614</v>
      </c>
      <c r="D21" s="429" t="s">
        <v>14</v>
      </c>
      <c r="E21" s="430">
        <v>1</v>
      </c>
      <c r="F21" s="431">
        <v>185981</v>
      </c>
      <c r="G21" s="431">
        <f t="shared" si="0"/>
        <v>185981</v>
      </c>
      <c r="H21" s="431">
        <v>0</v>
      </c>
    </row>
    <row r="22" spans="1:8" ht="66" x14ac:dyDescent="0.25">
      <c r="A22" s="406">
        <v>12</v>
      </c>
      <c r="B22" s="434" t="s">
        <v>1337</v>
      </c>
      <c r="C22" s="429" t="s">
        <v>1338</v>
      </c>
      <c r="D22" s="429" t="s">
        <v>14</v>
      </c>
      <c r="E22" s="430">
        <v>1</v>
      </c>
      <c r="F22" s="431">
        <v>554550</v>
      </c>
      <c r="G22" s="431">
        <f t="shared" si="0"/>
        <v>554550</v>
      </c>
      <c r="H22" s="431">
        <v>0</v>
      </c>
    </row>
    <row r="23" spans="1:8" s="69" customFormat="1" ht="22.5" customHeight="1" x14ac:dyDescent="0.25">
      <c r="A23" s="513" t="s">
        <v>39</v>
      </c>
      <c r="B23" s="513"/>
      <c r="C23" s="77"/>
      <c r="D23" s="411"/>
      <c r="E23" s="78">
        <f>SUM(E11:E22)</f>
        <v>22</v>
      </c>
      <c r="F23" s="78"/>
      <c r="G23" s="87">
        <f t="shared" ref="G23:H23" si="1">SUM(G11:G22)</f>
        <v>3156012.9</v>
      </c>
      <c r="H23" s="87">
        <f t="shared" si="1"/>
        <v>81568.695000000007</v>
      </c>
    </row>
    <row r="24" spans="1:8" x14ac:dyDescent="0.25">
      <c r="G24" s="39"/>
    </row>
  </sheetData>
  <mergeCells count="11">
    <mergeCell ref="A23:B23"/>
    <mergeCell ref="C8:C9"/>
    <mergeCell ref="D8:D9"/>
    <mergeCell ref="E8:E9"/>
    <mergeCell ref="G1:H1"/>
    <mergeCell ref="E2:H2"/>
    <mergeCell ref="E3:H3"/>
    <mergeCell ref="A5:H5"/>
    <mergeCell ref="A6:H6"/>
    <mergeCell ref="A8:A9"/>
    <mergeCell ref="B8:B9"/>
  </mergeCells>
  <pageMargins left="0" right="0" top="0" bottom="0" header="0" footer="0"/>
  <pageSetup paperSize="9" scale="8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opLeftCell="A40" workbookViewId="0">
      <selection activeCell="G1" sqref="G1:H1"/>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8.5703125" style="122" customWidth="1"/>
    <col min="9" max="16384" width="9.140625" style="122"/>
  </cols>
  <sheetData>
    <row r="1" spans="1:8" x14ac:dyDescent="0.25">
      <c r="E1" s="119"/>
      <c r="F1" s="119"/>
      <c r="G1" s="465" t="s">
        <v>94</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3.5" customHeight="1" x14ac:dyDescent="0.25">
      <c r="A6" s="506" t="s">
        <v>649</v>
      </c>
      <c r="B6" s="506"/>
      <c r="C6" s="506"/>
      <c r="D6" s="506"/>
      <c r="E6" s="506"/>
      <c r="F6" s="506"/>
      <c r="G6" s="506"/>
      <c r="H6" s="506"/>
    </row>
    <row r="7" spans="1:8" x14ac:dyDescent="0.25">
      <c r="D7" s="123"/>
      <c r="E7" s="119"/>
      <c r="F7" s="119"/>
      <c r="G7" s="119"/>
    </row>
    <row r="8" spans="1:8" ht="75" customHeight="1" x14ac:dyDescent="0.25">
      <c r="A8" s="498" t="s">
        <v>4</v>
      </c>
      <c r="B8" s="498" t="s">
        <v>5</v>
      </c>
      <c r="C8" s="498" t="s">
        <v>560</v>
      </c>
      <c r="D8" s="498" t="s">
        <v>6</v>
      </c>
      <c r="E8" s="498" t="s">
        <v>7</v>
      </c>
      <c r="F8" s="120" t="s">
        <v>8</v>
      </c>
      <c r="G8" s="120" t="s">
        <v>9</v>
      </c>
      <c r="H8" s="120" t="s">
        <v>10</v>
      </c>
    </row>
    <row r="9" spans="1:8" ht="22.5" customHeight="1" x14ac:dyDescent="0.25">
      <c r="A9" s="498"/>
      <c r="B9" s="498"/>
      <c r="C9" s="498"/>
      <c r="D9" s="498"/>
      <c r="E9" s="498"/>
      <c r="F9" s="120" t="s">
        <v>12</v>
      </c>
      <c r="G9" s="120" t="s">
        <v>12</v>
      </c>
      <c r="H9" s="120" t="s">
        <v>12</v>
      </c>
    </row>
    <row r="10" spans="1:8" x14ac:dyDescent="0.25">
      <c r="A10" s="120">
        <v>1</v>
      </c>
      <c r="B10" s="120">
        <v>2</v>
      </c>
      <c r="C10" s="120">
        <v>3</v>
      </c>
      <c r="D10" s="120">
        <v>4</v>
      </c>
      <c r="E10" s="120">
        <v>5</v>
      </c>
      <c r="F10" s="120">
        <v>6</v>
      </c>
      <c r="G10" s="120">
        <v>7</v>
      </c>
      <c r="H10" s="120">
        <v>8</v>
      </c>
    </row>
    <row r="11" spans="1:8" ht="17.25" customHeight="1" x14ac:dyDescent="0.25">
      <c r="A11" s="497" t="s">
        <v>567</v>
      </c>
      <c r="B11" s="497"/>
      <c r="C11" s="497"/>
      <c r="D11" s="497"/>
      <c r="E11" s="497"/>
      <c r="F11" s="497"/>
      <c r="G11" s="497"/>
      <c r="H11" s="497"/>
    </row>
    <row r="12" spans="1:8" ht="206.25" customHeight="1" x14ac:dyDescent="0.25">
      <c r="A12" s="415">
        <v>1</v>
      </c>
      <c r="B12" s="435" t="s">
        <v>624</v>
      </c>
      <c r="C12" s="417" t="s">
        <v>625</v>
      </c>
      <c r="D12" s="415" t="s">
        <v>14</v>
      </c>
      <c r="E12" s="436">
        <v>12</v>
      </c>
      <c r="F12" s="413">
        <v>49220</v>
      </c>
      <c r="G12" s="413">
        <f>E12*F12</f>
        <v>590640</v>
      </c>
      <c r="H12" s="413">
        <f>E12*8613.5</f>
        <v>103362</v>
      </c>
    </row>
    <row r="13" spans="1:8" ht="66" x14ac:dyDescent="0.25">
      <c r="A13" s="429">
        <v>2</v>
      </c>
      <c r="B13" s="434" t="s">
        <v>1339</v>
      </c>
      <c r="C13" s="429" t="s">
        <v>1340</v>
      </c>
      <c r="D13" s="429" t="s">
        <v>14</v>
      </c>
      <c r="E13" s="438">
        <v>2</v>
      </c>
      <c r="F13" s="431">
        <v>620550</v>
      </c>
      <c r="G13" s="431">
        <f>E13*F13</f>
        <v>1241100</v>
      </c>
      <c r="H13" s="431">
        <v>0</v>
      </c>
    </row>
    <row r="14" spans="1:8" ht="49.5" x14ac:dyDescent="0.25">
      <c r="A14" s="429">
        <v>3</v>
      </c>
      <c r="B14" s="434" t="s">
        <v>1341</v>
      </c>
      <c r="C14" s="429" t="s">
        <v>1342</v>
      </c>
      <c r="D14" s="429" t="s">
        <v>14</v>
      </c>
      <c r="E14" s="438">
        <v>1</v>
      </c>
      <c r="F14" s="431">
        <v>148026</v>
      </c>
      <c r="G14" s="431">
        <f>E14*F14</f>
        <v>148026</v>
      </c>
      <c r="H14" s="431">
        <v>0</v>
      </c>
    </row>
    <row r="15" spans="1:8" ht="66" x14ac:dyDescent="0.25">
      <c r="A15" s="415">
        <v>4</v>
      </c>
      <c r="B15" s="428" t="s">
        <v>1334</v>
      </c>
      <c r="C15" s="429" t="s">
        <v>1343</v>
      </c>
      <c r="D15" s="429" t="s">
        <v>14</v>
      </c>
      <c r="E15" s="438">
        <v>2</v>
      </c>
      <c r="F15" s="431">
        <v>41700</v>
      </c>
      <c r="G15" s="431">
        <f t="shared" ref="G15:G16" si="0">E15*F15</f>
        <v>83400</v>
      </c>
      <c r="H15" s="431">
        <v>0</v>
      </c>
    </row>
    <row r="16" spans="1:8" ht="99" x14ac:dyDescent="0.25">
      <c r="A16" s="429">
        <v>5</v>
      </c>
      <c r="B16" s="428" t="s">
        <v>1344</v>
      </c>
      <c r="C16" s="429">
        <v>40102041605</v>
      </c>
      <c r="D16" s="429" t="s">
        <v>14</v>
      </c>
      <c r="E16" s="438">
        <v>1</v>
      </c>
      <c r="F16" s="431">
        <v>41700</v>
      </c>
      <c r="G16" s="431">
        <f t="shared" si="0"/>
        <v>41700</v>
      </c>
      <c r="H16" s="431">
        <v>0</v>
      </c>
    </row>
    <row r="17" spans="1:8" ht="49.5" x14ac:dyDescent="0.25">
      <c r="A17" s="429">
        <v>6</v>
      </c>
      <c r="B17" s="433" t="s">
        <v>573</v>
      </c>
      <c r="C17" s="429" t="s">
        <v>1345</v>
      </c>
      <c r="D17" s="429" t="s">
        <v>14</v>
      </c>
      <c r="E17" s="430">
        <v>3</v>
      </c>
      <c r="F17" s="431">
        <v>55986</v>
      </c>
      <c r="G17" s="431">
        <f>E17*F17</f>
        <v>167958</v>
      </c>
      <c r="H17" s="431">
        <f>E17*0</f>
        <v>0</v>
      </c>
    </row>
    <row r="18" spans="1:8" ht="66" x14ac:dyDescent="0.25">
      <c r="A18" s="415">
        <v>7</v>
      </c>
      <c r="B18" s="433" t="s">
        <v>1346</v>
      </c>
      <c r="C18" s="429" t="s">
        <v>1347</v>
      </c>
      <c r="D18" s="429" t="s">
        <v>14</v>
      </c>
      <c r="E18" s="430">
        <v>3</v>
      </c>
      <c r="F18" s="431">
        <v>554550</v>
      </c>
      <c r="G18" s="431">
        <f>E18*F18</f>
        <v>1663650</v>
      </c>
      <c r="H18" s="431">
        <f>E18*0</f>
        <v>0</v>
      </c>
    </row>
    <row r="19" spans="1:8" x14ac:dyDescent="0.25">
      <c r="A19" s="509" t="s">
        <v>39</v>
      </c>
      <c r="B19" s="509"/>
      <c r="C19" s="418"/>
      <c r="D19" s="416"/>
      <c r="E19" s="437">
        <f>SUM(E12:E18)</f>
        <v>24</v>
      </c>
      <c r="F19" s="437"/>
      <c r="G19" s="439">
        <f t="shared" ref="G19:H19" si="1">SUM(G12:G18)</f>
        <v>3936474</v>
      </c>
      <c r="H19" s="439">
        <f t="shared" si="1"/>
        <v>103362</v>
      </c>
    </row>
    <row r="20" spans="1:8" ht="18.75" customHeight="1" x14ac:dyDescent="0.25">
      <c r="A20" s="515" t="s">
        <v>626</v>
      </c>
      <c r="B20" s="515"/>
      <c r="C20" s="515"/>
      <c r="D20" s="515"/>
      <c r="E20" s="515"/>
      <c r="F20" s="515"/>
      <c r="G20" s="515"/>
      <c r="H20" s="515"/>
    </row>
    <row r="21" spans="1:8" ht="49.5" customHeight="1" x14ac:dyDescent="0.25">
      <c r="A21" s="85">
        <v>2</v>
      </c>
      <c r="B21" s="126" t="s">
        <v>627</v>
      </c>
      <c r="C21" s="17"/>
      <c r="D21" s="85" t="s">
        <v>14</v>
      </c>
      <c r="E21" s="148">
        <v>1</v>
      </c>
      <c r="F21" s="91">
        <v>14200</v>
      </c>
      <c r="G21" s="91">
        <f t="shared" ref="G21:G43" si="2">E21*F21</f>
        <v>14200</v>
      </c>
      <c r="H21" s="91">
        <f>E21*0</f>
        <v>0</v>
      </c>
    </row>
    <row r="22" spans="1:8" ht="66" x14ac:dyDescent="0.25">
      <c r="A22" s="85">
        <v>3</v>
      </c>
      <c r="B22" s="126" t="s">
        <v>628</v>
      </c>
      <c r="C22" s="17"/>
      <c r="D22" s="85" t="s">
        <v>14</v>
      </c>
      <c r="E22" s="148">
        <v>1</v>
      </c>
      <c r="F22" s="91">
        <v>5000</v>
      </c>
      <c r="G22" s="91">
        <f t="shared" si="2"/>
        <v>5000</v>
      </c>
      <c r="H22" s="91">
        <f t="shared" ref="H22:H43" si="3">E22*0</f>
        <v>0</v>
      </c>
    </row>
    <row r="23" spans="1:8" ht="66" x14ac:dyDescent="0.25">
      <c r="A23" s="85">
        <v>4</v>
      </c>
      <c r="B23" s="126" t="s">
        <v>629</v>
      </c>
      <c r="C23" s="17"/>
      <c r="D23" s="85" t="s">
        <v>14</v>
      </c>
      <c r="E23" s="148">
        <v>1</v>
      </c>
      <c r="F23" s="91">
        <v>6000</v>
      </c>
      <c r="G23" s="91">
        <f t="shared" si="2"/>
        <v>6000</v>
      </c>
      <c r="H23" s="91">
        <f t="shared" si="3"/>
        <v>0</v>
      </c>
    </row>
    <row r="24" spans="1:8" s="69" customFormat="1" ht="49.5" x14ac:dyDescent="0.25">
      <c r="A24" s="85">
        <v>5</v>
      </c>
      <c r="B24" s="126" t="s">
        <v>630</v>
      </c>
      <c r="C24" s="94"/>
      <c r="D24" s="85" t="s">
        <v>14</v>
      </c>
      <c r="E24" s="148">
        <v>1</v>
      </c>
      <c r="F24" s="91">
        <v>50113</v>
      </c>
      <c r="G24" s="91">
        <f t="shared" si="2"/>
        <v>50113</v>
      </c>
      <c r="H24" s="91">
        <f t="shared" si="3"/>
        <v>0</v>
      </c>
    </row>
    <row r="25" spans="1:8" ht="33" x14ac:dyDescent="0.25">
      <c r="A25" s="85">
        <v>6</v>
      </c>
      <c r="B25" s="126" t="s">
        <v>631</v>
      </c>
      <c r="C25" s="163"/>
      <c r="D25" s="85" t="s">
        <v>14</v>
      </c>
      <c r="E25" s="148">
        <v>1</v>
      </c>
      <c r="F25" s="91">
        <v>3000</v>
      </c>
      <c r="G25" s="91">
        <f t="shared" si="2"/>
        <v>3000</v>
      </c>
      <c r="H25" s="91">
        <f t="shared" si="3"/>
        <v>0</v>
      </c>
    </row>
    <row r="26" spans="1:8" ht="49.5" x14ac:dyDescent="0.25">
      <c r="A26" s="85">
        <v>7</v>
      </c>
      <c r="B26" s="126" t="s">
        <v>632</v>
      </c>
      <c r="C26" s="163"/>
      <c r="D26" s="85" t="s">
        <v>14</v>
      </c>
      <c r="E26" s="148">
        <v>1</v>
      </c>
      <c r="F26" s="91">
        <v>6000</v>
      </c>
      <c r="G26" s="91">
        <f t="shared" si="2"/>
        <v>6000</v>
      </c>
      <c r="H26" s="91">
        <f t="shared" si="3"/>
        <v>0</v>
      </c>
    </row>
    <row r="27" spans="1:8" ht="33" x14ac:dyDescent="0.25">
      <c r="A27" s="85">
        <v>8</v>
      </c>
      <c r="B27" s="126" t="s">
        <v>633</v>
      </c>
      <c r="C27" s="163"/>
      <c r="D27" s="85" t="s">
        <v>14</v>
      </c>
      <c r="E27" s="148">
        <v>2</v>
      </c>
      <c r="F27" s="91">
        <v>57250</v>
      </c>
      <c r="G27" s="91">
        <f t="shared" si="2"/>
        <v>114500</v>
      </c>
      <c r="H27" s="91">
        <f t="shared" si="3"/>
        <v>0</v>
      </c>
    </row>
    <row r="28" spans="1:8" ht="99" x14ac:dyDescent="0.25">
      <c r="A28" s="85">
        <v>9</v>
      </c>
      <c r="B28" s="126" t="s">
        <v>634</v>
      </c>
      <c r="C28" s="163"/>
      <c r="D28" s="85" t="s">
        <v>14</v>
      </c>
      <c r="E28" s="148">
        <v>1</v>
      </c>
      <c r="F28" s="164">
        <v>104882</v>
      </c>
      <c r="G28" s="91">
        <f t="shared" si="2"/>
        <v>104882</v>
      </c>
      <c r="H28" s="91">
        <f t="shared" si="3"/>
        <v>0</v>
      </c>
    </row>
    <row r="29" spans="1:8" ht="82.5" x14ac:dyDescent="0.25">
      <c r="A29" s="85">
        <v>10</v>
      </c>
      <c r="B29" s="126" t="s">
        <v>635</v>
      </c>
      <c r="C29" s="163"/>
      <c r="D29" s="85" t="s">
        <v>14</v>
      </c>
      <c r="E29" s="148">
        <v>1</v>
      </c>
      <c r="F29" s="164">
        <v>980</v>
      </c>
      <c r="G29" s="91">
        <f t="shared" si="2"/>
        <v>980</v>
      </c>
      <c r="H29" s="91">
        <f t="shared" si="3"/>
        <v>0</v>
      </c>
    </row>
    <row r="30" spans="1:8" ht="33" x14ac:dyDescent="0.25">
      <c r="A30" s="85">
        <v>11</v>
      </c>
      <c r="B30" s="126" t="s">
        <v>636</v>
      </c>
      <c r="C30" s="163"/>
      <c r="D30" s="85" t="s">
        <v>14</v>
      </c>
      <c r="E30" s="148">
        <v>1</v>
      </c>
      <c r="F30" s="164">
        <v>7500</v>
      </c>
      <c r="G30" s="91">
        <f t="shared" si="2"/>
        <v>7500</v>
      </c>
      <c r="H30" s="91">
        <f>E30*7500</f>
        <v>7500</v>
      </c>
    </row>
    <row r="31" spans="1:8" ht="66" x14ac:dyDescent="0.25">
      <c r="A31" s="85">
        <v>12</v>
      </c>
      <c r="B31" s="126" t="s">
        <v>637</v>
      </c>
      <c r="C31" s="163"/>
      <c r="D31" s="85" t="s">
        <v>14</v>
      </c>
      <c r="E31" s="148">
        <v>1</v>
      </c>
      <c r="F31" s="164">
        <v>4654</v>
      </c>
      <c r="G31" s="91">
        <f t="shared" si="2"/>
        <v>4654</v>
      </c>
      <c r="H31" s="91">
        <f t="shared" si="3"/>
        <v>0</v>
      </c>
    </row>
    <row r="32" spans="1:8" x14ac:dyDescent="0.25">
      <c r="A32" s="85">
        <v>13</v>
      </c>
      <c r="B32" s="126" t="s">
        <v>182</v>
      </c>
      <c r="C32" s="163"/>
      <c r="D32" s="85" t="s">
        <v>14</v>
      </c>
      <c r="E32" s="148">
        <v>1</v>
      </c>
      <c r="F32" s="164">
        <v>115000</v>
      </c>
      <c r="G32" s="91">
        <f t="shared" si="2"/>
        <v>115000</v>
      </c>
      <c r="H32" s="91">
        <f t="shared" si="3"/>
        <v>0</v>
      </c>
    </row>
    <row r="33" spans="1:8" ht="66" x14ac:dyDescent="0.25">
      <c r="A33" s="85">
        <v>14</v>
      </c>
      <c r="B33" s="126" t="s">
        <v>638</v>
      </c>
      <c r="C33" s="163"/>
      <c r="D33" s="85" t="s">
        <v>14</v>
      </c>
      <c r="E33" s="148">
        <v>3</v>
      </c>
      <c r="F33" s="164">
        <v>1370</v>
      </c>
      <c r="G33" s="91">
        <f t="shared" si="2"/>
        <v>4110</v>
      </c>
      <c r="H33" s="91">
        <f t="shared" si="3"/>
        <v>0</v>
      </c>
    </row>
    <row r="34" spans="1:8" ht="33" x14ac:dyDescent="0.25">
      <c r="A34" s="85">
        <v>15</v>
      </c>
      <c r="B34" s="126" t="s">
        <v>639</v>
      </c>
      <c r="C34" s="163"/>
      <c r="D34" s="85" t="s">
        <v>14</v>
      </c>
      <c r="E34" s="141">
        <v>1</v>
      </c>
      <c r="F34" s="164">
        <v>3000</v>
      </c>
      <c r="G34" s="91">
        <f t="shared" si="2"/>
        <v>3000</v>
      </c>
      <c r="H34" s="91">
        <f t="shared" si="3"/>
        <v>0</v>
      </c>
    </row>
    <row r="35" spans="1:8" ht="82.5" x14ac:dyDescent="0.25">
      <c r="A35" s="85">
        <v>16</v>
      </c>
      <c r="B35" s="126" t="s">
        <v>640</v>
      </c>
      <c r="C35" s="163"/>
      <c r="D35" s="85" t="s">
        <v>14</v>
      </c>
      <c r="E35" s="141">
        <v>1</v>
      </c>
      <c r="F35" s="164">
        <v>90000</v>
      </c>
      <c r="G35" s="91">
        <f t="shared" si="2"/>
        <v>90000</v>
      </c>
      <c r="H35" s="91">
        <f t="shared" si="3"/>
        <v>0</v>
      </c>
    </row>
    <row r="36" spans="1:8" ht="49.5" x14ac:dyDescent="0.25">
      <c r="A36" s="85">
        <v>17</v>
      </c>
      <c r="B36" s="126" t="s">
        <v>641</v>
      </c>
      <c r="C36" s="163"/>
      <c r="D36" s="85" t="s">
        <v>14</v>
      </c>
      <c r="E36" s="141">
        <v>1</v>
      </c>
      <c r="F36" s="164">
        <v>80000</v>
      </c>
      <c r="G36" s="91">
        <f t="shared" si="2"/>
        <v>80000</v>
      </c>
      <c r="H36" s="91">
        <f t="shared" si="3"/>
        <v>0</v>
      </c>
    </row>
    <row r="37" spans="1:8" ht="82.5" x14ac:dyDescent="0.25">
      <c r="A37" s="85">
        <v>18</v>
      </c>
      <c r="B37" s="126" t="s">
        <v>642</v>
      </c>
      <c r="C37" s="163"/>
      <c r="D37" s="85" t="s">
        <v>14</v>
      </c>
      <c r="E37" s="141">
        <v>1</v>
      </c>
      <c r="F37" s="164">
        <v>4200</v>
      </c>
      <c r="G37" s="91">
        <f t="shared" si="2"/>
        <v>4200</v>
      </c>
      <c r="H37" s="91">
        <f>E37*4200</f>
        <v>4200</v>
      </c>
    </row>
    <row r="38" spans="1:8" ht="33" x14ac:dyDescent="0.25">
      <c r="A38" s="85">
        <v>19</v>
      </c>
      <c r="B38" s="126" t="s">
        <v>643</v>
      </c>
      <c r="C38" s="163"/>
      <c r="D38" s="85" t="s">
        <v>14</v>
      </c>
      <c r="E38" s="141">
        <v>15</v>
      </c>
      <c r="F38" s="164">
        <v>312000</v>
      </c>
      <c r="G38" s="91">
        <f t="shared" si="2"/>
        <v>4680000</v>
      </c>
      <c r="H38" s="91">
        <f t="shared" si="3"/>
        <v>0</v>
      </c>
    </row>
    <row r="39" spans="1:8" ht="66" x14ac:dyDescent="0.25">
      <c r="A39" s="85">
        <v>20</v>
      </c>
      <c r="B39" s="126" t="s">
        <v>644</v>
      </c>
      <c r="C39" s="163"/>
      <c r="D39" s="85" t="s">
        <v>14</v>
      </c>
      <c r="E39" s="141">
        <v>2</v>
      </c>
      <c r="F39" s="164">
        <v>274560</v>
      </c>
      <c r="G39" s="91">
        <f t="shared" si="2"/>
        <v>549120</v>
      </c>
      <c r="H39" s="91">
        <f t="shared" si="3"/>
        <v>0</v>
      </c>
    </row>
    <row r="40" spans="1:8" ht="49.5" x14ac:dyDescent="0.25">
      <c r="A40" s="85">
        <v>21</v>
      </c>
      <c r="B40" s="126" t="s">
        <v>645</v>
      </c>
      <c r="C40" s="163"/>
      <c r="D40" s="85" t="s">
        <v>14</v>
      </c>
      <c r="E40" s="148">
        <v>1</v>
      </c>
      <c r="F40" s="164">
        <v>249600</v>
      </c>
      <c r="G40" s="91">
        <f t="shared" si="2"/>
        <v>249600</v>
      </c>
      <c r="H40" s="91">
        <f t="shared" si="3"/>
        <v>0</v>
      </c>
    </row>
    <row r="41" spans="1:8" x14ac:dyDescent="0.25">
      <c r="A41" s="85">
        <v>22</v>
      </c>
      <c r="B41" s="126" t="s">
        <v>646</v>
      </c>
      <c r="C41" s="163"/>
      <c r="D41" s="85" t="s">
        <v>14</v>
      </c>
      <c r="E41" s="148">
        <v>2</v>
      </c>
      <c r="F41" s="164">
        <v>60000</v>
      </c>
      <c r="G41" s="91">
        <f t="shared" si="2"/>
        <v>120000</v>
      </c>
      <c r="H41" s="91">
        <f t="shared" si="3"/>
        <v>0</v>
      </c>
    </row>
    <row r="42" spans="1:8" x14ac:dyDescent="0.25">
      <c r="A42" s="85">
        <v>23</v>
      </c>
      <c r="B42" s="126" t="s">
        <v>647</v>
      </c>
      <c r="C42" s="163"/>
      <c r="D42" s="85" t="s">
        <v>14</v>
      </c>
      <c r="E42" s="148">
        <v>1</v>
      </c>
      <c r="F42" s="164">
        <v>60000</v>
      </c>
      <c r="G42" s="91">
        <f t="shared" si="2"/>
        <v>60000</v>
      </c>
      <c r="H42" s="91">
        <f t="shared" si="3"/>
        <v>0</v>
      </c>
    </row>
    <row r="43" spans="1:8" ht="49.5" x14ac:dyDescent="0.25">
      <c r="A43" s="85">
        <v>24</v>
      </c>
      <c r="B43" s="126" t="s">
        <v>648</v>
      </c>
      <c r="C43" s="163"/>
      <c r="D43" s="85" t="s">
        <v>14</v>
      </c>
      <c r="E43" s="141">
        <v>1</v>
      </c>
      <c r="F43" s="164">
        <v>403200</v>
      </c>
      <c r="G43" s="91">
        <f t="shared" si="2"/>
        <v>403200</v>
      </c>
      <c r="H43" s="91">
        <f t="shared" si="3"/>
        <v>0</v>
      </c>
    </row>
    <row r="44" spans="1:8" s="69" customFormat="1" x14ac:dyDescent="0.25">
      <c r="A44" s="513" t="s">
        <v>39</v>
      </c>
      <c r="B44" s="513"/>
      <c r="C44" s="168"/>
      <c r="D44" s="168"/>
      <c r="E44" s="92">
        <f>SUM(E21:E43)</f>
        <v>42</v>
      </c>
      <c r="F44" s="169"/>
      <c r="G44" s="169">
        <f>SUM(G21:G43)</f>
        <v>6675059</v>
      </c>
      <c r="H44" s="169">
        <f>SUM(H21:H43)</f>
        <v>11700</v>
      </c>
    </row>
    <row r="45" spans="1:8" s="69" customFormat="1" ht="18.75" x14ac:dyDescent="0.25">
      <c r="A45" s="507" t="s">
        <v>590</v>
      </c>
      <c r="B45" s="508"/>
      <c r="C45" s="165"/>
      <c r="D45" s="165"/>
      <c r="E45" s="166">
        <f>E44+E19</f>
        <v>66</v>
      </c>
      <c r="F45" s="166"/>
      <c r="G45" s="440">
        <f t="shared" ref="G45:H45" si="4">G44+G19</f>
        <v>10611533</v>
      </c>
      <c r="H45" s="440">
        <f t="shared" si="4"/>
        <v>115062</v>
      </c>
    </row>
  </sheetData>
  <mergeCells count="15">
    <mergeCell ref="A45:B45"/>
    <mergeCell ref="A11:H11"/>
    <mergeCell ref="A19:B19"/>
    <mergeCell ref="A20:H20"/>
    <mergeCell ref="A44:B44"/>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25" workbookViewId="0">
      <selection activeCell="G1" sqref="G1:H1"/>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95</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68.25" customHeight="1" x14ac:dyDescent="0.25">
      <c r="A6" s="506" t="s">
        <v>650</v>
      </c>
      <c r="B6" s="506"/>
      <c r="C6" s="506"/>
      <c r="D6" s="506"/>
      <c r="E6" s="506"/>
      <c r="F6" s="506"/>
      <c r="G6" s="506"/>
      <c r="H6" s="506"/>
    </row>
    <row r="7" spans="1:8" x14ac:dyDescent="0.25">
      <c r="D7" s="123"/>
      <c r="E7" s="119"/>
      <c r="F7" s="119"/>
      <c r="G7" s="119"/>
    </row>
    <row r="8" spans="1:8" ht="69" x14ac:dyDescent="0.25">
      <c r="A8" s="461" t="s">
        <v>4</v>
      </c>
      <c r="B8" s="461" t="s">
        <v>5</v>
      </c>
      <c r="C8" s="498" t="s">
        <v>560</v>
      </c>
      <c r="D8" s="461" t="s">
        <v>6</v>
      </c>
      <c r="E8" s="461" t="s">
        <v>7</v>
      </c>
      <c r="F8" s="5" t="s">
        <v>8</v>
      </c>
      <c r="G8" s="120" t="s">
        <v>9</v>
      </c>
      <c r="H8" s="120" t="s">
        <v>10</v>
      </c>
    </row>
    <row r="9" spans="1:8" x14ac:dyDescent="0.25">
      <c r="A9" s="503"/>
      <c r="B9" s="462"/>
      <c r="C9" s="498"/>
      <c r="D9" s="462"/>
      <c r="E9" s="468"/>
      <c r="F9" s="120" t="s">
        <v>12</v>
      </c>
      <c r="G9" s="31" t="s">
        <v>12</v>
      </c>
      <c r="H9" s="31" t="s">
        <v>12</v>
      </c>
    </row>
    <row r="10" spans="1:8" x14ac:dyDescent="0.25">
      <c r="A10" s="31">
        <v>1</v>
      </c>
      <c r="B10" s="31">
        <v>2</v>
      </c>
      <c r="C10" s="31">
        <v>3</v>
      </c>
      <c r="D10" s="31">
        <v>4</v>
      </c>
      <c r="E10" s="31">
        <v>5</v>
      </c>
      <c r="F10" s="31">
        <v>6</v>
      </c>
      <c r="G10" s="31">
        <v>7</v>
      </c>
      <c r="H10" s="31">
        <v>8</v>
      </c>
    </row>
    <row r="11" spans="1:8" ht="39" customHeight="1" x14ac:dyDescent="0.25">
      <c r="A11" s="85">
        <v>1</v>
      </c>
      <c r="B11" s="136" t="s">
        <v>614</v>
      </c>
      <c r="C11" s="85" t="s">
        <v>651</v>
      </c>
      <c r="D11" s="85" t="s">
        <v>14</v>
      </c>
      <c r="E11" s="125">
        <v>1</v>
      </c>
      <c r="F11" s="91">
        <v>287484</v>
      </c>
      <c r="G11" s="91">
        <f>E11*F11</f>
        <v>287484</v>
      </c>
      <c r="H11" s="91">
        <f>E11*0</f>
        <v>0</v>
      </c>
    </row>
    <row r="12" spans="1:8" ht="73.5" customHeight="1" x14ac:dyDescent="0.25">
      <c r="A12" s="85">
        <v>2</v>
      </c>
      <c r="B12" s="134" t="s">
        <v>561</v>
      </c>
      <c r="C12" s="85" t="s">
        <v>652</v>
      </c>
      <c r="D12" s="85" t="s">
        <v>14</v>
      </c>
      <c r="E12" s="125">
        <v>1</v>
      </c>
      <c r="F12" s="91">
        <v>160472</v>
      </c>
      <c r="G12" s="91">
        <f>E12*F12</f>
        <v>160472</v>
      </c>
      <c r="H12" s="91">
        <f>E12*0</f>
        <v>0</v>
      </c>
    </row>
    <row r="13" spans="1:8" ht="38.25" customHeight="1" x14ac:dyDescent="0.25">
      <c r="A13" s="85">
        <v>3</v>
      </c>
      <c r="B13" s="136" t="s">
        <v>573</v>
      </c>
      <c r="C13" s="85" t="s">
        <v>653</v>
      </c>
      <c r="D13" s="85" t="s">
        <v>14</v>
      </c>
      <c r="E13" s="125">
        <v>2</v>
      </c>
      <c r="F13" s="91">
        <v>55986</v>
      </c>
      <c r="G13" s="91">
        <f>E13*F13</f>
        <v>111972</v>
      </c>
      <c r="H13" s="91">
        <f>E13*0</f>
        <v>0</v>
      </c>
    </row>
    <row r="14" spans="1:8" ht="99" x14ac:dyDescent="0.25">
      <c r="A14" s="406">
        <v>4</v>
      </c>
      <c r="B14" s="136" t="s">
        <v>576</v>
      </c>
      <c r="C14" s="85" t="s">
        <v>654</v>
      </c>
      <c r="D14" s="85" t="s">
        <v>14</v>
      </c>
      <c r="E14" s="125">
        <v>2</v>
      </c>
      <c r="F14" s="91">
        <v>19398</v>
      </c>
      <c r="G14" s="91">
        <f>E14*F14</f>
        <v>38796</v>
      </c>
      <c r="H14" s="91">
        <f>E14*0</f>
        <v>0</v>
      </c>
    </row>
    <row r="15" spans="1:8" ht="115.5" x14ac:dyDescent="0.25">
      <c r="A15" s="415">
        <v>5</v>
      </c>
      <c r="B15" s="435" t="s">
        <v>564</v>
      </c>
      <c r="C15" s="415" t="s">
        <v>655</v>
      </c>
      <c r="D15" s="415" t="s">
        <v>14</v>
      </c>
      <c r="E15" s="419">
        <v>2</v>
      </c>
      <c r="F15" s="413">
        <v>49220</v>
      </c>
      <c r="G15" s="413">
        <f>E15*F15</f>
        <v>98440</v>
      </c>
      <c r="H15" s="413">
        <f>E15*8613.5</f>
        <v>17227</v>
      </c>
    </row>
    <row r="16" spans="1:8" ht="49.5" x14ac:dyDescent="0.25">
      <c r="A16" s="406">
        <v>6</v>
      </c>
      <c r="B16" s="428" t="s">
        <v>1341</v>
      </c>
      <c r="C16" s="429" t="s">
        <v>1348</v>
      </c>
      <c r="D16" s="429" t="s">
        <v>14</v>
      </c>
      <c r="E16" s="430">
        <v>2</v>
      </c>
      <c r="F16" s="431">
        <v>148026</v>
      </c>
      <c r="G16" s="431">
        <f t="shared" ref="G16:G20" si="0">E16*F16</f>
        <v>296052</v>
      </c>
      <c r="H16" s="431">
        <v>0</v>
      </c>
    </row>
    <row r="17" spans="1:8" ht="33" x14ac:dyDescent="0.25">
      <c r="A17" s="406">
        <v>7</v>
      </c>
      <c r="B17" s="428" t="s">
        <v>573</v>
      </c>
      <c r="C17" s="429" t="s">
        <v>1349</v>
      </c>
      <c r="D17" s="429" t="s">
        <v>14</v>
      </c>
      <c r="E17" s="430">
        <v>2</v>
      </c>
      <c r="F17" s="431">
        <v>55986</v>
      </c>
      <c r="G17" s="431">
        <f t="shared" si="0"/>
        <v>111972</v>
      </c>
      <c r="H17" s="431">
        <f>E17*0</f>
        <v>0</v>
      </c>
    </row>
    <row r="18" spans="1:8" ht="99" x14ac:dyDescent="0.25">
      <c r="A18" s="406">
        <v>8</v>
      </c>
      <c r="B18" s="428" t="s">
        <v>1344</v>
      </c>
      <c r="C18" s="429" t="s">
        <v>1350</v>
      </c>
      <c r="D18" s="429" t="s">
        <v>14</v>
      </c>
      <c r="E18" s="430">
        <v>2</v>
      </c>
      <c r="F18" s="431">
        <v>41700</v>
      </c>
      <c r="G18" s="431">
        <f t="shared" si="0"/>
        <v>83400</v>
      </c>
      <c r="H18" s="431">
        <f>E18*0</f>
        <v>0</v>
      </c>
    </row>
    <row r="19" spans="1:8" ht="66" x14ac:dyDescent="0.25">
      <c r="A19" s="406">
        <v>9</v>
      </c>
      <c r="B19" s="434" t="s">
        <v>1351</v>
      </c>
      <c r="C19" s="429" t="s">
        <v>1352</v>
      </c>
      <c r="D19" s="429" t="s">
        <v>14</v>
      </c>
      <c r="E19" s="430">
        <v>1</v>
      </c>
      <c r="F19" s="431">
        <v>554550</v>
      </c>
      <c r="G19" s="431">
        <f t="shared" si="0"/>
        <v>554550</v>
      </c>
      <c r="H19" s="431">
        <v>0</v>
      </c>
    </row>
    <row r="20" spans="1:8" ht="49.5" x14ac:dyDescent="0.25">
      <c r="A20" s="406">
        <v>10</v>
      </c>
      <c r="B20" s="434" t="s">
        <v>1353</v>
      </c>
      <c r="C20" s="429" t="s">
        <v>1354</v>
      </c>
      <c r="D20" s="429" t="s">
        <v>14</v>
      </c>
      <c r="E20" s="430">
        <v>2</v>
      </c>
      <c r="F20" s="431">
        <v>132000</v>
      </c>
      <c r="G20" s="431">
        <f t="shared" si="0"/>
        <v>264000</v>
      </c>
      <c r="H20" s="431">
        <v>0</v>
      </c>
    </row>
    <row r="21" spans="1:8" s="69" customFormat="1" ht="17.25" customHeight="1" x14ac:dyDescent="0.25">
      <c r="A21" s="509" t="s">
        <v>39</v>
      </c>
      <c r="B21" s="509"/>
      <c r="C21" s="441"/>
      <c r="D21" s="442"/>
      <c r="E21" s="437">
        <f>SUM(E11:E20)</f>
        <v>17</v>
      </c>
      <c r="F21" s="437"/>
      <c r="G21" s="439">
        <f t="shared" ref="G21:H21" si="1">SUM(G11:G20)</f>
        <v>2007138</v>
      </c>
      <c r="H21" s="439">
        <f t="shared" si="1"/>
        <v>17227</v>
      </c>
    </row>
    <row r="22" spans="1:8" x14ac:dyDescent="0.25">
      <c r="G22" s="39"/>
    </row>
  </sheetData>
  <mergeCells count="11">
    <mergeCell ref="A21:B21"/>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3"/>
  <sheetViews>
    <sheetView topLeftCell="A22" workbookViewId="0">
      <selection activeCell="G1" sqref="G1:H1"/>
    </sheetView>
  </sheetViews>
  <sheetFormatPr defaultRowHeight="17.25" x14ac:dyDescent="0.25"/>
  <cols>
    <col min="1" max="1" width="4.28515625" style="122" customWidth="1"/>
    <col min="2" max="2" width="22.85546875" style="122" customWidth="1"/>
    <col min="3" max="3" width="18.5703125" style="122" customWidth="1"/>
    <col min="4" max="4" width="11.42578125" style="122" customWidth="1"/>
    <col min="5" max="5" width="10.7109375" style="122" customWidth="1"/>
    <col min="6" max="6" width="17.140625" style="74" customWidth="1"/>
    <col min="7" max="8" width="17.140625" style="122" customWidth="1"/>
    <col min="9" max="16384" width="9.140625" style="122"/>
  </cols>
  <sheetData>
    <row r="1" spans="1:8" x14ac:dyDescent="0.25">
      <c r="E1" s="119"/>
      <c r="F1" s="133"/>
      <c r="G1" s="465" t="s">
        <v>96</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4.25" customHeight="1" x14ac:dyDescent="0.25">
      <c r="A6" s="506" t="s">
        <v>656</v>
      </c>
      <c r="B6" s="506"/>
      <c r="C6" s="506"/>
      <c r="D6" s="506"/>
      <c r="E6" s="506"/>
      <c r="F6" s="506"/>
      <c r="G6" s="506"/>
      <c r="H6" s="506"/>
    </row>
    <row r="7" spans="1:8" x14ac:dyDescent="0.25">
      <c r="D7" s="123"/>
      <c r="E7" s="119"/>
      <c r="F7" s="133"/>
      <c r="G7" s="119"/>
    </row>
    <row r="8" spans="1:8" ht="75" customHeight="1" x14ac:dyDescent="0.25">
      <c r="A8" s="461" t="s">
        <v>4</v>
      </c>
      <c r="B8" s="461" t="s">
        <v>5</v>
      </c>
      <c r="C8" s="498" t="s">
        <v>560</v>
      </c>
      <c r="D8" s="461" t="s">
        <v>6</v>
      </c>
      <c r="E8" s="461" t="s">
        <v>7</v>
      </c>
      <c r="F8" s="5" t="s">
        <v>8</v>
      </c>
      <c r="G8" s="120" t="s">
        <v>9</v>
      </c>
      <c r="H8" s="120" t="s">
        <v>10</v>
      </c>
    </row>
    <row r="9" spans="1:8" ht="22.5" customHeight="1" x14ac:dyDescent="0.25">
      <c r="A9" s="503"/>
      <c r="B9" s="462"/>
      <c r="C9" s="498"/>
      <c r="D9" s="462"/>
      <c r="E9" s="468"/>
      <c r="F9" s="120" t="s">
        <v>12</v>
      </c>
      <c r="G9" s="31" t="s">
        <v>12</v>
      </c>
      <c r="H9" s="31" t="s">
        <v>12</v>
      </c>
    </row>
    <row r="10" spans="1:8" x14ac:dyDescent="0.25">
      <c r="A10" s="31">
        <v>1</v>
      </c>
      <c r="B10" s="31">
        <v>2</v>
      </c>
      <c r="C10" s="31"/>
      <c r="D10" s="31">
        <v>3</v>
      </c>
      <c r="E10" s="31">
        <v>4</v>
      </c>
      <c r="F10" s="31">
        <v>5</v>
      </c>
      <c r="G10" s="31">
        <v>6</v>
      </c>
      <c r="H10" s="31">
        <v>7</v>
      </c>
    </row>
    <row r="11" spans="1:8" x14ac:dyDescent="0.25">
      <c r="A11" s="515" t="s">
        <v>567</v>
      </c>
      <c r="B11" s="515"/>
      <c r="C11" s="515"/>
      <c r="D11" s="515"/>
      <c r="E11" s="515"/>
      <c r="F11" s="515"/>
      <c r="G11" s="515"/>
      <c r="H11" s="515"/>
    </row>
    <row r="12" spans="1:8" ht="74.25" customHeight="1" x14ac:dyDescent="0.25">
      <c r="A12" s="85">
        <v>1</v>
      </c>
      <c r="B12" s="134" t="s">
        <v>561</v>
      </c>
      <c r="C12" s="173"/>
      <c r="D12" s="85" t="s">
        <v>14</v>
      </c>
      <c r="E12" s="125">
        <v>2</v>
      </c>
      <c r="F12" s="91">
        <v>160472</v>
      </c>
      <c r="G12" s="91">
        <f>E12*F12</f>
        <v>320944</v>
      </c>
      <c r="H12" s="91">
        <f>E12*0</f>
        <v>0</v>
      </c>
    </row>
    <row r="13" spans="1:8" ht="66" x14ac:dyDescent="0.25">
      <c r="A13" s="85">
        <v>2</v>
      </c>
      <c r="B13" s="136" t="s">
        <v>657</v>
      </c>
      <c r="C13" s="141" t="s">
        <v>658</v>
      </c>
      <c r="D13" s="85" t="s">
        <v>14</v>
      </c>
      <c r="E13" s="125">
        <v>2</v>
      </c>
      <c r="F13" s="91">
        <v>573000</v>
      </c>
      <c r="G13" s="91">
        <f t="shared" ref="G13:G18" si="0">E13*F13</f>
        <v>1146000</v>
      </c>
      <c r="H13" s="91">
        <f t="shared" ref="H13:H16" si="1">E13*0</f>
        <v>0</v>
      </c>
    </row>
    <row r="14" spans="1:8" ht="82.5" customHeight="1" x14ac:dyDescent="0.25">
      <c r="A14" s="85">
        <v>3</v>
      </c>
      <c r="B14" s="136" t="s">
        <v>573</v>
      </c>
      <c r="C14" s="141" t="s">
        <v>659</v>
      </c>
      <c r="D14" s="85" t="s">
        <v>14</v>
      </c>
      <c r="E14" s="125">
        <v>2</v>
      </c>
      <c r="F14" s="91">
        <v>55986</v>
      </c>
      <c r="G14" s="91">
        <f t="shared" si="0"/>
        <v>111972</v>
      </c>
      <c r="H14" s="91">
        <f t="shared" si="1"/>
        <v>0</v>
      </c>
    </row>
    <row r="15" spans="1:8" ht="82.5" x14ac:dyDescent="0.25">
      <c r="A15" s="406">
        <v>4</v>
      </c>
      <c r="B15" s="136" t="s">
        <v>576</v>
      </c>
      <c r="C15" s="141" t="s">
        <v>660</v>
      </c>
      <c r="D15" s="85" t="s">
        <v>14</v>
      </c>
      <c r="E15" s="125">
        <v>2</v>
      </c>
      <c r="F15" s="91">
        <v>19398</v>
      </c>
      <c r="G15" s="91">
        <f t="shared" si="0"/>
        <v>38796</v>
      </c>
      <c r="H15" s="91">
        <f t="shared" si="1"/>
        <v>0</v>
      </c>
    </row>
    <row r="16" spans="1:8" ht="66" x14ac:dyDescent="0.25">
      <c r="A16" s="406">
        <v>5</v>
      </c>
      <c r="B16" s="136" t="s">
        <v>563</v>
      </c>
      <c r="C16" s="148" t="s">
        <v>661</v>
      </c>
      <c r="D16" s="85" t="s">
        <v>14</v>
      </c>
      <c r="E16" s="125">
        <v>2</v>
      </c>
      <c r="F16" s="91">
        <v>37452</v>
      </c>
      <c r="G16" s="91">
        <f t="shared" si="0"/>
        <v>74904</v>
      </c>
      <c r="H16" s="91">
        <f t="shared" si="1"/>
        <v>0</v>
      </c>
    </row>
    <row r="17" spans="1:8" s="69" customFormat="1" ht="177" customHeight="1" x14ac:dyDescent="0.25">
      <c r="A17" s="406">
        <v>6</v>
      </c>
      <c r="B17" s="137" t="s">
        <v>564</v>
      </c>
      <c r="C17" s="141" t="s">
        <v>662</v>
      </c>
      <c r="D17" s="85" t="s">
        <v>14</v>
      </c>
      <c r="E17" s="125">
        <v>10</v>
      </c>
      <c r="F17" s="91">
        <v>49220</v>
      </c>
      <c r="G17" s="91">
        <f t="shared" si="0"/>
        <v>492200</v>
      </c>
      <c r="H17" s="91">
        <f>E17*8613.5</f>
        <v>86135</v>
      </c>
    </row>
    <row r="18" spans="1:8" ht="49.5" x14ac:dyDescent="0.25">
      <c r="A18" s="406">
        <v>7</v>
      </c>
      <c r="B18" s="126" t="s">
        <v>663</v>
      </c>
      <c r="C18" s="141" t="s">
        <v>664</v>
      </c>
      <c r="D18" s="85" t="s">
        <v>14</v>
      </c>
      <c r="E18" s="125">
        <v>1</v>
      </c>
      <c r="F18" s="91">
        <v>49000</v>
      </c>
      <c r="G18" s="91">
        <f t="shared" si="0"/>
        <v>49000</v>
      </c>
      <c r="H18" s="91">
        <f t="shared" ref="H18:H31" si="2">E18*0</f>
        <v>0</v>
      </c>
    </row>
    <row r="19" spans="1:8" ht="66" x14ac:dyDescent="0.25">
      <c r="A19" s="406">
        <v>8</v>
      </c>
      <c r="B19" s="444" t="s">
        <v>665</v>
      </c>
      <c r="C19" s="421">
        <v>3259643456</v>
      </c>
      <c r="D19" s="415" t="s">
        <v>14</v>
      </c>
      <c r="E19" s="420">
        <v>1</v>
      </c>
      <c r="F19" s="413">
        <v>209000</v>
      </c>
      <c r="G19" s="413">
        <f>E19*F19</f>
        <v>209000</v>
      </c>
      <c r="H19" s="91">
        <f t="shared" si="2"/>
        <v>0</v>
      </c>
    </row>
    <row r="20" spans="1:8" ht="66" x14ac:dyDescent="0.25">
      <c r="A20" s="406">
        <v>9</v>
      </c>
      <c r="B20" s="428" t="s">
        <v>1341</v>
      </c>
      <c r="C20" s="429" t="s">
        <v>1375</v>
      </c>
      <c r="D20" s="429" t="s">
        <v>14</v>
      </c>
      <c r="E20" s="430">
        <v>4</v>
      </c>
      <c r="F20" s="431">
        <v>148026</v>
      </c>
      <c r="G20" s="431">
        <f>E20*F20</f>
        <v>592104</v>
      </c>
      <c r="H20" s="91">
        <f t="shared" si="2"/>
        <v>0</v>
      </c>
    </row>
    <row r="21" spans="1:8" ht="49.5" x14ac:dyDescent="0.25">
      <c r="A21" s="406">
        <v>10</v>
      </c>
      <c r="B21" s="428" t="s">
        <v>1355</v>
      </c>
      <c r="C21" s="429" t="s">
        <v>1356</v>
      </c>
      <c r="D21" s="429" t="s">
        <v>14</v>
      </c>
      <c r="E21" s="430">
        <v>1</v>
      </c>
      <c r="F21" s="431">
        <v>620550</v>
      </c>
      <c r="G21" s="431">
        <f t="shared" ref="G21:G32" si="3">E21*F21</f>
        <v>620550</v>
      </c>
      <c r="H21" s="91">
        <f t="shared" si="2"/>
        <v>0</v>
      </c>
    </row>
    <row r="22" spans="1:8" ht="99" x14ac:dyDescent="0.25">
      <c r="A22" s="406">
        <v>11</v>
      </c>
      <c r="B22" s="428" t="s">
        <v>1357</v>
      </c>
      <c r="C22" s="429" t="s">
        <v>1358</v>
      </c>
      <c r="D22" s="429" t="s">
        <v>14</v>
      </c>
      <c r="E22" s="430">
        <v>6</v>
      </c>
      <c r="F22" s="431">
        <v>287484</v>
      </c>
      <c r="G22" s="431">
        <f t="shared" si="3"/>
        <v>1724904</v>
      </c>
      <c r="H22" s="91">
        <f t="shared" si="2"/>
        <v>0</v>
      </c>
    </row>
    <row r="23" spans="1:8" ht="33" x14ac:dyDescent="0.25">
      <c r="A23" s="406">
        <v>12</v>
      </c>
      <c r="B23" s="428" t="s">
        <v>1359</v>
      </c>
      <c r="C23" s="429" t="s">
        <v>1360</v>
      </c>
      <c r="D23" s="429" t="s">
        <v>14</v>
      </c>
      <c r="E23" s="430">
        <v>1</v>
      </c>
      <c r="F23" s="431">
        <v>359546.55</v>
      </c>
      <c r="G23" s="431">
        <f t="shared" si="3"/>
        <v>359546.55</v>
      </c>
      <c r="H23" s="91">
        <f t="shared" si="2"/>
        <v>0</v>
      </c>
    </row>
    <row r="24" spans="1:8" ht="33" x14ac:dyDescent="0.25">
      <c r="A24" s="406">
        <v>13</v>
      </c>
      <c r="B24" s="428" t="s">
        <v>1361</v>
      </c>
      <c r="C24" s="429" t="s">
        <v>1362</v>
      </c>
      <c r="D24" s="429" t="s">
        <v>14</v>
      </c>
      <c r="E24" s="430">
        <v>1</v>
      </c>
      <c r="F24" s="431">
        <v>359546.55</v>
      </c>
      <c r="G24" s="431">
        <f t="shared" si="3"/>
        <v>359546.55</v>
      </c>
      <c r="H24" s="91">
        <f t="shared" si="2"/>
        <v>0</v>
      </c>
    </row>
    <row r="25" spans="1:8" ht="82.5" x14ac:dyDescent="0.25">
      <c r="A25" s="406">
        <v>14</v>
      </c>
      <c r="B25" s="428" t="s">
        <v>573</v>
      </c>
      <c r="C25" s="429" t="s">
        <v>1376</v>
      </c>
      <c r="D25" s="429" t="s">
        <v>14</v>
      </c>
      <c r="E25" s="430">
        <v>5</v>
      </c>
      <c r="F25" s="431">
        <v>55986</v>
      </c>
      <c r="G25" s="431">
        <f t="shared" si="3"/>
        <v>279930</v>
      </c>
      <c r="H25" s="91">
        <f t="shared" si="2"/>
        <v>0</v>
      </c>
    </row>
    <row r="26" spans="1:8" ht="33" x14ac:dyDescent="0.25">
      <c r="A26" s="406">
        <v>15</v>
      </c>
      <c r="B26" s="428" t="s">
        <v>1363</v>
      </c>
      <c r="C26" s="429" t="s">
        <v>1364</v>
      </c>
      <c r="D26" s="429" t="s">
        <v>14</v>
      </c>
      <c r="E26" s="430">
        <v>1</v>
      </c>
      <c r="F26" s="431">
        <v>30000</v>
      </c>
      <c r="G26" s="431">
        <f t="shared" si="3"/>
        <v>30000</v>
      </c>
      <c r="H26" s="91">
        <f t="shared" si="2"/>
        <v>0</v>
      </c>
    </row>
    <row r="27" spans="1:8" ht="49.5" x14ac:dyDescent="0.25">
      <c r="A27" s="406">
        <v>16</v>
      </c>
      <c r="B27" s="428" t="s">
        <v>1365</v>
      </c>
      <c r="C27" s="429" t="s">
        <v>1377</v>
      </c>
      <c r="D27" s="429" t="s">
        <v>14</v>
      </c>
      <c r="E27" s="430">
        <v>3</v>
      </c>
      <c r="F27" s="431">
        <v>95610</v>
      </c>
      <c r="G27" s="431">
        <f t="shared" si="3"/>
        <v>286830</v>
      </c>
      <c r="H27" s="91">
        <f t="shared" si="2"/>
        <v>0</v>
      </c>
    </row>
    <row r="28" spans="1:8" ht="132" x14ac:dyDescent="0.25">
      <c r="A28" s="406">
        <v>17</v>
      </c>
      <c r="B28" s="428" t="s">
        <v>1366</v>
      </c>
      <c r="C28" s="429" t="s">
        <v>1367</v>
      </c>
      <c r="D28" s="429" t="s">
        <v>14</v>
      </c>
      <c r="E28" s="430">
        <v>4</v>
      </c>
      <c r="F28" s="431">
        <v>45422</v>
      </c>
      <c r="G28" s="431">
        <f t="shared" si="3"/>
        <v>181688</v>
      </c>
      <c r="H28" s="91">
        <f t="shared" si="2"/>
        <v>0</v>
      </c>
    </row>
    <row r="29" spans="1:8" ht="99" x14ac:dyDescent="0.25">
      <c r="A29" s="406">
        <v>18</v>
      </c>
      <c r="B29" s="428" t="s">
        <v>1368</v>
      </c>
      <c r="C29" s="429" t="s">
        <v>1369</v>
      </c>
      <c r="D29" s="429" t="s">
        <v>14</v>
      </c>
      <c r="E29" s="430">
        <v>6</v>
      </c>
      <c r="F29" s="431">
        <v>41700</v>
      </c>
      <c r="G29" s="431">
        <f t="shared" si="3"/>
        <v>250200</v>
      </c>
      <c r="H29" s="91">
        <f t="shared" si="2"/>
        <v>0</v>
      </c>
    </row>
    <row r="30" spans="1:8" ht="115.5" x14ac:dyDescent="0.25">
      <c r="A30" s="406">
        <v>19</v>
      </c>
      <c r="B30" s="428" t="s">
        <v>1370</v>
      </c>
      <c r="C30" s="429" t="s">
        <v>1371</v>
      </c>
      <c r="D30" s="429" t="s">
        <v>14</v>
      </c>
      <c r="E30" s="430">
        <v>7</v>
      </c>
      <c r="F30" s="431">
        <v>37452</v>
      </c>
      <c r="G30" s="431">
        <f t="shared" si="3"/>
        <v>262164</v>
      </c>
      <c r="H30" s="91">
        <f t="shared" si="2"/>
        <v>0</v>
      </c>
    </row>
    <row r="31" spans="1:8" ht="50.25" thickBot="1" x14ac:dyDescent="0.3">
      <c r="A31" s="406">
        <v>20</v>
      </c>
      <c r="B31" s="433" t="s">
        <v>1353</v>
      </c>
      <c r="C31" s="429" t="s">
        <v>1372</v>
      </c>
      <c r="D31" s="429" t="s">
        <v>14</v>
      </c>
      <c r="E31" s="430">
        <v>1</v>
      </c>
      <c r="F31" s="431">
        <v>132000</v>
      </c>
      <c r="G31" s="431">
        <f t="shared" si="3"/>
        <v>132000</v>
      </c>
      <c r="H31" s="91">
        <f t="shared" si="2"/>
        <v>0</v>
      </c>
    </row>
    <row r="32" spans="1:8" ht="67.5" thickTop="1" thickBot="1" x14ac:dyDescent="0.3">
      <c r="A32" s="406">
        <v>21</v>
      </c>
      <c r="B32" s="433" t="s">
        <v>1373</v>
      </c>
      <c r="C32" s="429" t="s">
        <v>1374</v>
      </c>
      <c r="D32" s="429" t="s">
        <v>14</v>
      </c>
      <c r="E32" s="430">
        <v>1</v>
      </c>
      <c r="F32" s="431">
        <v>192510</v>
      </c>
      <c r="G32" s="431">
        <f t="shared" si="3"/>
        <v>192510</v>
      </c>
      <c r="H32" s="443">
        <v>55002.857142857101</v>
      </c>
    </row>
    <row r="33" spans="1:8" ht="18" thickTop="1" x14ac:dyDescent="0.25">
      <c r="A33" s="513" t="s">
        <v>39</v>
      </c>
      <c r="B33" s="513"/>
      <c r="C33" s="168"/>
      <c r="D33" s="168"/>
      <c r="E33" s="107">
        <f>SUM(E12:E32)</f>
        <v>63</v>
      </c>
      <c r="F33" s="107"/>
      <c r="G33" s="100">
        <f t="shared" ref="G33:H33" si="4">SUM(G12:G32)</f>
        <v>7714789.0999999996</v>
      </c>
      <c r="H33" s="100">
        <f t="shared" si="4"/>
        <v>141137.8571428571</v>
      </c>
    </row>
    <row r="34" spans="1:8" x14ac:dyDescent="0.25">
      <c r="A34" s="515" t="s">
        <v>666</v>
      </c>
      <c r="B34" s="515"/>
      <c r="C34" s="515"/>
      <c r="D34" s="515"/>
      <c r="E34" s="515"/>
      <c r="F34" s="515"/>
      <c r="G34" s="515"/>
      <c r="H34" s="515"/>
    </row>
    <row r="35" spans="1:8" ht="33" customHeight="1" x14ac:dyDescent="0.25">
      <c r="A35" s="163">
        <v>9</v>
      </c>
      <c r="B35" s="137" t="s">
        <v>667</v>
      </c>
      <c r="C35" s="163"/>
      <c r="D35" s="85" t="s">
        <v>14</v>
      </c>
      <c r="E35" s="141">
        <v>4</v>
      </c>
      <c r="F35" s="91">
        <v>1000</v>
      </c>
      <c r="G35" s="91">
        <f t="shared" ref="G35:G89" si="5">E35*F35</f>
        <v>4000</v>
      </c>
      <c r="H35" s="91">
        <f>E35*1000</f>
        <v>4000</v>
      </c>
    </row>
    <row r="36" spans="1:8" ht="82.5" x14ac:dyDescent="0.25">
      <c r="A36" s="163">
        <v>10</v>
      </c>
      <c r="B36" s="161" t="s">
        <v>668</v>
      </c>
      <c r="C36" s="163"/>
      <c r="D36" s="85" t="s">
        <v>14</v>
      </c>
      <c r="E36" s="141">
        <v>1</v>
      </c>
      <c r="F36" s="91">
        <v>1000</v>
      </c>
      <c r="G36" s="91">
        <f>E36*F36</f>
        <v>1000</v>
      </c>
      <c r="H36" s="91">
        <f t="shared" ref="H36:H89" si="6">E36*0</f>
        <v>0</v>
      </c>
    </row>
    <row r="37" spans="1:8" ht="82.5" x14ac:dyDescent="0.25">
      <c r="A37" s="163">
        <v>11</v>
      </c>
      <c r="B37" s="161" t="s">
        <v>669</v>
      </c>
      <c r="C37" s="163"/>
      <c r="D37" s="85" t="s">
        <v>14</v>
      </c>
      <c r="E37" s="141">
        <v>1</v>
      </c>
      <c r="F37" s="91">
        <v>1000</v>
      </c>
      <c r="G37" s="91">
        <f>E37*F37</f>
        <v>1000</v>
      </c>
      <c r="H37" s="91">
        <f t="shared" si="6"/>
        <v>0</v>
      </c>
    </row>
    <row r="38" spans="1:8" ht="33" x14ac:dyDescent="0.25">
      <c r="A38" s="163">
        <v>12</v>
      </c>
      <c r="B38" s="161" t="s">
        <v>670</v>
      </c>
      <c r="C38" s="163"/>
      <c r="D38" s="85" t="s">
        <v>14</v>
      </c>
      <c r="E38" s="141">
        <v>1</v>
      </c>
      <c r="F38" s="91">
        <v>1000</v>
      </c>
      <c r="G38" s="91">
        <f>E38*F38</f>
        <v>1000</v>
      </c>
      <c r="H38" s="91">
        <f t="shared" si="6"/>
        <v>0</v>
      </c>
    </row>
    <row r="39" spans="1:8" ht="33" x14ac:dyDescent="0.25">
      <c r="A39" s="163">
        <v>13</v>
      </c>
      <c r="B39" s="137" t="s">
        <v>671</v>
      </c>
      <c r="C39" s="163"/>
      <c r="D39" s="85" t="s">
        <v>14</v>
      </c>
      <c r="E39" s="141">
        <v>50</v>
      </c>
      <c r="F39" s="91">
        <v>14200</v>
      </c>
      <c r="G39" s="91">
        <f t="shared" si="5"/>
        <v>710000</v>
      </c>
      <c r="H39" s="91">
        <f t="shared" si="6"/>
        <v>0</v>
      </c>
    </row>
    <row r="40" spans="1:8" ht="49.5" x14ac:dyDescent="0.25">
      <c r="A40" s="163">
        <v>14</v>
      </c>
      <c r="B40" s="137" t="s">
        <v>672</v>
      </c>
      <c r="C40" s="163"/>
      <c r="D40" s="85" t="s">
        <v>14</v>
      </c>
      <c r="E40" s="141">
        <v>1</v>
      </c>
      <c r="F40" s="91">
        <v>45000</v>
      </c>
      <c r="G40" s="91">
        <f t="shared" si="5"/>
        <v>45000</v>
      </c>
      <c r="H40" s="91">
        <f t="shared" si="6"/>
        <v>0</v>
      </c>
    </row>
    <row r="41" spans="1:8" ht="49.5" x14ac:dyDescent="0.25">
      <c r="A41" s="163">
        <v>15</v>
      </c>
      <c r="B41" s="137" t="s">
        <v>673</v>
      </c>
      <c r="C41" s="163"/>
      <c r="D41" s="85" t="s">
        <v>14</v>
      </c>
      <c r="E41" s="141">
        <v>36</v>
      </c>
      <c r="F41" s="91">
        <v>5000</v>
      </c>
      <c r="G41" s="91">
        <f t="shared" si="5"/>
        <v>180000</v>
      </c>
      <c r="H41" s="91">
        <f t="shared" si="6"/>
        <v>0</v>
      </c>
    </row>
    <row r="42" spans="1:8" x14ac:dyDescent="0.25">
      <c r="A42" s="163">
        <v>16</v>
      </c>
      <c r="B42" s="161" t="s">
        <v>674</v>
      </c>
      <c r="C42" s="163"/>
      <c r="D42" s="85" t="s">
        <v>14</v>
      </c>
      <c r="E42" s="141">
        <v>1</v>
      </c>
      <c r="F42" s="91">
        <v>401</v>
      </c>
      <c r="G42" s="91">
        <f t="shared" si="5"/>
        <v>401</v>
      </c>
      <c r="H42" s="91">
        <f t="shared" si="6"/>
        <v>0</v>
      </c>
    </row>
    <row r="43" spans="1:8" ht="33" x14ac:dyDescent="0.25">
      <c r="A43" s="163">
        <v>17</v>
      </c>
      <c r="B43" s="137" t="s">
        <v>675</v>
      </c>
      <c r="C43" s="163"/>
      <c r="D43" s="85" t="s">
        <v>14</v>
      </c>
      <c r="E43" s="141">
        <v>1</v>
      </c>
      <c r="F43" s="91">
        <v>401</v>
      </c>
      <c r="G43" s="91">
        <f>E43*F43</f>
        <v>401</v>
      </c>
      <c r="H43" s="91">
        <f t="shared" si="6"/>
        <v>0</v>
      </c>
    </row>
    <row r="44" spans="1:8" ht="33" x14ac:dyDescent="0.25">
      <c r="A44" s="163">
        <v>18</v>
      </c>
      <c r="B44" s="137" t="s">
        <v>676</v>
      </c>
      <c r="C44" s="163"/>
      <c r="D44" s="85" t="s">
        <v>14</v>
      </c>
      <c r="E44" s="141">
        <v>21</v>
      </c>
      <c r="F44" s="91">
        <v>12000</v>
      </c>
      <c r="G44" s="91">
        <f t="shared" si="5"/>
        <v>252000</v>
      </c>
      <c r="H44" s="91">
        <f t="shared" si="6"/>
        <v>0</v>
      </c>
    </row>
    <row r="45" spans="1:8" ht="82.5" x14ac:dyDescent="0.25">
      <c r="A45" s="163">
        <v>19</v>
      </c>
      <c r="B45" s="161" t="s">
        <v>677</v>
      </c>
      <c r="C45" s="163"/>
      <c r="D45" s="85" t="s">
        <v>14</v>
      </c>
      <c r="E45" s="141">
        <v>1</v>
      </c>
      <c r="F45" s="91">
        <v>960</v>
      </c>
      <c r="G45" s="91">
        <f t="shared" si="5"/>
        <v>960</v>
      </c>
      <c r="H45" s="91">
        <f t="shared" si="6"/>
        <v>0</v>
      </c>
    </row>
    <row r="46" spans="1:8" ht="66" x14ac:dyDescent="0.25">
      <c r="A46" s="163">
        <v>20</v>
      </c>
      <c r="B46" s="137" t="s">
        <v>678</v>
      </c>
      <c r="C46" s="163"/>
      <c r="D46" s="85" t="s">
        <v>14</v>
      </c>
      <c r="E46" s="141">
        <v>2</v>
      </c>
      <c r="F46" s="91">
        <v>960</v>
      </c>
      <c r="G46" s="91">
        <f t="shared" si="5"/>
        <v>1920</v>
      </c>
      <c r="H46" s="91">
        <f t="shared" si="6"/>
        <v>0</v>
      </c>
    </row>
    <row r="47" spans="1:8" ht="33" x14ac:dyDescent="0.25">
      <c r="A47" s="163">
        <v>21</v>
      </c>
      <c r="B47" s="161" t="s">
        <v>679</v>
      </c>
      <c r="C47" s="163"/>
      <c r="D47" s="85" t="s">
        <v>14</v>
      </c>
      <c r="E47" s="141">
        <v>1</v>
      </c>
      <c r="F47" s="91">
        <v>960</v>
      </c>
      <c r="G47" s="91">
        <f>E47*F47</f>
        <v>960</v>
      </c>
      <c r="H47" s="91">
        <f t="shared" si="6"/>
        <v>0</v>
      </c>
    </row>
    <row r="48" spans="1:8" ht="49.5" x14ac:dyDescent="0.25">
      <c r="A48" s="163">
        <v>22</v>
      </c>
      <c r="B48" s="137" t="s">
        <v>680</v>
      </c>
      <c r="C48" s="163"/>
      <c r="D48" s="85" t="s">
        <v>14</v>
      </c>
      <c r="E48" s="141">
        <v>3</v>
      </c>
      <c r="F48" s="91">
        <v>9000</v>
      </c>
      <c r="G48" s="91">
        <f t="shared" si="5"/>
        <v>27000</v>
      </c>
      <c r="H48" s="91">
        <f t="shared" si="6"/>
        <v>0</v>
      </c>
    </row>
    <row r="49" spans="1:8" ht="49.5" x14ac:dyDescent="0.25">
      <c r="A49" s="163">
        <v>23</v>
      </c>
      <c r="B49" s="137" t="s">
        <v>681</v>
      </c>
      <c r="C49" s="163"/>
      <c r="D49" s="85" t="s">
        <v>14</v>
      </c>
      <c r="E49" s="141">
        <v>1</v>
      </c>
      <c r="F49" s="91">
        <v>1358</v>
      </c>
      <c r="G49" s="91">
        <f t="shared" si="5"/>
        <v>1358</v>
      </c>
      <c r="H49" s="91">
        <f t="shared" si="6"/>
        <v>0</v>
      </c>
    </row>
    <row r="50" spans="1:8" ht="49.5" x14ac:dyDescent="0.25">
      <c r="A50" s="163">
        <v>24</v>
      </c>
      <c r="B50" s="137" t="s">
        <v>682</v>
      </c>
      <c r="C50" s="163"/>
      <c r="D50" s="85" t="s">
        <v>14</v>
      </c>
      <c r="E50" s="141">
        <v>1</v>
      </c>
      <c r="F50" s="91">
        <v>1200</v>
      </c>
      <c r="G50" s="91">
        <f t="shared" si="5"/>
        <v>1200</v>
      </c>
      <c r="H50" s="91">
        <f t="shared" si="6"/>
        <v>0</v>
      </c>
    </row>
    <row r="51" spans="1:8" ht="33" x14ac:dyDescent="0.25">
      <c r="A51" s="163">
        <v>25</v>
      </c>
      <c r="B51" s="137" t="s">
        <v>683</v>
      </c>
      <c r="C51" s="163"/>
      <c r="D51" s="85" t="s">
        <v>14</v>
      </c>
      <c r="E51" s="141">
        <v>15</v>
      </c>
      <c r="F51" s="91">
        <v>13000</v>
      </c>
      <c r="G51" s="91">
        <f t="shared" si="5"/>
        <v>195000</v>
      </c>
      <c r="H51" s="91">
        <f t="shared" si="6"/>
        <v>0</v>
      </c>
    </row>
    <row r="52" spans="1:8" ht="66" x14ac:dyDescent="0.25">
      <c r="A52" s="163">
        <v>26</v>
      </c>
      <c r="B52" s="161" t="s">
        <v>684</v>
      </c>
      <c r="C52" s="163"/>
      <c r="D52" s="85" t="s">
        <v>14</v>
      </c>
      <c r="E52" s="141">
        <v>1</v>
      </c>
      <c r="F52" s="91">
        <v>5000</v>
      </c>
      <c r="G52" s="91">
        <f t="shared" si="5"/>
        <v>5000</v>
      </c>
      <c r="H52" s="91">
        <f t="shared" si="6"/>
        <v>0</v>
      </c>
    </row>
    <row r="53" spans="1:8" ht="66" x14ac:dyDescent="0.25">
      <c r="A53" s="163">
        <v>27</v>
      </c>
      <c r="B53" s="161" t="s">
        <v>685</v>
      </c>
      <c r="C53" s="163"/>
      <c r="D53" s="85" t="s">
        <v>14</v>
      </c>
      <c r="E53" s="141">
        <v>1</v>
      </c>
      <c r="F53" s="91">
        <v>5000</v>
      </c>
      <c r="G53" s="91">
        <f>E53*F53</f>
        <v>5000</v>
      </c>
      <c r="H53" s="91">
        <f t="shared" si="6"/>
        <v>0</v>
      </c>
    </row>
    <row r="54" spans="1:8" ht="33" x14ac:dyDescent="0.25">
      <c r="A54" s="163">
        <v>28</v>
      </c>
      <c r="B54" s="137" t="s">
        <v>686</v>
      </c>
      <c r="C54" s="163"/>
      <c r="D54" s="85" t="s">
        <v>14</v>
      </c>
      <c r="E54" s="141">
        <v>1</v>
      </c>
      <c r="F54" s="91">
        <v>17500</v>
      </c>
      <c r="G54" s="91">
        <f t="shared" si="5"/>
        <v>17500</v>
      </c>
      <c r="H54" s="91">
        <f t="shared" si="6"/>
        <v>0</v>
      </c>
    </row>
    <row r="55" spans="1:8" ht="66" x14ac:dyDescent="0.25">
      <c r="A55" s="163">
        <v>29</v>
      </c>
      <c r="B55" s="137" t="s">
        <v>687</v>
      </c>
      <c r="C55" s="163"/>
      <c r="D55" s="85" t="s">
        <v>14</v>
      </c>
      <c r="E55" s="141">
        <v>7</v>
      </c>
      <c r="F55" s="91">
        <v>17500</v>
      </c>
      <c r="G55" s="91">
        <f>E55*F55</f>
        <v>122500</v>
      </c>
      <c r="H55" s="91">
        <f t="shared" si="6"/>
        <v>0</v>
      </c>
    </row>
    <row r="56" spans="1:8" ht="33" x14ac:dyDescent="0.25">
      <c r="A56" s="163">
        <v>30</v>
      </c>
      <c r="B56" s="137" t="s">
        <v>688</v>
      </c>
      <c r="C56" s="163"/>
      <c r="D56" s="85" t="s">
        <v>14</v>
      </c>
      <c r="E56" s="141">
        <v>14</v>
      </c>
      <c r="F56" s="91">
        <v>12619</v>
      </c>
      <c r="G56" s="91">
        <f t="shared" si="5"/>
        <v>176666</v>
      </c>
      <c r="H56" s="91">
        <f t="shared" si="6"/>
        <v>0</v>
      </c>
    </row>
    <row r="57" spans="1:8" ht="49.5" x14ac:dyDescent="0.25">
      <c r="A57" s="163">
        <v>31</v>
      </c>
      <c r="B57" s="137" t="s">
        <v>689</v>
      </c>
      <c r="C57" s="163"/>
      <c r="D57" s="85" t="s">
        <v>14</v>
      </c>
      <c r="E57" s="141">
        <v>15</v>
      </c>
      <c r="F57" s="91">
        <v>15500</v>
      </c>
      <c r="G57" s="91">
        <f t="shared" si="5"/>
        <v>232500</v>
      </c>
      <c r="H57" s="91">
        <f t="shared" si="6"/>
        <v>0</v>
      </c>
    </row>
    <row r="58" spans="1:8" ht="99" x14ac:dyDescent="0.25">
      <c r="A58" s="163">
        <v>32</v>
      </c>
      <c r="B58" s="161" t="s">
        <v>690</v>
      </c>
      <c r="C58" s="163"/>
      <c r="D58" s="85" t="s">
        <v>14</v>
      </c>
      <c r="E58" s="141">
        <v>1</v>
      </c>
      <c r="F58" s="91">
        <v>11870</v>
      </c>
      <c r="G58" s="91">
        <f t="shared" si="5"/>
        <v>11870</v>
      </c>
      <c r="H58" s="91">
        <f t="shared" si="6"/>
        <v>0</v>
      </c>
    </row>
    <row r="59" spans="1:8" ht="66" x14ac:dyDescent="0.25">
      <c r="A59" s="163">
        <v>33</v>
      </c>
      <c r="B59" s="137" t="s">
        <v>691</v>
      </c>
      <c r="C59" s="163"/>
      <c r="D59" s="85" t="s">
        <v>14</v>
      </c>
      <c r="E59" s="141">
        <v>3</v>
      </c>
      <c r="F59" s="91">
        <v>14500</v>
      </c>
      <c r="G59" s="91">
        <f t="shared" si="5"/>
        <v>43500</v>
      </c>
      <c r="H59" s="91">
        <f t="shared" si="6"/>
        <v>0</v>
      </c>
    </row>
    <row r="60" spans="1:8" ht="66" x14ac:dyDescent="0.25">
      <c r="A60" s="163">
        <v>34</v>
      </c>
      <c r="B60" s="137" t="s">
        <v>692</v>
      </c>
      <c r="C60" s="163"/>
      <c r="D60" s="85" t="s">
        <v>14</v>
      </c>
      <c r="E60" s="141">
        <v>5</v>
      </c>
      <c r="F60" s="91">
        <v>14500</v>
      </c>
      <c r="G60" s="91">
        <f>E60*F60</f>
        <v>72500</v>
      </c>
      <c r="H60" s="91">
        <f>E60*8000</f>
        <v>40000</v>
      </c>
    </row>
    <row r="61" spans="1:8" ht="33" x14ac:dyDescent="0.25">
      <c r="A61" s="163">
        <v>35</v>
      </c>
      <c r="B61" s="137" t="s">
        <v>693</v>
      </c>
      <c r="C61" s="163"/>
      <c r="D61" s="85" t="s">
        <v>14</v>
      </c>
      <c r="E61" s="141">
        <v>2</v>
      </c>
      <c r="F61" s="91">
        <v>20000</v>
      </c>
      <c r="G61" s="91">
        <f t="shared" si="5"/>
        <v>40000</v>
      </c>
      <c r="H61" s="91">
        <f t="shared" si="6"/>
        <v>0</v>
      </c>
    </row>
    <row r="62" spans="1:8" ht="115.5" x14ac:dyDescent="0.25">
      <c r="A62" s="163">
        <v>36</v>
      </c>
      <c r="B62" s="161" t="s">
        <v>694</v>
      </c>
      <c r="C62" s="163"/>
      <c r="D62" s="85" t="s">
        <v>14</v>
      </c>
      <c r="E62" s="141">
        <v>1</v>
      </c>
      <c r="F62" s="91">
        <v>2000</v>
      </c>
      <c r="G62" s="91">
        <f t="shared" si="5"/>
        <v>2000</v>
      </c>
      <c r="H62" s="91">
        <f t="shared" si="6"/>
        <v>0</v>
      </c>
    </row>
    <row r="63" spans="1:8" ht="49.5" x14ac:dyDescent="0.25">
      <c r="A63" s="163">
        <v>37</v>
      </c>
      <c r="B63" s="137" t="s">
        <v>695</v>
      </c>
      <c r="C63" s="163"/>
      <c r="D63" s="85" t="s">
        <v>14</v>
      </c>
      <c r="E63" s="141">
        <v>2</v>
      </c>
      <c r="F63" s="91">
        <v>226</v>
      </c>
      <c r="G63" s="91">
        <f t="shared" si="5"/>
        <v>452</v>
      </c>
      <c r="H63" s="91">
        <f t="shared" si="6"/>
        <v>0</v>
      </c>
    </row>
    <row r="64" spans="1:8" ht="33" x14ac:dyDescent="0.25">
      <c r="A64" s="163">
        <v>38</v>
      </c>
      <c r="B64" s="137" t="s">
        <v>696</v>
      </c>
      <c r="C64" s="163"/>
      <c r="D64" s="85" t="s">
        <v>14</v>
      </c>
      <c r="E64" s="141">
        <v>1</v>
      </c>
      <c r="F64" s="91">
        <v>705</v>
      </c>
      <c r="G64" s="91">
        <f t="shared" si="5"/>
        <v>705</v>
      </c>
      <c r="H64" s="91">
        <f t="shared" si="6"/>
        <v>0</v>
      </c>
    </row>
    <row r="65" spans="1:8" ht="49.5" x14ac:dyDescent="0.25">
      <c r="A65" s="163">
        <v>39</v>
      </c>
      <c r="B65" s="137" t="s">
        <v>697</v>
      </c>
      <c r="C65" s="163"/>
      <c r="D65" s="85" t="s">
        <v>14</v>
      </c>
      <c r="E65" s="141">
        <v>1</v>
      </c>
      <c r="F65" s="91">
        <v>705</v>
      </c>
      <c r="G65" s="91">
        <f>E65*F65</f>
        <v>705</v>
      </c>
      <c r="H65" s="91">
        <f t="shared" si="6"/>
        <v>0</v>
      </c>
    </row>
    <row r="66" spans="1:8" ht="49.5" x14ac:dyDescent="0.25">
      <c r="A66" s="163">
        <v>40</v>
      </c>
      <c r="B66" s="137" t="s">
        <v>698</v>
      </c>
      <c r="C66" s="163"/>
      <c r="D66" s="85" t="s">
        <v>14</v>
      </c>
      <c r="E66" s="141">
        <v>3</v>
      </c>
      <c r="F66" s="91">
        <v>10000</v>
      </c>
      <c r="G66" s="91">
        <f t="shared" si="5"/>
        <v>30000</v>
      </c>
      <c r="H66" s="91">
        <f t="shared" si="6"/>
        <v>0</v>
      </c>
    </row>
    <row r="67" spans="1:8" ht="66" x14ac:dyDescent="0.25">
      <c r="A67" s="163">
        <v>41</v>
      </c>
      <c r="B67" s="137" t="s">
        <v>699</v>
      </c>
      <c r="C67" s="163"/>
      <c r="D67" s="85" t="s">
        <v>14</v>
      </c>
      <c r="E67" s="141">
        <v>1</v>
      </c>
      <c r="F67" s="91">
        <v>141</v>
      </c>
      <c r="G67" s="91">
        <f t="shared" si="5"/>
        <v>141</v>
      </c>
      <c r="H67" s="91">
        <f t="shared" si="6"/>
        <v>0</v>
      </c>
    </row>
    <row r="68" spans="1:8" ht="66" x14ac:dyDescent="0.25">
      <c r="A68" s="163">
        <v>42</v>
      </c>
      <c r="B68" s="137" t="s">
        <v>700</v>
      </c>
      <c r="C68" s="163"/>
      <c r="D68" s="85" t="s">
        <v>14</v>
      </c>
      <c r="E68" s="141">
        <v>1</v>
      </c>
      <c r="F68" s="91">
        <v>27500</v>
      </c>
      <c r="G68" s="91">
        <f t="shared" si="5"/>
        <v>27500</v>
      </c>
      <c r="H68" s="91">
        <f>E68*17360</f>
        <v>17360</v>
      </c>
    </row>
    <row r="69" spans="1:8" ht="115.5" x14ac:dyDescent="0.25">
      <c r="A69" s="163">
        <v>43</v>
      </c>
      <c r="B69" s="137" t="s">
        <v>701</v>
      </c>
      <c r="C69" s="163"/>
      <c r="D69" s="85" t="s">
        <v>14</v>
      </c>
      <c r="E69" s="141">
        <v>1</v>
      </c>
      <c r="F69" s="91">
        <v>28000</v>
      </c>
      <c r="G69" s="91">
        <f t="shared" si="5"/>
        <v>28000</v>
      </c>
      <c r="H69" s="91">
        <f t="shared" si="6"/>
        <v>0</v>
      </c>
    </row>
    <row r="70" spans="1:8" ht="49.5" x14ac:dyDescent="0.25">
      <c r="A70" s="163">
        <v>44</v>
      </c>
      <c r="B70" s="161" t="s">
        <v>702</v>
      </c>
      <c r="C70" s="163"/>
      <c r="D70" s="85" t="s">
        <v>14</v>
      </c>
      <c r="E70" s="141">
        <v>1</v>
      </c>
      <c r="F70" s="91">
        <v>6000</v>
      </c>
      <c r="G70" s="91">
        <f t="shared" si="5"/>
        <v>6000</v>
      </c>
      <c r="H70" s="91">
        <f t="shared" si="6"/>
        <v>0</v>
      </c>
    </row>
    <row r="71" spans="1:8" ht="82.5" x14ac:dyDescent="0.25">
      <c r="A71" s="163">
        <v>45</v>
      </c>
      <c r="B71" s="161" t="s">
        <v>589</v>
      </c>
      <c r="C71" s="163"/>
      <c r="D71" s="85" t="s">
        <v>14</v>
      </c>
      <c r="E71" s="141">
        <v>1</v>
      </c>
      <c r="F71" s="91">
        <v>98831</v>
      </c>
      <c r="G71" s="91">
        <f t="shared" si="5"/>
        <v>98831</v>
      </c>
      <c r="H71" s="91">
        <f t="shared" si="6"/>
        <v>0</v>
      </c>
    </row>
    <row r="72" spans="1:8" x14ac:dyDescent="0.25">
      <c r="A72" s="163">
        <v>46</v>
      </c>
      <c r="B72" s="137" t="s">
        <v>455</v>
      </c>
      <c r="C72" s="163"/>
      <c r="D72" s="85" t="s">
        <v>14</v>
      </c>
      <c r="E72" s="141">
        <v>1</v>
      </c>
      <c r="F72" s="91">
        <v>115000</v>
      </c>
      <c r="G72" s="91">
        <f t="shared" si="5"/>
        <v>115000</v>
      </c>
      <c r="H72" s="91">
        <f t="shared" si="6"/>
        <v>0</v>
      </c>
    </row>
    <row r="73" spans="1:8" ht="49.5" x14ac:dyDescent="0.25">
      <c r="A73" s="163">
        <v>47</v>
      </c>
      <c r="B73" s="137" t="s">
        <v>703</v>
      </c>
      <c r="C73" s="163"/>
      <c r="D73" s="85" t="s">
        <v>14</v>
      </c>
      <c r="E73" s="141">
        <v>1</v>
      </c>
      <c r="F73" s="91">
        <v>161700</v>
      </c>
      <c r="G73" s="91">
        <f t="shared" si="5"/>
        <v>161700</v>
      </c>
      <c r="H73" s="91">
        <f t="shared" si="6"/>
        <v>0</v>
      </c>
    </row>
    <row r="74" spans="1:8" ht="66" x14ac:dyDescent="0.25">
      <c r="A74" s="163">
        <v>48</v>
      </c>
      <c r="B74" s="137" t="s">
        <v>704</v>
      </c>
      <c r="C74" s="163"/>
      <c r="D74" s="85" t="s">
        <v>14</v>
      </c>
      <c r="E74" s="141">
        <v>1</v>
      </c>
      <c r="F74" s="91">
        <v>2000</v>
      </c>
      <c r="G74" s="91">
        <f t="shared" si="5"/>
        <v>2000</v>
      </c>
      <c r="H74" s="91">
        <f t="shared" si="6"/>
        <v>0</v>
      </c>
    </row>
    <row r="75" spans="1:8" ht="66" x14ac:dyDescent="0.25">
      <c r="A75" s="163">
        <v>49</v>
      </c>
      <c r="B75" s="161" t="s">
        <v>705</v>
      </c>
      <c r="C75" s="163"/>
      <c r="D75" s="85" t="s">
        <v>14</v>
      </c>
      <c r="E75" s="141">
        <v>3</v>
      </c>
      <c r="F75" s="91">
        <v>1370</v>
      </c>
      <c r="G75" s="91">
        <f t="shared" si="5"/>
        <v>4110</v>
      </c>
      <c r="H75" s="91">
        <f t="shared" si="6"/>
        <v>0</v>
      </c>
    </row>
    <row r="76" spans="1:8" x14ac:dyDescent="0.25">
      <c r="A76" s="163">
        <v>50</v>
      </c>
      <c r="B76" s="137" t="s">
        <v>706</v>
      </c>
      <c r="C76" s="163"/>
      <c r="D76" s="85" t="s">
        <v>14</v>
      </c>
      <c r="E76" s="141">
        <v>1</v>
      </c>
      <c r="F76" s="91">
        <v>1370</v>
      </c>
      <c r="G76" s="91">
        <f t="shared" si="5"/>
        <v>1370</v>
      </c>
      <c r="H76" s="91">
        <f t="shared" si="6"/>
        <v>0</v>
      </c>
    </row>
    <row r="77" spans="1:8" ht="49.5" x14ac:dyDescent="0.25">
      <c r="A77" s="163">
        <v>51</v>
      </c>
      <c r="B77" s="137" t="s">
        <v>707</v>
      </c>
      <c r="C77" s="163"/>
      <c r="D77" s="85" t="s">
        <v>14</v>
      </c>
      <c r="E77" s="141">
        <v>1</v>
      </c>
      <c r="F77" s="91">
        <v>50890</v>
      </c>
      <c r="G77" s="91">
        <f t="shared" si="5"/>
        <v>50890</v>
      </c>
      <c r="H77" s="91">
        <f t="shared" si="6"/>
        <v>0</v>
      </c>
    </row>
    <row r="78" spans="1:8" ht="49.5" x14ac:dyDescent="0.25">
      <c r="A78" s="163">
        <v>52</v>
      </c>
      <c r="B78" s="137" t="s">
        <v>708</v>
      </c>
      <c r="C78" s="163"/>
      <c r="D78" s="85" t="s">
        <v>14</v>
      </c>
      <c r="E78" s="141">
        <v>1</v>
      </c>
      <c r="F78" s="91">
        <v>40000</v>
      </c>
      <c r="G78" s="91">
        <f t="shared" si="5"/>
        <v>40000</v>
      </c>
      <c r="H78" s="91">
        <f t="shared" si="6"/>
        <v>0</v>
      </c>
    </row>
    <row r="79" spans="1:8" ht="49.5" x14ac:dyDescent="0.25">
      <c r="A79" s="163">
        <v>53</v>
      </c>
      <c r="B79" s="137" t="s">
        <v>709</v>
      </c>
      <c r="C79" s="163"/>
      <c r="D79" s="85" t="s">
        <v>14</v>
      </c>
      <c r="E79" s="141">
        <v>1</v>
      </c>
      <c r="F79" s="91">
        <v>10000</v>
      </c>
      <c r="G79" s="91">
        <f t="shared" si="5"/>
        <v>10000</v>
      </c>
      <c r="H79" s="91">
        <f>E79*5000</f>
        <v>5000</v>
      </c>
    </row>
    <row r="80" spans="1:8" ht="33" x14ac:dyDescent="0.25">
      <c r="A80" s="163">
        <v>54</v>
      </c>
      <c r="B80" s="161" t="s">
        <v>710</v>
      </c>
      <c r="C80" s="163"/>
      <c r="D80" s="85" t="s">
        <v>14</v>
      </c>
      <c r="E80" s="141">
        <v>1</v>
      </c>
      <c r="F80" s="91">
        <v>5000</v>
      </c>
      <c r="G80" s="91">
        <f t="shared" si="5"/>
        <v>5000</v>
      </c>
      <c r="H80" s="91">
        <f t="shared" si="6"/>
        <v>0</v>
      </c>
    </row>
    <row r="81" spans="1:8" x14ac:dyDescent="0.25">
      <c r="A81" s="163">
        <v>55</v>
      </c>
      <c r="B81" s="137" t="s">
        <v>412</v>
      </c>
      <c r="C81" s="163"/>
      <c r="D81" s="85" t="s">
        <v>14</v>
      </c>
      <c r="E81" s="141">
        <v>1</v>
      </c>
      <c r="F81" s="91">
        <v>69000</v>
      </c>
      <c r="G81" s="91">
        <f t="shared" si="5"/>
        <v>69000</v>
      </c>
      <c r="H81" s="91">
        <f t="shared" si="6"/>
        <v>0</v>
      </c>
    </row>
    <row r="82" spans="1:8" ht="49.5" x14ac:dyDescent="0.25">
      <c r="A82" s="163">
        <v>56</v>
      </c>
      <c r="B82" s="137" t="s">
        <v>711</v>
      </c>
      <c r="C82" s="163"/>
      <c r="D82" s="85" t="s">
        <v>14</v>
      </c>
      <c r="E82" s="141">
        <v>2</v>
      </c>
      <c r="F82" s="91">
        <v>40000</v>
      </c>
      <c r="G82" s="91">
        <f t="shared" si="5"/>
        <v>80000</v>
      </c>
      <c r="H82" s="91">
        <f t="shared" si="6"/>
        <v>0</v>
      </c>
    </row>
    <row r="83" spans="1:8" x14ac:dyDescent="0.25">
      <c r="A83" s="163">
        <v>57</v>
      </c>
      <c r="B83" s="137" t="s">
        <v>712</v>
      </c>
      <c r="C83" s="163"/>
      <c r="D83" s="85" t="s">
        <v>14</v>
      </c>
      <c r="E83" s="141">
        <v>1</v>
      </c>
      <c r="F83" s="91">
        <v>5000</v>
      </c>
      <c r="G83" s="91">
        <f t="shared" si="5"/>
        <v>5000</v>
      </c>
      <c r="H83" s="91">
        <f t="shared" si="6"/>
        <v>0</v>
      </c>
    </row>
    <row r="84" spans="1:8" ht="99" x14ac:dyDescent="0.25">
      <c r="A84" s="163">
        <v>58</v>
      </c>
      <c r="B84" s="161" t="s">
        <v>713</v>
      </c>
      <c r="C84" s="163"/>
      <c r="D84" s="85" t="s">
        <v>14</v>
      </c>
      <c r="E84" s="141">
        <v>2</v>
      </c>
      <c r="F84" s="91">
        <v>78000</v>
      </c>
      <c r="G84" s="91">
        <f t="shared" si="5"/>
        <v>156000</v>
      </c>
      <c r="H84" s="91">
        <f t="shared" si="6"/>
        <v>0</v>
      </c>
    </row>
    <row r="85" spans="1:8" ht="49.5" x14ac:dyDescent="0.25">
      <c r="A85" s="163">
        <v>59</v>
      </c>
      <c r="B85" s="161" t="s">
        <v>714</v>
      </c>
      <c r="C85" s="163"/>
      <c r="D85" s="85" t="s">
        <v>14</v>
      </c>
      <c r="E85" s="141">
        <v>2</v>
      </c>
      <c r="F85" s="91">
        <v>83502</v>
      </c>
      <c r="G85" s="91">
        <f t="shared" si="5"/>
        <v>167004</v>
      </c>
      <c r="H85" s="91">
        <f t="shared" si="6"/>
        <v>0</v>
      </c>
    </row>
    <row r="86" spans="1:8" ht="66" x14ac:dyDescent="0.25">
      <c r="A86" s="163">
        <v>60</v>
      </c>
      <c r="B86" s="137" t="s">
        <v>715</v>
      </c>
      <c r="C86" s="163"/>
      <c r="D86" s="85" t="s">
        <v>14</v>
      </c>
      <c r="E86" s="141">
        <v>1</v>
      </c>
      <c r="F86" s="91">
        <v>110000</v>
      </c>
      <c r="G86" s="91">
        <f t="shared" si="5"/>
        <v>110000</v>
      </c>
      <c r="H86" s="91">
        <f t="shared" si="6"/>
        <v>0</v>
      </c>
    </row>
    <row r="87" spans="1:8" ht="33" x14ac:dyDescent="0.25">
      <c r="A87" s="163">
        <v>61</v>
      </c>
      <c r="B87" s="161" t="s">
        <v>716</v>
      </c>
      <c r="C87" s="163"/>
      <c r="D87" s="85" t="s">
        <v>14</v>
      </c>
      <c r="E87" s="141">
        <v>3</v>
      </c>
      <c r="F87" s="91">
        <v>500</v>
      </c>
      <c r="G87" s="91">
        <f t="shared" si="5"/>
        <v>1500</v>
      </c>
      <c r="H87" s="91">
        <f t="shared" si="6"/>
        <v>0</v>
      </c>
    </row>
    <row r="88" spans="1:8" ht="33" x14ac:dyDescent="0.25">
      <c r="A88" s="163">
        <v>62</v>
      </c>
      <c r="B88" s="161" t="s">
        <v>717</v>
      </c>
      <c r="C88" s="163"/>
      <c r="D88" s="85" t="s">
        <v>14</v>
      </c>
      <c r="E88" s="141">
        <v>1</v>
      </c>
      <c r="F88" s="91">
        <v>44000</v>
      </c>
      <c r="G88" s="91">
        <f t="shared" si="5"/>
        <v>44000</v>
      </c>
      <c r="H88" s="91">
        <f>E88*4000</f>
        <v>4000</v>
      </c>
    </row>
    <row r="89" spans="1:8" x14ac:dyDescent="0.25">
      <c r="A89" s="163">
        <v>63</v>
      </c>
      <c r="B89" s="161" t="s">
        <v>718</v>
      </c>
      <c r="C89" s="163"/>
      <c r="D89" s="85" t="s">
        <v>14</v>
      </c>
      <c r="E89" s="141">
        <v>1</v>
      </c>
      <c r="F89" s="91">
        <v>4000</v>
      </c>
      <c r="G89" s="91">
        <f t="shared" si="5"/>
        <v>4000</v>
      </c>
      <c r="H89" s="91">
        <f t="shared" si="6"/>
        <v>0</v>
      </c>
    </row>
    <row r="90" spans="1:8" s="69" customFormat="1" x14ac:dyDescent="0.25">
      <c r="A90" s="513" t="s">
        <v>39</v>
      </c>
      <c r="B90" s="513"/>
      <c r="C90" s="168"/>
      <c r="D90" s="168"/>
      <c r="E90" s="92">
        <f>SUM(E35:E89)</f>
        <v>229</v>
      </c>
      <c r="F90" s="86"/>
      <c r="G90" s="86">
        <f>SUM(G35:G89)</f>
        <v>3371144</v>
      </c>
      <c r="H90" s="86">
        <f>SUM(H35:H89)</f>
        <v>70360</v>
      </c>
    </row>
    <row r="91" spans="1:8" s="69" customFormat="1" ht="18.75" x14ac:dyDescent="0.25">
      <c r="A91" s="507" t="s">
        <v>590</v>
      </c>
      <c r="B91" s="508"/>
      <c r="C91" s="165"/>
      <c r="D91" s="165"/>
      <c r="E91" s="171">
        <f>E33+E90</f>
        <v>292</v>
      </c>
      <c r="F91" s="172"/>
      <c r="G91" s="172">
        <f>G33+G90</f>
        <v>11085933.1</v>
      </c>
      <c r="H91" s="172">
        <f>H33+H90</f>
        <v>211497.8571428571</v>
      </c>
    </row>
    <row r="93" spans="1:8" x14ac:dyDescent="0.25">
      <c r="G93" s="131"/>
    </row>
  </sheetData>
  <mergeCells count="15">
    <mergeCell ref="A90:B90"/>
    <mergeCell ref="A91:B91"/>
    <mergeCell ref="A11:H11"/>
    <mergeCell ref="A33:B33"/>
    <mergeCell ref="A34:H34"/>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9"/>
  <sheetViews>
    <sheetView topLeftCell="A181" workbookViewId="0">
      <selection activeCell="A15" sqref="A15:XFD15"/>
    </sheetView>
  </sheetViews>
  <sheetFormatPr defaultRowHeight="17.25" x14ac:dyDescent="0.25"/>
  <cols>
    <col min="1" max="1" width="4.28515625" style="122" customWidth="1"/>
    <col min="2" max="2" width="22.140625" style="122" customWidth="1"/>
    <col min="3" max="3" width="18.5703125" style="122" customWidth="1"/>
    <col min="4" max="4" width="11.42578125" style="122" customWidth="1"/>
    <col min="5" max="5" width="10.7109375" style="122" customWidth="1"/>
    <col min="6" max="8" width="17.140625" style="122" customWidth="1"/>
    <col min="9" max="16384" width="9.140625" style="122"/>
  </cols>
  <sheetData>
    <row r="1" spans="1:8" x14ac:dyDescent="0.25">
      <c r="E1" s="119"/>
      <c r="F1" s="119"/>
      <c r="G1" s="465" t="s">
        <v>97</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117.75" customHeight="1" x14ac:dyDescent="0.25">
      <c r="A6" s="516" t="s">
        <v>1257</v>
      </c>
      <c r="B6" s="516"/>
      <c r="C6" s="516"/>
      <c r="D6" s="516"/>
      <c r="E6" s="516"/>
      <c r="F6" s="516"/>
      <c r="G6" s="516"/>
      <c r="H6" s="516"/>
    </row>
    <row r="7" spans="1:8" x14ac:dyDescent="0.25">
      <c r="D7" s="123"/>
      <c r="E7" s="119"/>
      <c r="F7" s="119"/>
      <c r="G7" s="119"/>
    </row>
    <row r="8" spans="1:8" ht="69" x14ac:dyDescent="0.25">
      <c r="A8" s="498" t="s">
        <v>4</v>
      </c>
      <c r="B8" s="498" t="s">
        <v>5</v>
      </c>
      <c r="C8" s="498" t="s">
        <v>560</v>
      </c>
      <c r="D8" s="498" t="s">
        <v>6</v>
      </c>
      <c r="E8" s="498" t="s">
        <v>7</v>
      </c>
      <c r="F8" s="120" t="s">
        <v>8</v>
      </c>
      <c r="G8" s="120" t="s">
        <v>9</v>
      </c>
      <c r="H8" s="120" t="s">
        <v>10</v>
      </c>
    </row>
    <row r="9" spans="1:8" x14ac:dyDescent="0.25">
      <c r="A9" s="498"/>
      <c r="B9" s="498"/>
      <c r="C9" s="498"/>
      <c r="D9" s="498"/>
      <c r="E9" s="498"/>
      <c r="F9" s="120" t="s">
        <v>12</v>
      </c>
      <c r="G9" s="120" t="s">
        <v>12</v>
      </c>
      <c r="H9" s="120" t="s">
        <v>12</v>
      </c>
    </row>
    <row r="10" spans="1:8" x14ac:dyDescent="0.25">
      <c r="A10" s="120">
        <v>1</v>
      </c>
      <c r="B10" s="120">
        <v>2</v>
      </c>
      <c r="C10" s="120">
        <v>3</v>
      </c>
      <c r="D10" s="120">
        <v>4</v>
      </c>
      <c r="E10" s="120">
        <v>5</v>
      </c>
      <c r="F10" s="120">
        <v>6</v>
      </c>
      <c r="G10" s="120">
        <v>7</v>
      </c>
      <c r="H10" s="120">
        <v>8</v>
      </c>
    </row>
    <row r="11" spans="1:8" ht="21" customHeight="1" x14ac:dyDescent="0.25">
      <c r="A11" s="494" t="s">
        <v>1258</v>
      </c>
      <c r="B11" s="495"/>
      <c r="C11" s="495"/>
      <c r="D11" s="495"/>
      <c r="E11" s="495"/>
      <c r="F11" s="495"/>
      <c r="G11" s="495"/>
      <c r="H11" s="496"/>
    </row>
    <row r="12" spans="1:8" customFormat="1" ht="40.5" customHeight="1" x14ac:dyDescent="0.25">
      <c r="A12" s="510" t="s">
        <v>1259</v>
      </c>
      <c r="B12" s="511"/>
      <c r="C12" s="511"/>
      <c r="D12" s="511"/>
      <c r="E12" s="511"/>
      <c r="F12" s="511"/>
      <c r="G12" s="511"/>
      <c r="H12" s="512"/>
    </row>
    <row r="13" spans="1:8" customFormat="1" ht="49.5" x14ac:dyDescent="0.25">
      <c r="A13" s="141">
        <v>1</v>
      </c>
      <c r="B13" s="136" t="s">
        <v>152</v>
      </c>
      <c r="C13" s="141" t="s">
        <v>155</v>
      </c>
      <c r="D13" s="85" t="s">
        <v>14</v>
      </c>
      <c r="E13" s="125">
        <v>1</v>
      </c>
      <c r="F13" s="174">
        <v>148026</v>
      </c>
      <c r="G13" s="174">
        <f>E13*F13</f>
        <v>148026</v>
      </c>
      <c r="H13" s="174">
        <f>E13*0</f>
        <v>0</v>
      </c>
    </row>
    <row r="14" spans="1:8" ht="49.5" x14ac:dyDescent="0.25">
      <c r="A14" s="85">
        <v>2</v>
      </c>
      <c r="B14" s="126" t="s">
        <v>719</v>
      </c>
      <c r="C14" s="141" t="s">
        <v>156</v>
      </c>
      <c r="D14" s="85" t="s">
        <v>14</v>
      </c>
      <c r="E14" s="125">
        <v>1</v>
      </c>
      <c r="F14" s="174">
        <v>45422</v>
      </c>
      <c r="G14" s="174">
        <f>E14*F14</f>
        <v>45422</v>
      </c>
      <c r="H14" s="174">
        <f>E14*0</f>
        <v>0</v>
      </c>
    </row>
    <row r="15" spans="1:8" s="570" customFormat="1" ht="82.5" customHeight="1" x14ac:dyDescent="0.25">
      <c r="A15" s="290">
        <v>3</v>
      </c>
      <c r="B15" s="126" t="s">
        <v>720</v>
      </c>
      <c r="C15" s="290">
        <v>20021111112</v>
      </c>
      <c r="D15" s="290" t="s">
        <v>14</v>
      </c>
      <c r="E15" s="125">
        <v>1</v>
      </c>
      <c r="F15" s="174">
        <v>18250</v>
      </c>
      <c r="G15" s="174">
        <f>E15*F15</f>
        <v>18250</v>
      </c>
      <c r="H15" s="174">
        <f>E15*1825</f>
        <v>1825</v>
      </c>
    </row>
    <row r="16" spans="1:8" ht="17.25" customHeight="1" x14ac:dyDescent="0.25">
      <c r="A16" s="513" t="s">
        <v>39</v>
      </c>
      <c r="B16" s="513"/>
      <c r="C16" s="168"/>
      <c r="D16" s="168"/>
      <c r="E16" s="107">
        <f>SUM(E13:E15)</f>
        <v>3</v>
      </c>
      <c r="F16" s="178"/>
      <c r="G16" s="178">
        <f>SUM(G13:G15)</f>
        <v>211698</v>
      </c>
      <c r="H16" s="178">
        <f>SUM(H13:H15)</f>
        <v>1825</v>
      </c>
    </row>
    <row r="17" spans="1:8" ht="39" customHeight="1" x14ac:dyDescent="0.25">
      <c r="A17" s="510" t="s">
        <v>1260</v>
      </c>
      <c r="B17" s="511"/>
      <c r="C17" s="511"/>
      <c r="D17" s="511"/>
      <c r="E17" s="511"/>
      <c r="F17" s="511"/>
      <c r="G17" s="511"/>
      <c r="H17" s="512"/>
    </row>
    <row r="18" spans="1:8" ht="49.5" x14ac:dyDescent="0.25">
      <c r="A18" s="85">
        <v>4</v>
      </c>
      <c r="B18" s="136" t="s">
        <v>152</v>
      </c>
      <c r="C18" s="141" t="s">
        <v>721</v>
      </c>
      <c r="D18" s="85" t="s">
        <v>14</v>
      </c>
      <c r="E18" s="125">
        <v>2</v>
      </c>
      <c r="F18" s="91">
        <v>148026</v>
      </c>
      <c r="G18" s="174">
        <f>E18*F18</f>
        <v>296052</v>
      </c>
      <c r="H18" s="174">
        <f>E18*0</f>
        <v>0</v>
      </c>
    </row>
    <row r="19" spans="1:8" s="69" customFormat="1" ht="66" x14ac:dyDescent="0.25">
      <c r="A19" s="93">
        <v>5</v>
      </c>
      <c r="B19" s="126" t="s">
        <v>719</v>
      </c>
      <c r="C19" s="141" t="s">
        <v>722</v>
      </c>
      <c r="D19" s="85" t="s">
        <v>14</v>
      </c>
      <c r="E19" s="125">
        <v>2</v>
      </c>
      <c r="F19" s="91">
        <v>45422</v>
      </c>
      <c r="G19" s="174">
        <f>E19*F19</f>
        <v>90844</v>
      </c>
      <c r="H19" s="174">
        <f>E19*0</f>
        <v>0</v>
      </c>
    </row>
    <row r="20" spans="1:8" ht="82.5" x14ac:dyDescent="0.25">
      <c r="A20" s="176">
        <v>6</v>
      </c>
      <c r="B20" s="126" t="s">
        <v>720</v>
      </c>
      <c r="C20" s="141" t="s">
        <v>723</v>
      </c>
      <c r="D20" s="85" t="s">
        <v>14</v>
      </c>
      <c r="E20" s="125">
        <v>3</v>
      </c>
      <c r="F20" s="91">
        <v>18250</v>
      </c>
      <c r="G20" s="174">
        <f>E20*F20</f>
        <v>54750</v>
      </c>
      <c r="H20" s="91">
        <f>E20*1825</f>
        <v>5475</v>
      </c>
    </row>
    <row r="21" spans="1:8" x14ac:dyDescent="0.25">
      <c r="A21" s="513" t="s">
        <v>39</v>
      </c>
      <c r="B21" s="513"/>
      <c r="C21" s="168"/>
      <c r="D21" s="168"/>
      <c r="E21" s="107">
        <f>SUM(E18:E20)</f>
        <v>7</v>
      </c>
      <c r="F21" s="178"/>
      <c r="G21" s="178">
        <f>SUM(G18:G20)</f>
        <v>441646</v>
      </c>
      <c r="H21" s="178">
        <f>SUM(H18:H20)</f>
        <v>5475</v>
      </c>
    </row>
    <row r="22" spans="1:8" ht="18.75" x14ac:dyDescent="0.25">
      <c r="A22" s="507" t="s">
        <v>133</v>
      </c>
      <c r="B22" s="508"/>
      <c r="C22" s="165"/>
      <c r="D22" s="165"/>
      <c r="E22" s="171">
        <f>E16+E21</f>
        <v>10</v>
      </c>
      <c r="F22" s="177"/>
      <c r="G22" s="177">
        <f>G16+G21</f>
        <v>653344</v>
      </c>
      <c r="H22" s="177">
        <f>H16+H21</f>
        <v>7300</v>
      </c>
    </row>
    <row r="23" spans="1:8" ht="27" customHeight="1" x14ac:dyDescent="0.25">
      <c r="A23" s="494" t="s">
        <v>1261</v>
      </c>
      <c r="B23" s="495"/>
      <c r="C23" s="495"/>
      <c r="D23" s="495"/>
      <c r="E23" s="495"/>
      <c r="F23" s="495"/>
      <c r="G23" s="495"/>
      <c r="H23" s="496"/>
    </row>
    <row r="24" spans="1:8" ht="39" customHeight="1" x14ac:dyDescent="0.25">
      <c r="A24" s="510" t="s">
        <v>1262</v>
      </c>
      <c r="B24" s="511"/>
      <c r="C24" s="511"/>
      <c r="D24" s="511"/>
      <c r="E24" s="511"/>
      <c r="F24" s="511"/>
      <c r="G24" s="511"/>
      <c r="H24" s="512"/>
    </row>
    <row r="25" spans="1:8" ht="49.5" x14ac:dyDescent="0.25">
      <c r="A25" s="406">
        <v>1</v>
      </c>
      <c r="B25" s="136" t="s">
        <v>152</v>
      </c>
      <c r="C25" s="182" t="s">
        <v>724</v>
      </c>
      <c r="D25" s="406" t="s">
        <v>14</v>
      </c>
      <c r="E25" s="125">
        <v>3</v>
      </c>
      <c r="F25" s="174">
        <v>148026</v>
      </c>
      <c r="G25" s="91">
        <f>E25*F25</f>
        <v>444078</v>
      </c>
      <c r="H25" s="91">
        <f>E25*0</f>
        <v>0</v>
      </c>
    </row>
    <row r="26" spans="1:8" ht="66" x14ac:dyDescent="0.25">
      <c r="A26" s="406">
        <v>2</v>
      </c>
      <c r="B26" s="126" t="s">
        <v>719</v>
      </c>
      <c r="C26" s="182" t="s">
        <v>725</v>
      </c>
      <c r="D26" s="406" t="s">
        <v>14</v>
      </c>
      <c r="E26" s="125">
        <v>2</v>
      </c>
      <c r="F26" s="174">
        <v>45422</v>
      </c>
      <c r="G26" s="91">
        <f>E26*F26</f>
        <v>90844</v>
      </c>
      <c r="H26" s="91">
        <f>E26*0</f>
        <v>0</v>
      </c>
    </row>
    <row r="27" spans="1:8" ht="82.5" x14ac:dyDescent="0.25">
      <c r="A27" s="406">
        <v>3</v>
      </c>
      <c r="B27" s="126" t="s">
        <v>720</v>
      </c>
      <c r="C27" s="183" t="s">
        <v>726</v>
      </c>
      <c r="D27" s="406" t="s">
        <v>14</v>
      </c>
      <c r="E27" s="409">
        <v>4</v>
      </c>
      <c r="F27" s="174">
        <v>18250</v>
      </c>
      <c r="G27" s="91">
        <f>E27*F27</f>
        <v>73000</v>
      </c>
      <c r="H27" s="91">
        <f>E27*1825</f>
        <v>7300</v>
      </c>
    </row>
    <row r="28" spans="1:8" x14ac:dyDescent="0.25">
      <c r="A28" s="513" t="s">
        <v>39</v>
      </c>
      <c r="B28" s="513"/>
      <c r="C28" s="168"/>
      <c r="D28" s="168"/>
      <c r="E28" s="107">
        <f>SUM(E25:E27)</f>
        <v>9</v>
      </c>
      <c r="F28" s="178"/>
      <c r="G28" s="178">
        <f>SUM(G25:G27)</f>
        <v>607922</v>
      </c>
      <c r="H28" s="178">
        <f>SUM(H25:H27)</f>
        <v>7300</v>
      </c>
    </row>
    <row r="29" spans="1:8" ht="36.75" customHeight="1" x14ac:dyDescent="0.25">
      <c r="A29" s="510" t="s">
        <v>1263</v>
      </c>
      <c r="B29" s="511"/>
      <c r="C29" s="511"/>
      <c r="D29" s="511"/>
      <c r="E29" s="511"/>
      <c r="F29" s="511"/>
      <c r="G29" s="511"/>
      <c r="H29" s="512"/>
    </row>
    <row r="30" spans="1:8" ht="49.5" x14ac:dyDescent="0.25">
      <c r="A30" s="142">
        <v>4</v>
      </c>
      <c r="B30" s="126" t="s">
        <v>152</v>
      </c>
      <c r="C30" s="290" t="s">
        <v>727</v>
      </c>
      <c r="D30" s="406" t="s">
        <v>14</v>
      </c>
      <c r="E30" s="125">
        <v>1</v>
      </c>
      <c r="F30" s="174">
        <v>148026</v>
      </c>
      <c r="G30" s="174">
        <f t="shared" ref="G30:G33" si="0">E30*F30</f>
        <v>148026</v>
      </c>
      <c r="H30" s="91">
        <f>E30*0</f>
        <v>0</v>
      </c>
    </row>
    <row r="31" spans="1:8" ht="49.5" x14ac:dyDescent="0.25">
      <c r="A31" s="179">
        <v>5</v>
      </c>
      <c r="B31" s="126" t="s">
        <v>152</v>
      </c>
      <c r="C31" s="290" t="s">
        <v>728</v>
      </c>
      <c r="D31" s="406" t="s">
        <v>14</v>
      </c>
      <c r="E31" s="125">
        <v>1</v>
      </c>
      <c r="F31" s="174">
        <v>148027</v>
      </c>
      <c r="G31" s="174">
        <f>E31*F31</f>
        <v>148027</v>
      </c>
      <c r="H31" s="91">
        <f>E31*0</f>
        <v>0</v>
      </c>
    </row>
    <row r="32" spans="1:8" ht="49.5" x14ac:dyDescent="0.25">
      <c r="A32" s="179">
        <v>6</v>
      </c>
      <c r="B32" s="126" t="s">
        <v>719</v>
      </c>
      <c r="C32" s="290" t="s">
        <v>729</v>
      </c>
      <c r="D32" s="406" t="s">
        <v>14</v>
      </c>
      <c r="E32" s="125">
        <v>1</v>
      </c>
      <c r="F32" s="174">
        <v>45421</v>
      </c>
      <c r="G32" s="174">
        <f>E32*F32</f>
        <v>45421</v>
      </c>
      <c r="H32" s="91">
        <f>E32*0</f>
        <v>0</v>
      </c>
    </row>
    <row r="33" spans="1:8" ht="49.5" x14ac:dyDescent="0.25">
      <c r="A33" s="176">
        <v>7</v>
      </c>
      <c r="B33" s="126" t="s">
        <v>719</v>
      </c>
      <c r="C33" s="290" t="s">
        <v>730</v>
      </c>
      <c r="D33" s="406" t="s">
        <v>14</v>
      </c>
      <c r="E33" s="125">
        <v>1</v>
      </c>
      <c r="F33" s="174">
        <v>45422</v>
      </c>
      <c r="G33" s="174">
        <f t="shared" si="0"/>
        <v>45422</v>
      </c>
      <c r="H33" s="91">
        <f>E33*0</f>
        <v>0</v>
      </c>
    </row>
    <row r="34" spans="1:8" x14ac:dyDescent="0.25">
      <c r="A34" s="513" t="s">
        <v>39</v>
      </c>
      <c r="B34" s="513"/>
      <c r="C34" s="405"/>
      <c r="D34" s="403"/>
      <c r="E34" s="180">
        <f>SUM(E30:E33)</f>
        <v>4</v>
      </c>
      <c r="F34" s="180"/>
      <c r="G34" s="178">
        <f>SUM(G30:G33)</f>
        <v>386896</v>
      </c>
      <c r="H34" s="178">
        <f>SUM(H30:H33)</f>
        <v>0</v>
      </c>
    </row>
    <row r="35" spans="1:8" ht="41.25" customHeight="1" x14ac:dyDescent="0.25">
      <c r="A35" s="510" t="s">
        <v>1264</v>
      </c>
      <c r="B35" s="511"/>
      <c r="C35" s="511"/>
      <c r="D35" s="511"/>
      <c r="E35" s="511"/>
      <c r="F35" s="511"/>
      <c r="G35" s="511"/>
      <c r="H35" s="512"/>
    </row>
    <row r="36" spans="1:8" ht="49.5" x14ac:dyDescent="0.25">
      <c r="A36" s="163">
        <v>8</v>
      </c>
      <c r="B36" s="136" t="s">
        <v>152</v>
      </c>
      <c r="C36" s="290" t="s">
        <v>731</v>
      </c>
      <c r="D36" s="290" t="s">
        <v>14</v>
      </c>
      <c r="E36" s="181">
        <v>1</v>
      </c>
      <c r="F36" s="174">
        <v>148026</v>
      </c>
      <c r="G36" s="174">
        <f>E36*F36</f>
        <v>148026</v>
      </c>
      <c r="H36" s="174">
        <v>0</v>
      </c>
    </row>
    <row r="37" spans="1:8" ht="33" x14ac:dyDescent="0.25">
      <c r="A37" s="163">
        <v>9</v>
      </c>
      <c r="B37" s="126" t="s">
        <v>153</v>
      </c>
      <c r="C37" s="290" t="s">
        <v>732</v>
      </c>
      <c r="D37" s="290" t="s">
        <v>14</v>
      </c>
      <c r="E37" s="181">
        <v>1</v>
      </c>
      <c r="F37" s="174">
        <v>45422</v>
      </c>
      <c r="G37" s="174">
        <f>E37*F37</f>
        <v>45422</v>
      </c>
      <c r="H37" s="174">
        <v>0</v>
      </c>
    </row>
    <row r="38" spans="1:8" x14ac:dyDescent="0.25">
      <c r="A38" s="513" t="s">
        <v>39</v>
      </c>
      <c r="B38" s="513"/>
      <c r="C38" s="290"/>
      <c r="D38" s="406"/>
      <c r="E38" s="180">
        <f>SUM(E36:E37)</f>
        <v>2</v>
      </c>
      <c r="F38" s="125"/>
      <c r="G38" s="178">
        <f>SUM(G36:G37)</f>
        <v>193448</v>
      </c>
      <c r="H38" s="178">
        <f>SUM(H36:H37)</f>
        <v>0</v>
      </c>
    </row>
    <row r="39" spans="1:8" ht="18.75" x14ac:dyDescent="0.25">
      <c r="A39" s="517" t="s">
        <v>133</v>
      </c>
      <c r="B39" s="517"/>
      <c r="C39" s="165"/>
      <c r="D39" s="165"/>
      <c r="E39" s="171">
        <f>E28+E34+E38</f>
        <v>15</v>
      </c>
      <c r="F39" s="171"/>
      <c r="G39" s="175">
        <f>G28+G34+G38</f>
        <v>1188266</v>
      </c>
      <c r="H39" s="175">
        <f>H28+H34+H38</f>
        <v>7300</v>
      </c>
    </row>
    <row r="40" spans="1:8" ht="26.25" customHeight="1" x14ac:dyDescent="0.25">
      <c r="A40" s="494" t="s">
        <v>1265</v>
      </c>
      <c r="B40" s="495"/>
      <c r="C40" s="495"/>
      <c r="D40" s="495"/>
      <c r="E40" s="495"/>
      <c r="F40" s="495"/>
      <c r="G40" s="495"/>
      <c r="H40" s="496"/>
    </row>
    <row r="41" spans="1:8" ht="39.75" customHeight="1" x14ac:dyDescent="0.25">
      <c r="A41" s="510" t="s">
        <v>1266</v>
      </c>
      <c r="B41" s="511"/>
      <c r="C41" s="511"/>
      <c r="D41" s="511"/>
      <c r="E41" s="511"/>
      <c r="F41" s="511"/>
      <c r="G41" s="511"/>
      <c r="H41" s="512"/>
    </row>
    <row r="42" spans="1:8" ht="49.5" x14ac:dyDescent="0.25">
      <c r="A42" s="406">
        <v>1</v>
      </c>
      <c r="B42" s="136" t="s">
        <v>152</v>
      </c>
      <c r="C42" s="290" t="s">
        <v>733</v>
      </c>
      <c r="D42" s="290" t="s">
        <v>14</v>
      </c>
      <c r="E42" s="125">
        <v>2</v>
      </c>
      <c r="F42" s="174">
        <v>148026</v>
      </c>
      <c r="G42" s="128">
        <f>E42*F42</f>
        <v>296052</v>
      </c>
      <c r="H42" s="128">
        <f>E42*0</f>
        <v>0</v>
      </c>
    </row>
    <row r="43" spans="1:8" ht="49.5" x14ac:dyDescent="0.25">
      <c r="A43" s="406">
        <v>2</v>
      </c>
      <c r="B43" s="126" t="s">
        <v>719</v>
      </c>
      <c r="C43" s="290" t="s">
        <v>734</v>
      </c>
      <c r="D43" s="290" t="s">
        <v>14</v>
      </c>
      <c r="E43" s="125">
        <v>1</v>
      </c>
      <c r="F43" s="174">
        <v>45422</v>
      </c>
      <c r="G43" s="128">
        <f>E43*F43</f>
        <v>45422</v>
      </c>
      <c r="H43" s="128">
        <f>E43*0</f>
        <v>0</v>
      </c>
    </row>
    <row r="44" spans="1:8" ht="82.5" x14ac:dyDescent="0.25">
      <c r="A44" s="406">
        <v>3</v>
      </c>
      <c r="B44" s="126" t="s">
        <v>720</v>
      </c>
      <c r="C44" s="290" t="s">
        <v>735</v>
      </c>
      <c r="D44" s="290" t="s">
        <v>14</v>
      </c>
      <c r="E44" s="125">
        <v>4</v>
      </c>
      <c r="F44" s="174">
        <v>18250</v>
      </c>
      <c r="G44" s="128">
        <f>E44*F44</f>
        <v>73000</v>
      </c>
      <c r="H44" s="128">
        <f>E44*1825</f>
        <v>7300</v>
      </c>
    </row>
    <row r="45" spans="1:8" x14ac:dyDescent="0.25">
      <c r="A45" s="513" t="s">
        <v>39</v>
      </c>
      <c r="B45" s="513"/>
      <c r="C45" s="168"/>
      <c r="D45" s="168"/>
      <c r="E45" s="107">
        <f>SUM(E42:E44)</f>
        <v>7</v>
      </c>
      <c r="F45" s="178"/>
      <c r="G45" s="178">
        <f>SUM(G42:G44)</f>
        <v>414474</v>
      </c>
      <c r="H45" s="178">
        <f>SUM(H42:H44)</f>
        <v>7300</v>
      </c>
    </row>
    <row r="46" spans="1:8" ht="46.5" customHeight="1" x14ac:dyDescent="0.25">
      <c r="A46" s="510" t="s">
        <v>1267</v>
      </c>
      <c r="B46" s="511"/>
      <c r="C46" s="511"/>
      <c r="D46" s="511"/>
      <c r="E46" s="511"/>
      <c r="F46" s="511"/>
      <c r="G46" s="511"/>
      <c r="H46" s="512"/>
    </row>
    <row r="47" spans="1:8" ht="49.5" x14ac:dyDescent="0.25">
      <c r="A47" s="406">
        <v>4</v>
      </c>
      <c r="B47" s="136" t="s">
        <v>152</v>
      </c>
      <c r="C47" s="290" t="s">
        <v>736</v>
      </c>
      <c r="D47" s="290" t="s">
        <v>14</v>
      </c>
      <c r="E47" s="125">
        <v>1</v>
      </c>
      <c r="F47" s="174">
        <v>148026</v>
      </c>
      <c r="G47" s="128">
        <f t="shared" ref="G47:G52" si="1">E47*F47</f>
        <v>148026</v>
      </c>
      <c r="H47" s="128">
        <f>E47*0</f>
        <v>0</v>
      </c>
    </row>
    <row r="48" spans="1:8" ht="49.5" x14ac:dyDescent="0.25">
      <c r="A48" s="138">
        <v>5</v>
      </c>
      <c r="B48" s="126" t="s">
        <v>719</v>
      </c>
      <c r="C48" s="290" t="s">
        <v>730</v>
      </c>
      <c r="D48" s="290" t="s">
        <v>14</v>
      </c>
      <c r="E48" s="125">
        <v>1</v>
      </c>
      <c r="F48" s="174">
        <v>45422</v>
      </c>
      <c r="G48" s="128">
        <f t="shared" si="1"/>
        <v>45422</v>
      </c>
      <c r="H48" s="128">
        <f>E48*0</f>
        <v>0</v>
      </c>
    </row>
    <row r="49" spans="1:8" ht="82.5" x14ac:dyDescent="0.25">
      <c r="A49" s="138">
        <v>6</v>
      </c>
      <c r="B49" s="126" t="s">
        <v>720</v>
      </c>
      <c r="C49" s="290">
        <v>20021121112</v>
      </c>
      <c r="D49" s="290" t="s">
        <v>14</v>
      </c>
      <c r="E49" s="125">
        <v>1</v>
      </c>
      <c r="F49" s="174">
        <v>18250</v>
      </c>
      <c r="G49" s="128">
        <f t="shared" si="1"/>
        <v>18250</v>
      </c>
      <c r="H49" s="128">
        <f>E49*1825</f>
        <v>1825</v>
      </c>
    </row>
    <row r="50" spans="1:8" ht="66" x14ac:dyDescent="0.25">
      <c r="A50" s="138">
        <v>7</v>
      </c>
      <c r="B50" s="126" t="s">
        <v>737</v>
      </c>
      <c r="C50" s="290" t="s">
        <v>738</v>
      </c>
      <c r="D50" s="290" t="s">
        <v>14</v>
      </c>
      <c r="E50" s="125">
        <v>2</v>
      </c>
      <c r="F50" s="174">
        <v>80408</v>
      </c>
      <c r="G50" s="128">
        <f t="shared" si="1"/>
        <v>160816</v>
      </c>
      <c r="H50" s="128">
        <f>E50*0</f>
        <v>0</v>
      </c>
    </row>
    <row r="51" spans="1:8" ht="66" x14ac:dyDescent="0.25">
      <c r="A51" s="138">
        <v>8</v>
      </c>
      <c r="B51" s="134" t="s">
        <v>561</v>
      </c>
      <c r="C51" s="290" t="s">
        <v>739</v>
      </c>
      <c r="D51" s="290" t="s">
        <v>14</v>
      </c>
      <c r="E51" s="125">
        <v>1</v>
      </c>
      <c r="F51" s="174">
        <v>160472</v>
      </c>
      <c r="G51" s="128">
        <f t="shared" si="1"/>
        <v>160472</v>
      </c>
      <c r="H51" s="128">
        <f>E51*0</f>
        <v>0</v>
      </c>
    </row>
    <row r="52" spans="1:8" ht="99" x14ac:dyDescent="0.25">
      <c r="A52" s="138">
        <v>9</v>
      </c>
      <c r="B52" s="126" t="s">
        <v>740</v>
      </c>
      <c r="C52" s="290" t="s">
        <v>741</v>
      </c>
      <c r="D52" s="290" t="s">
        <v>14</v>
      </c>
      <c r="E52" s="125">
        <v>2</v>
      </c>
      <c r="F52" s="174">
        <v>41700</v>
      </c>
      <c r="G52" s="128">
        <f t="shared" si="1"/>
        <v>83400</v>
      </c>
      <c r="H52" s="128">
        <v>0</v>
      </c>
    </row>
    <row r="53" spans="1:8" x14ac:dyDescent="0.25">
      <c r="A53" s="513" t="s">
        <v>39</v>
      </c>
      <c r="B53" s="513"/>
      <c r="C53" s="168"/>
      <c r="D53" s="168"/>
      <c r="E53" s="107">
        <f>SUM(E47:E52)</f>
        <v>8</v>
      </c>
      <c r="F53" s="178"/>
      <c r="G53" s="178">
        <f>SUM(G47:G52)</f>
        <v>616386</v>
      </c>
      <c r="H53" s="178">
        <f>SUM(H47:H52)</f>
        <v>1825</v>
      </c>
    </row>
    <row r="54" spans="1:8" ht="43.5" customHeight="1" x14ac:dyDescent="0.25">
      <c r="A54" s="510" t="s">
        <v>1268</v>
      </c>
      <c r="B54" s="511"/>
      <c r="C54" s="511"/>
      <c r="D54" s="511"/>
      <c r="E54" s="511"/>
      <c r="F54" s="511"/>
      <c r="G54" s="511"/>
      <c r="H54" s="512"/>
    </row>
    <row r="55" spans="1:8" ht="49.5" x14ac:dyDescent="0.25">
      <c r="A55" s="406">
        <v>4</v>
      </c>
      <c r="B55" s="136" t="s">
        <v>152</v>
      </c>
      <c r="C55" s="212" t="s">
        <v>862</v>
      </c>
      <c r="D55" s="290" t="s">
        <v>14</v>
      </c>
      <c r="E55" s="125">
        <v>1</v>
      </c>
      <c r="F55" s="174">
        <v>148026</v>
      </c>
      <c r="G55" s="128">
        <f t="shared" ref="G55" si="2">E55*F55</f>
        <v>148026</v>
      </c>
      <c r="H55" s="128">
        <f>E55*0</f>
        <v>0</v>
      </c>
    </row>
    <row r="56" spans="1:8" x14ac:dyDescent="0.25">
      <c r="A56" s="514" t="s">
        <v>39</v>
      </c>
      <c r="B56" s="514"/>
      <c r="C56" s="213"/>
      <c r="D56" s="213"/>
      <c r="E56" s="214">
        <f>SUM(E55:E55)</f>
        <v>1</v>
      </c>
      <c r="F56" s="175"/>
      <c r="G56" s="175">
        <f>SUM(G55:G55)</f>
        <v>148026</v>
      </c>
      <c r="H56" s="175">
        <f>SUM(H55:H55)</f>
        <v>0</v>
      </c>
    </row>
    <row r="57" spans="1:8" ht="18.75" x14ac:dyDescent="0.25">
      <c r="A57" s="507" t="s">
        <v>133</v>
      </c>
      <c r="B57" s="508"/>
      <c r="C57" s="165"/>
      <c r="D57" s="165"/>
      <c r="E57" s="171">
        <f>E45+E53+E56</f>
        <v>16</v>
      </c>
      <c r="F57" s="171"/>
      <c r="G57" s="172">
        <f t="shared" ref="G57:H57" si="3">G45+G53+G56</f>
        <v>1178886</v>
      </c>
      <c r="H57" s="172">
        <f t="shared" si="3"/>
        <v>9125</v>
      </c>
    </row>
    <row r="58" spans="1:8" ht="26.25" customHeight="1" x14ac:dyDescent="0.25">
      <c r="A58" s="494" t="s">
        <v>1269</v>
      </c>
      <c r="B58" s="495"/>
      <c r="C58" s="495"/>
      <c r="D58" s="495"/>
      <c r="E58" s="495"/>
      <c r="F58" s="495"/>
      <c r="G58" s="495"/>
      <c r="H58" s="496"/>
    </row>
    <row r="59" spans="1:8" ht="46.5" customHeight="1" x14ac:dyDescent="0.25">
      <c r="A59" s="510" t="s">
        <v>1270</v>
      </c>
      <c r="B59" s="511"/>
      <c r="C59" s="511"/>
      <c r="D59" s="511"/>
      <c r="E59" s="511"/>
      <c r="F59" s="511"/>
      <c r="G59" s="511"/>
      <c r="H59" s="512"/>
    </row>
    <row r="60" spans="1:8" ht="49.5" x14ac:dyDescent="0.25">
      <c r="A60" s="406">
        <v>1</v>
      </c>
      <c r="B60" s="136" t="s">
        <v>152</v>
      </c>
      <c r="C60" s="290" t="s">
        <v>742</v>
      </c>
      <c r="D60" s="406" t="s">
        <v>14</v>
      </c>
      <c r="E60" s="125">
        <v>1</v>
      </c>
      <c r="F60" s="174">
        <v>148026</v>
      </c>
      <c r="G60" s="91">
        <f>E60*F60</f>
        <v>148026</v>
      </c>
      <c r="H60" s="91">
        <f>E60*0</f>
        <v>0</v>
      </c>
    </row>
    <row r="61" spans="1:8" ht="49.5" x14ac:dyDescent="0.25">
      <c r="A61" s="406">
        <v>2</v>
      </c>
      <c r="B61" s="126" t="s">
        <v>719</v>
      </c>
      <c r="C61" s="290" t="s">
        <v>743</v>
      </c>
      <c r="D61" s="406" t="s">
        <v>14</v>
      </c>
      <c r="E61" s="125">
        <v>1</v>
      </c>
      <c r="F61" s="174">
        <v>45422</v>
      </c>
      <c r="G61" s="91">
        <f>E61*F61</f>
        <v>45422</v>
      </c>
      <c r="H61" s="91">
        <f>E61*0</f>
        <v>0</v>
      </c>
    </row>
    <row r="62" spans="1:8" x14ac:dyDescent="0.25">
      <c r="A62" s="513" t="s">
        <v>39</v>
      </c>
      <c r="B62" s="513"/>
      <c r="C62" s="168"/>
      <c r="D62" s="168"/>
      <c r="E62" s="107">
        <f>SUM(E60:E61)</f>
        <v>2</v>
      </c>
      <c r="F62" s="86"/>
      <c r="G62" s="86">
        <f>SUM(G60:G61)</f>
        <v>193448</v>
      </c>
      <c r="H62" s="86">
        <f>SUM(H60:H61)</f>
        <v>0</v>
      </c>
    </row>
    <row r="63" spans="1:8" ht="42" customHeight="1" x14ac:dyDescent="0.25">
      <c r="A63" s="510" t="s">
        <v>1271</v>
      </c>
      <c r="B63" s="511"/>
      <c r="C63" s="511"/>
      <c r="D63" s="511"/>
      <c r="E63" s="511"/>
      <c r="F63" s="511"/>
      <c r="G63" s="511"/>
      <c r="H63" s="512"/>
    </row>
    <row r="64" spans="1:8" ht="49.5" x14ac:dyDescent="0.25">
      <c r="A64" s="406">
        <v>3</v>
      </c>
      <c r="B64" s="136" t="s">
        <v>152</v>
      </c>
      <c r="C64" s="290" t="s">
        <v>744</v>
      </c>
      <c r="D64" s="406" t="s">
        <v>14</v>
      </c>
      <c r="E64" s="43">
        <v>2</v>
      </c>
      <c r="F64" s="174">
        <v>148026</v>
      </c>
      <c r="G64" s="91">
        <f>E64*F64</f>
        <v>296052</v>
      </c>
      <c r="H64" s="91">
        <f>E64*0</f>
        <v>0</v>
      </c>
    </row>
    <row r="65" spans="1:8" ht="66" x14ac:dyDescent="0.25">
      <c r="A65" s="406">
        <v>4</v>
      </c>
      <c r="B65" s="126" t="s">
        <v>719</v>
      </c>
      <c r="C65" s="290" t="s">
        <v>745</v>
      </c>
      <c r="D65" s="406" t="s">
        <v>14</v>
      </c>
      <c r="E65" s="43">
        <v>2</v>
      </c>
      <c r="F65" s="174">
        <v>45422</v>
      </c>
      <c r="G65" s="91">
        <f>E65*F65</f>
        <v>90844</v>
      </c>
      <c r="H65" s="91">
        <f>E65*0</f>
        <v>0</v>
      </c>
    </row>
    <row r="66" spans="1:8" x14ac:dyDescent="0.25">
      <c r="A66" s="513" t="s">
        <v>39</v>
      </c>
      <c r="B66" s="513"/>
      <c r="C66" s="168"/>
      <c r="D66" s="168"/>
      <c r="E66" s="107">
        <f>SUM(E64:E65)</f>
        <v>4</v>
      </c>
      <c r="F66" s="86"/>
      <c r="G66" s="86">
        <f>SUM(G64:G65)</f>
        <v>386896</v>
      </c>
      <c r="H66" s="86">
        <f>SUM(H64:H65)</f>
        <v>0</v>
      </c>
    </row>
    <row r="67" spans="1:8" ht="42.75" customHeight="1" x14ac:dyDescent="0.25">
      <c r="A67" s="510" t="s">
        <v>1272</v>
      </c>
      <c r="B67" s="511"/>
      <c r="C67" s="511"/>
      <c r="D67" s="511"/>
      <c r="E67" s="511"/>
      <c r="F67" s="511"/>
      <c r="G67" s="511"/>
      <c r="H67" s="512"/>
    </row>
    <row r="68" spans="1:8" ht="49.5" x14ac:dyDescent="0.25">
      <c r="A68" s="138">
        <v>5</v>
      </c>
      <c r="B68" s="136" t="s">
        <v>152</v>
      </c>
      <c r="C68" s="290" t="s">
        <v>746</v>
      </c>
      <c r="D68" s="406" t="s">
        <v>14</v>
      </c>
      <c r="E68" s="125">
        <v>1</v>
      </c>
      <c r="F68" s="174">
        <v>148026</v>
      </c>
      <c r="G68" s="91">
        <f>E68*F68</f>
        <v>148026</v>
      </c>
      <c r="H68" s="91">
        <f>E68*0</f>
        <v>0</v>
      </c>
    </row>
    <row r="69" spans="1:8" ht="49.5" x14ac:dyDescent="0.25">
      <c r="A69" s="138">
        <v>6</v>
      </c>
      <c r="B69" s="126" t="s">
        <v>719</v>
      </c>
      <c r="C69" s="290" t="s">
        <v>747</v>
      </c>
      <c r="D69" s="406" t="s">
        <v>14</v>
      </c>
      <c r="E69" s="125">
        <v>1</v>
      </c>
      <c r="F69" s="174">
        <v>45422</v>
      </c>
      <c r="G69" s="91">
        <f>E69*F69</f>
        <v>45422</v>
      </c>
      <c r="H69" s="91">
        <f>E69*0</f>
        <v>0</v>
      </c>
    </row>
    <row r="70" spans="1:8" ht="82.5" x14ac:dyDescent="0.25">
      <c r="A70" s="138">
        <v>7</v>
      </c>
      <c r="B70" s="126" t="s">
        <v>720</v>
      </c>
      <c r="C70" s="290" t="s">
        <v>748</v>
      </c>
      <c r="D70" s="406" t="s">
        <v>14</v>
      </c>
      <c r="E70" s="125">
        <v>2</v>
      </c>
      <c r="F70" s="174">
        <v>18250</v>
      </c>
      <c r="G70" s="91">
        <f>E70*F70</f>
        <v>36500</v>
      </c>
      <c r="H70" s="91">
        <f>E70*1825</f>
        <v>3650</v>
      </c>
    </row>
    <row r="71" spans="1:8" x14ac:dyDescent="0.25">
      <c r="A71" s="513" t="s">
        <v>39</v>
      </c>
      <c r="B71" s="513"/>
      <c r="C71" s="168"/>
      <c r="D71" s="168"/>
      <c r="E71" s="107">
        <f>SUM(E68:E70)</f>
        <v>4</v>
      </c>
      <c r="F71" s="86"/>
      <c r="G71" s="86">
        <f>SUM(G68:G70)</f>
        <v>229948</v>
      </c>
      <c r="H71" s="86">
        <f>SUM(H68:H70)</f>
        <v>3650</v>
      </c>
    </row>
    <row r="72" spans="1:8" ht="42.75" customHeight="1" x14ac:dyDescent="0.25">
      <c r="A72" s="510" t="s">
        <v>1273</v>
      </c>
      <c r="B72" s="511"/>
      <c r="C72" s="511"/>
      <c r="D72" s="511"/>
      <c r="E72" s="511"/>
      <c r="F72" s="511"/>
      <c r="G72" s="511"/>
      <c r="H72" s="512"/>
    </row>
    <row r="73" spans="1:8" ht="49.5" x14ac:dyDescent="0.25">
      <c r="A73" s="138">
        <v>8</v>
      </c>
      <c r="B73" s="136" t="s">
        <v>152</v>
      </c>
      <c r="C73" s="290" t="s">
        <v>749</v>
      </c>
      <c r="D73" s="406" t="s">
        <v>14</v>
      </c>
      <c r="E73" s="125">
        <v>2</v>
      </c>
      <c r="F73" s="174">
        <v>148026</v>
      </c>
      <c r="G73" s="91">
        <f>E73*F73</f>
        <v>296052</v>
      </c>
      <c r="H73" s="91">
        <f>E73*0</f>
        <v>0</v>
      </c>
    </row>
    <row r="74" spans="1:8" ht="66" x14ac:dyDescent="0.25">
      <c r="A74" s="138">
        <v>9</v>
      </c>
      <c r="B74" s="126" t="s">
        <v>719</v>
      </c>
      <c r="C74" s="290" t="s">
        <v>750</v>
      </c>
      <c r="D74" s="406" t="s">
        <v>14</v>
      </c>
      <c r="E74" s="125">
        <v>2</v>
      </c>
      <c r="F74" s="174">
        <v>45422</v>
      </c>
      <c r="G74" s="91">
        <f>E74*F74</f>
        <v>90844</v>
      </c>
      <c r="H74" s="91">
        <f>E74*0</f>
        <v>0</v>
      </c>
    </row>
    <row r="75" spans="1:8" ht="99" x14ac:dyDescent="0.25">
      <c r="A75" s="138">
        <v>10</v>
      </c>
      <c r="B75" s="126" t="s">
        <v>720</v>
      </c>
      <c r="C75" s="290" t="s">
        <v>751</v>
      </c>
      <c r="D75" s="406" t="s">
        <v>14</v>
      </c>
      <c r="E75" s="125">
        <v>6</v>
      </c>
      <c r="F75" s="174">
        <v>18250</v>
      </c>
      <c r="G75" s="91">
        <f>E75*F75</f>
        <v>109500</v>
      </c>
      <c r="H75" s="91">
        <f>E75*1825</f>
        <v>10950</v>
      </c>
    </row>
    <row r="76" spans="1:8" x14ac:dyDescent="0.25">
      <c r="A76" s="513" t="s">
        <v>39</v>
      </c>
      <c r="B76" s="513"/>
      <c r="C76" s="168"/>
      <c r="D76" s="168"/>
      <c r="E76" s="107">
        <f>SUM(E73:E75)</f>
        <v>10</v>
      </c>
      <c r="F76" s="86"/>
      <c r="G76" s="86">
        <f>SUM(G73:G75)</f>
        <v>496396</v>
      </c>
      <c r="H76" s="86">
        <f>SUM(H73:H75)</f>
        <v>10950</v>
      </c>
    </row>
    <row r="77" spans="1:8" ht="48" customHeight="1" x14ac:dyDescent="0.25">
      <c r="A77" s="510" t="s">
        <v>1274</v>
      </c>
      <c r="B77" s="511"/>
      <c r="C77" s="511"/>
      <c r="D77" s="511"/>
      <c r="E77" s="511"/>
      <c r="F77" s="511"/>
      <c r="G77" s="511"/>
      <c r="H77" s="512"/>
    </row>
    <row r="78" spans="1:8" ht="82.5" x14ac:dyDescent="0.25">
      <c r="A78" s="138">
        <v>11</v>
      </c>
      <c r="B78" s="126" t="s">
        <v>720</v>
      </c>
      <c r="C78" s="290" t="s">
        <v>863</v>
      </c>
      <c r="D78" s="406" t="s">
        <v>14</v>
      </c>
      <c r="E78" s="125">
        <v>1</v>
      </c>
      <c r="F78" s="174">
        <v>18250</v>
      </c>
      <c r="G78" s="91">
        <f>E78*F78</f>
        <v>18250</v>
      </c>
      <c r="H78" s="91">
        <f>E78*1825</f>
        <v>1825</v>
      </c>
    </row>
    <row r="79" spans="1:8" x14ac:dyDescent="0.25">
      <c r="A79" s="513" t="s">
        <v>39</v>
      </c>
      <c r="B79" s="513"/>
      <c r="C79" s="168"/>
      <c r="D79" s="168"/>
      <c r="E79" s="107">
        <f>SUM(E78:E78)</f>
        <v>1</v>
      </c>
      <c r="F79" s="86"/>
      <c r="G79" s="86">
        <f>SUM(G78:G78)</f>
        <v>18250</v>
      </c>
      <c r="H79" s="86">
        <f>SUM(H78:H78)</f>
        <v>1825</v>
      </c>
    </row>
    <row r="80" spans="1:8" ht="18.75" x14ac:dyDescent="0.25">
      <c r="A80" s="507" t="s">
        <v>133</v>
      </c>
      <c r="B80" s="508"/>
      <c r="C80" s="167"/>
      <c r="D80" s="165"/>
      <c r="E80" s="171">
        <f>E62+E66+E71+E76+E79</f>
        <v>21</v>
      </c>
      <c r="F80" s="157"/>
      <c r="G80" s="157">
        <f>G62+G66+G71+G76+G79</f>
        <v>1324938</v>
      </c>
      <c r="H80" s="157">
        <f>H62+H66+H71+H76+H79</f>
        <v>16425</v>
      </c>
    </row>
    <row r="81" spans="1:8" ht="25.5" customHeight="1" x14ac:dyDescent="0.25">
      <c r="A81" s="494" t="s">
        <v>1275</v>
      </c>
      <c r="B81" s="495"/>
      <c r="C81" s="495"/>
      <c r="D81" s="495"/>
      <c r="E81" s="495"/>
      <c r="F81" s="495"/>
      <c r="G81" s="495"/>
      <c r="H81" s="496"/>
    </row>
    <row r="82" spans="1:8" ht="42.75" customHeight="1" x14ac:dyDescent="0.25">
      <c r="A82" s="510" t="s">
        <v>1276</v>
      </c>
      <c r="B82" s="511"/>
      <c r="C82" s="511"/>
      <c r="D82" s="511"/>
      <c r="E82" s="511"/>
      <c r="F82" s="511"/>
      <c r="G82" s="511"/>
      <c r="H82" s="512"/>
    </row>
    <row r="83" spans="1:8" ht="49.5" x14ac:dyDescent="0.25">
      <c r="A83" s="406">
        <v>1</v>
      </c>
      <c r="B83" s="136" t="s">
        <v>152</v>
      </c>
      <c r="C83" s="290" t="s">
        <v>752</v>
      </c>
      <c r="D83" s="406" t="s">
        <v>14</v>
      </c>
      <c r="E83" s="125">
        <v>1</v>
      </c>
      <c r="F83" s="174">
        <v>148026</v>
      </c>
      <c r="G83" s="91">
        <f>E83*F83</f>
        <v>148026</v>
      </c>
      <c r="H83" s="91">
        <f>E83*0</f>
        <v>0</v>
      </c>
    </row>
    <row r="84" spans="1:8" ht="49.5" x14ac:dyDescent="0.25">
      <c r="A84" s="406">
        <v>2</v>
      </c>
      <c r="B84" s="126" t="s">
        <v>719</v>
      </c>
      <c r="C84" s="290" t="s">
        <v>753</v>
      </c>
      <c r="D84" s="406" t="s">
        <v>14</v>
      </c>
      <c r="E84" s="125">
        <v>1</v>
      </c>
      <c r="F84" s="174">
        <v>45422</v>
      </c>
      <c r="G84" s="91">
        <f>E84*F84</f>
        <v>45422</v>
      </c>
      <c r="H84" s="91">
        <f>E84*0</f>
        <v>0</v>
      </c>
    </row>
    <row r="85" spans="1:8" ht="82.5" x14ac:dyDescent="0.25">
      <c r="A85" s="406">
        <v>3</v>
      </c>
      <c r="B85" s="126" t="s">
        <v>720</v>
      </c>
      <c r="C85" s="290" t="s">
        <v>754</v>
      </c>
      <c r="D85" s="406" t="s">
        <v>14</v>
      </c>
      <c r="E85" s="125">
        <v>2</v>
      </c>
      <c r="F85" s="174">
        <v>18250</v>
      </c>
      <c r="G85" s="91">
        <f>E85*F85</f>
        <v>36500</v>
      </c>
      <c r="H85" s="91">
        <f>E85*1825</f>
        <v>3650</v>
      </c>
    </row>
    <row r="86" spans="1:8" x14ac:dyDescent="0.25">
      <c r="A86" s="513" t="s">
        <v>39</v>
      </c>
      <c r="B86" s="513"/>
      <c r="C86" s="168"/>
      <c r="D86" s="168"/>
      <c r="E86" s="107">
        <f>SUM(E83:E85)</f>
        <v>4</v>
      </c>
      <c r="F86" s="86"/>
      <c r="G86" s="86">
        <f>SUM(G83:G85)</f>
        <v>229948</v>
      </c>
      <c r="H86" s="86">
        <f>SUM(H83:H85)</f>
        <v>3650</v>
      </c>
    </row>
    <row r="87" spans="1:8" ht="40.5" customHeight="1" x14ac:dyDescent="0.25">
      <c r="A87" s="510" t="s">
        <v>1277</v>
      </c>
      <c r="B87" s="511"/>
      <c r="C87" s="511"/>
      <c r="D87" s="511"/>
      <c r="E87" s="511"/>
      <c r="F87" s="511"/>
      <c r="G87" s="511"/>
      <c r="H87" s="512"/>
    </row>
    <row r="88" spans="1:8" ht="49.5" x14ac:dyDescent="0.25">
      <c r="A88" s="138">
        <v>4</v>
      </c>
      <c r="B88" s="136" t="s">
        <v>152</v>
      </c>
      <c r="C88" s="290" t="s">
        <v>755</v>
      </c>
      <c r="D88" s="406" t="s">
        <v>14</v>
      </c>
      <c r="E88" s="125">
        <v>2</v>
      </c>
      <c r="F88" s="174">
        <v>148026</v>
      </c>
      <c r="G88" s="91">
        <f>E88*F88</f>
        <v>296052</v>
      </c>
      <c r="H88" s="91">
        <f>E88*0</f>
        <v>0</v>
      </c>
    </row>
    <row r="89" spans="1:8" ht="66" x14ac:dyDescent="0.25">
      <c r="A89" s="138">
        <v>5</v>
      </c>
      <c r="B89" s="126" t="s">
        <v>719</v>
      </c>
      <c r="C89" s="290" t="s">
        <v>756</v>
      </c>
      <c r="D89" s="406" t="s">
        <v>14</v>
      </c>
      <c r="E89" s="125">
        <v>2</v>
      </c>
      <c r="F89" s="174">
        <v>45422</v>
      </c>
      <c r="G89" s="91">
        <f>E89*F89</f>
        <v>90844</v>
      </c>
      <c r="H89" s="91">
        <f>E89*0</f>
        <v>0</v>
      </c>
    </row>
    <row r="90" spans="1:8" ht="82.5" x14ac:dyDescent="0.25">
      <c r="A90" s="138">
        <v>6</v>
      </c>
      <c r="B90" s="126" t="s">
        <v>720</v>
      </c>
      <c r="C90" s="290" t="s">
        <v>762</v>
      </c>
      <c r="D90" s="406" t="s">
        <v>14</v>
      </c>
      <c r="E90" s="125">
        <v>5</v>
      </c>
      <c r="F90" s="174">
        <v>18250</v>
      </c>
      <c r="G90" s="91">
        <f>E90*F90</f>
        <v>91250</v>
      </c>
      <c r="H90" s="91">
        <f>E90*1825</f>
        <v>9125</v>
      </c>
    </row>
    <row r="91" spans="1:8" x14ac:dyDescent="0.25">
      <c r="A91" s="513" t="s">
        <v>39</v>
      </c>
      <c r="B91" s="513"/>
      <c r="C91" s="168"/>
      <c r="D91" s="168"/>
      <c r="E91" s="107">
        <f>SUM(E88:E90)</f>
        <v>9</v>
      </c>
      <c r="F91" s="86"/>
      <c r="G91" s="86">
        <f>SUM(G88:G90)</f>
        <v>478146</v>
      </c>
      <c r="H91" s="86">
        <f>SUM(H88:H90)</f>
        <v>9125</v>
      </c>
    </row>
    <row r="92" spans="1:8" ht="43.5" customHeight="1" x14ac:dyDescent="0.25">
      <c r="A92" s="510" t="s">
        <v>1278</v>
      </c>
      <c r="B92" s="511"/>
      <c r="C92" s="511"/>
      <c r="D92" s="511"/>
      <c r="E92" s="511"/>
      <c r="F92" s="511"/>
      <c r="G92" s="511"/>
      <c r="H92" s="512"/>
    </row>
    <row r="93" spans="1:8" ht="49.5" x14ac:dyDescent="0.25">
      <c r="A93" s="138">
        <v>7</v>
      </c>
      <c r="B93" s="136" t="s">
        <v>152</v>
      </c>
      <c r="C93" s="290" t="s">
        <v>757</v>
      </c>
      <c r="D93" s="406" t="s">
        <v>14</v>
      </c>
      <c r="E93" s="125">
        <v>3</v>
      </c>
      <c r="F93" s="174">
        <v>148026</v>
      </c>
      <c r="G93" s="91">
        <f>E93*F93</f>
        <v>444078</v>
      </c>
      <c r="H93" s="91">
        <f>E93*0</f>
        <v>0</v>
      </c>
    </row>
    <row r="94" spans="1:8" ht="99" x14ac:dyDescent="0.25">
      <c r="A94" s="138">
        <v>8</v>
      </c>
      <c r="B94" s="126" t="s">
        <v>719</v>
      </c>
      <c r="C94" s="290" t="s">
        <v>758</v>
      </c>
      <c r="D94" s="406" t="s">
        <v>14</v>
      </c>
      <c r="E94" s="125">
        <v>3</v>
      </c>
      <c r="F94" s="174">
        <v>45422</v>
      </c>
      <c r="G94" s="91">
        <f>E94*F94</f>
        <v>136266</v>
      </c>
      <c r="H94" s="91">
        <f>E94*0</f>
        <v>0</v>
      </c>
    </row>
    <row r="95" spans="1:8" x14ac:dyDescent="0.25">
      <c r="A95" s="513" t="s">
        <v>39</v>
      </c>
      <c r="B95" s="513"/>
      <c r="C95" s="168"/>
      <c r="D95" s="168"/>
      <c r="E95" s="107">
        <f>SUM(E93:E94)</f>
        <v>6</v>
      </c>
      <c r="F95" s="86"/>
      <c r="G95" s="86">
        <f>SUM(G93:G94)</f>
        <v>580344</v>
      </c>
      <c r="H95" s="86">
        <f>SUM(H93:H94)</f>
        <v>0</v>
      </c>
    </row>
    <row r="96" spans="1:8" ht="42" customHeight="1" x14ac:dyDescent="0.25">
      <c r="A96" s="510" t="s">
        <v>1279</v>
      </c>
      <c r="B96" s="511"/>
      <c r="C96" s="511"/>
      <c r="D96" s="511"/>
      <c r="E96" s="511"/>
      <c r="F96" s="511"/>
      <c r="G96" s="511"/>
      <c r="H96" s="512"/>
    </row>
    <row r="97" spans="1:8" ht="49.5" x14ac:dyDescent="0.25">
      <c r="A97" s="138">
        <v>9</v>
      </c>
      <c r="B97" s="136" t="s">
        <v>152</v>
      </c>
      <c r="C97" s="290" t="s">
        <v>759</v>
      </c>
      <c r="D97" s="406" t="s">
        <v>14</v>
      </c>
      <c r="E97" s="125">
        <v>1</v>
      </c>
      <c r="F97" s="174">
        <v>148026</v>
      </c>
      <c r="G97" s="91">
        <f>E97*F97</f>
        <v>148026</v>
      </c>
      <c r="H97" s="91">
        <f>E97*0</f>
        <v>0</v>
      </c>
    </row>
    <row r="98" spans="1:8" ht="49.5" x14ac:dyDescent="0.25">
      <c r="A98" s="138">
        <v>10</v>
      </c>
      <c r="B98" s="126" t="s">
        <v>719</v>
      </c>
      <c r="C98" s="290" t="s">
        <v>760</v>
      </c>
      <c r="D98" s="406" t="s">
        <v>14</v>
      </c>
      <c r="E98" s="125">
        <v>1</v>
      </c>
      <c r="F98" s="174">
        <v>45422</v>
      </c>
      <c r="G98" s="91">
        <f>E98*F98</f>
        <v>45422</v>
      </c>
      <c r="H98" s="91">
        <f>E98*0</f>
        <v>0</v>
      </c>
    </row>
    <row r="99" spans="1:8" ht="82.5" x14ac:dyDescent="0.25">
      <c r="A99" s="138">
        <v>11</v>
      </c>
      <c r="B99" s="126" t="s">
        <v>720</v>
      </c>
      <c r="C99" s="290" t="s">
        <v>761</v>
      </c>
      <c r="D99" s="406" t="s">
        <v>14</v>
      </c>
      <c r="E99" s="125">
        <v>2</v>
      </c>
      <c r="F99" s="174">
        <v>18250</v>
      </c>
      <c r="G99" s="91">
        <f>E99*F99</f>
        <v>36500</v>
      </c>
      <c r="H99" s="91">
        <f>E99*1825</f>
        <v>3650</v>
      </c>
    </row>
    <row r="100" spans="1:8" x14ac:dyDescent="0.25">
      <c r="A100" s="513" t="s">
        <v>39</v>
      </c>
      <c r="B100" s="513"/>
      <c r="C100" s="168"/>
      <c r="D100" s="168"/>
      <c r="E100" s="107">
        <f>SUM(E97:E99)</f>
        <v>4</v>
      </c>
      <c r="F100" s="86"/>
      <c r="G100" s="86">
        <f>SUM(G97:G99)</f>
        <v>229948</v>
      </c>
      <c r="H100" s="86">
        <f>SUM(H97:H99)</f>
        <v>3650</v>
      </c>
    </row>
    <row r="101" spans="1:8" x14ac:dyDescent="0.25">
      <c r="A101" s="518" t="s">
        <v>133</v>
      </c>
      <c r="B101" s="519"/>
      <c r="C101" s="167"/>
      <c r="D101" s="68"/>
      <c r="E101" s="109">
        <f>E86+E91+E95+E100</f>
        <v>23</v>
      </c>
      <c r="F101" s="28"/>
      <c r="G101" s="28">
        <f>G86+G91+G95+G100</f>
        <v>1518386</v>
      </c>
      <c r="H101" s="28">
        <f>H86+H91+H95+H100</f>
        <v>16425</v>
      </c>
    </row>
    <row r="102" spans="1:8" ht="24" customHeight="1" x14ac:dyDescent="0.25">
      <c r="A102" s="494" t="s">
        <v>1280</v>
      </c>
      <c r="B102" s="495"/>
      <c r="C102" s="495"/>
      <c r="D102" s="495"/>
      <c r="E102" s="495"/>
      <c r="F102" s="495"/>
      <c r="G102" s="495"/>
      <c r="H102" s="496"/>
    </row>
    <row r="103" spans="1:8" ht="43.5" customHeight="1" x14ac:dyDescent="0.25">
      <c r="A103" s="510" t="s">
        <v>1281</v>
      </c>
      <c r="B103" s="511"/>
      <c r="C103" s="511"/>
      <c r="D103" s="511"/>
      <c r="E103" s="511"/>
      <c r="F103" s="511"/>
      <c r="G103" s="511"/>
      <c r="H103" s="512"/>
    </row>
    <row r="104" spans="1:8" ht="49.5" x14ac:dyDescent="0.25">
      <c r="A104" s="406">
        <v>1</v>
      </c>
      <c r="B104" s="136" t="s">
        <v>152</v>
      </c>
      <c r="C104" s="290" t="s">
        <v>763</v>
      </c>
      <c r="D104" s="406" t="s">
        <v>14</v>
      </c>
      <c r="E104" s="125">
        <v>2</v>
      </c>
      <c r="F104" s="174">
        <v>148026</v>
      </c>
      <c r="G104" s="91">
        <f>E104*F104</f>
        <v>296052</v>
      </c>
      <c r="H104" s="91">
        <f>E104*0</f>
        <v>0</v>
      </c>
    </row>
    <row r="105" spans="1:8" ht="66" x14ac:dyDescent="0.25">
      <c r="A105" s="406">
        <v>2</v>
      </c>
      <c r="B105" s="126" t="s">
        <v>719</v>
      </c>
      <c r="C105" s="290" t="s">
        <v>764</v>
      </c>
      <c r="D105" s="406" t="s">
        <v>14</v>
      </c>
      <c r="E105" s="125">
        <v>2</v>
      </c>
      <c r="F105" s="174">
        <v>45422</v>
      </c>
      <c r="G105" s="91">
        <f>E105*F105</f>
        <v>90844</v>
      </c>
      <c r="H105" s="91">
        <f>E105*0</f>
        <v>0</v>
      </c>
    </row>
    <row r="106" spans="1:8" x14ac:dyDescent="0.25">
      <c r="A106" s="513" t="s">
        <v>39</v>
      </c>
      <c r="B106" s="513"/>
      <c r="C106" s="168"/>
      <c r="D106" s="168"/>
      <c r="E106" s="107">
        <f>SUM(E104:E105)</f>
        <v>4</v>
      </c>
      <c r="F106" s="178"/>
      <c r="G106" s="178">
        <f>SUM(G104:G105)</f>
        <v>386896</v>
      </c>
      <c r="H106" s="178">
        <f>SUM(H104:H105)</f>
        <v>0</v>
      </c>
    </row>
    <row r="107" spans="1:8" ht="42" customHeight="1" x14ac:dyDescent="0.25">
      <c r="A107" s="510" t="s">
        <v>1282</v>
      </c>
      <c r="B107" s="511"/>
      <c r="C107" s="511"/>
      <c r="D107" s="511"/>
      <c r="E107" s="511"/>
      <c r="F107" s="511"/>
      <c r="G107" s="511"/>
      <c r="H107" s="512"/>
    </row>
    <row r="108" spans="1:8" ht="49.5" x14ac:dyDescent="0.25">
      <c r="A108" s="406">
        <v>3</v>
      </c>
      <c r="B108" s="137" t="s">
        <v>152</v>
      </c>
      <c r="C108" s="290" t="s">
        <v>765</v>
      </c>
      <c r="D108" s="406" t="s">
        <v>14</v>
      </c>
      <c r="E108" s="125">
        <v>1</v>
      </c>
      <c r="F108" s="174">
        <v>148026</v>
      </c>
      <c r="G108" s="91">
        <f>E108*F108</f>
        <v>148026</v>
      </c>
      <c r="H108" s="91">
        <f>E108*0</f>
        <v>0</v>
      </c>
    </row>
    <row r="109" spans="1:8" ht="49.5" x14ac:dyDescent="0.25">
      <c r="A109" s="283">
        <v>4</v>
      </c>
      <c r="B109" s="137" t="s">
        <v>719</v>
      </c>
      <c r="C109" s="290" t="s">
        <v>766</v>
      </c>
      <c r="D109" s="406" t="s">
        <v>14</v>
      </c>
      <c r="E109" s="125">
        <v>1</v>
      </c>
      <c r="F109" s="174">
        <v>45422</v>
      </c>
      <c r="G109" s="91">
        <f>E109*F109</f>
        <v>45422</v>
      </c>
      <c r="H109" s="91">
        <f>E109*0</f>
        <v>0</v>
      </c>
    </row>
    <row r="110" spans="1:8" ht="82.5" x14ac:dyDescent="0.25">
      <c r="A110" s="283">
        <v>5</v>
      </c>
      <c r="B110" s="137" t="s">
        <v>720</v>
      </c>
      <c r="C110" s="290" t="s">
        <v>767</v>
      </c>
      <c r="D110" s="406" t="s">
        <v>14</v>
      </c>
      <c r="E110" s="125">
        <v>3</v>
      </c>
      <c r="F110" s="174">
        <v>18250</v>
      </c>
      <c r="G110" s="91">
        <f>E110*F110</f>
        <v>54750</v>
      </c>
      <c r="H110" s="91">
        <f>E110*1825</f>
        <v>5475</v>
      </c>
    </row>
    <row r="111" spans="1:8" x14ac:dyDescent="0.25">
      <c r="A111" s="513" t="s">
        <v>39</v>
      </c>
      <c r="B111" s="513"/>
      <c r="C111" s="168"/>
      <c r="D111" s="168"/>
      <c r="E111" s="107">
        <f>SUM(E108:E110)</f>
        <v>5</v>
      </c>
      <c r="F111" s="178"/>
      <c r="G111" s="178">
        <f>SUM(G108:G110)</f>
        <v>248198</v>
      </c>
      <c r="H111" s="178">
        <f>SUM(H108:H110)</f>
        <v>5475</v>
      </c>
    </row>
    <row r="112" spans="1:8" ht="42" customHeight="1" x14ac:dyDescent="0.25">
      <c r="A112" s="510" t="s">
        <v>1283</v>
      </c>
      <c r="B112" s="511"/>
      <c r="C112" s="511"/>
      <c r="D112" s="511"/>
      <c r="E112" s="511"/>
      <c r="F112" s="511"/>
      <c r="G112" s="511"/>
      <c r="H112" s="512"/>
    </row>
    <row r="113" spans="1:8" ht="49.5" x14ac:dyDescent="0.25">
      <c r="A113" s="291">
        <v>6</v>
      </c>
      <c r="B113" s="126" t="s">
        <v>152</v>
      </c>
      <c r="C113" s="290" t="s">
        <v>768</v>
      </c>
      <c r="D113" s="290" t="s">
        <v>14</v>
      </c>
      <c r="E113" s="290">
        <v>1</v>
      </c>
      <c r="F113" s="184">
        <v>148026</v>
      </c>
      <c r="G113" s="91">
        <f>E113*F113</f>
        <v>148026</v>
      </c>
      <c r="H113" s="91">
        <f>E113*0</f>
        <v>0</v>
      </c>
    </row>
    <row r="114" spans="1:8" ht="33" x14ac:dyDescent="0.25">
      <c r="A114" s="291">
        <v>7</v>
      </c>
      <c r="B114" s="126" t="s">
        <v>153</v>
      </c>
      <c r="C114" s="290" t="s">
        <v>769</v>
      </c>
      <c r="D114" s="290" t="s">
        <v>14</v>
      </c>
      <c r="E114" s="290">
        <v>1</v>
      </c>
      <c r="F114" s="184">
        <v>45422</v>
      </c>
      <c r="G114" s="91">
        <f>E114*F114</f>
        <v>45422</v>
      </c>
      <c r="H114" s="91">
        <f>E114*0</f>
        <v>0</v>
      </c>
    </row>
    <row r="115" spans="1:8" ht="49.5" x14ac:dyDescent="0.25">
      <c r="A115" s="291">
        <v>8</v>
      </c>
      <c r="B115" s="126" t="s">
        <v>154</v>
      </c>
      <c r="C115" s="290" t="s">
        <v>770</v>
      </c>
      <c r="D115" s="290" t="s">
        <v>14</v>
      </c>
      <c r="E115" s="290">
        <v>2</v>
      </c>
      <c r="F115" s="184">
        <v>18250</v>
      </c>
      <c r="G115" s="91">
        <f>E115*F115</f>
        <v>36500</v>
      </c>
      <c r="H115" s="91">
        <f>E115*1825</f>
        <v>3650</v>
      </c>
    </row>
    <row r="116" spans="1:8" x14ac:dyDescent="0.25">
      <c r="A116" s="513" t="s">
        <v>39</v>
      </c>
      <c r="B116" s="513"/>
      <c r="C116" s="168"/>
      <c r="D116" s="168"/>
      <c r="E116" s="107">
        <f>SUM(E113:E115)</f>
        <v>4</v>
      </c>
      <c r="F116" s="107"/>
      <c r="G116" s="178">
        <f>SUM(G113:G115)</f>
        <v>229948</v>
      </c>
      <c r="H116" s="178">
        <f>SUM(H113:H115)</f>
        <v>3650</v>
      </c>
    </row>
    <row r="117" spans="1:8" ht="44.25" customHeight="1" x14ac:dyDescent="0.25">
      <c r="A117" s="510" t="s">
        <v>1284</v>
      </c>
      <c r="B117" s="511"/>
      <c r="C117" s="511"/>
      <c r="D117" s="511"/>
      <c r="E117" s="511"/>
      <c r="F117" s="511"/>
      <c r="G117" s="511"/>
      <c r="H117" s="512"/>
    </row>
    <row r="118" spans="1:8" ht="49.5" x14ac:dyDescent="0.25">
      <c r="A118" s="283">
        <v>6</v>
      </c>
      <c r="B118" s="136" t="s">
        <v>152</v>
      </c>
      <c r="C118" s="290" t="s">
        <v>771</v>
      </c>
      <c r="D118" s="406" t="s">
        <v>14</v>
      </c>
      <c r="E118" s="125">
        <v>1</v>
      </c>
      <c r="F118" s="174">
        <v>148026</v>
      </c>
      <c r="G118" s="91">
        <f>E118*F118</f>
        <v>148026</v>
      </c>
      <c r="H118" s="91">
        <f>E118*0</f>
        <v>0</v>
      </c>
    </row>
    <row r="119" spans="1:8" ht="49.5" x14ac:dyDescent="0.25">
      <c r="A119" s="283">
        <v>7</v>
      </c>
      <c r="B119" s="126" t="s">
        <v>719</v>
      </c>
      <c r="C119" s="290" t="s">
        <v>772</v>
      </c>
      <c r="D119" s="406" t="s">
        <v>14</v>
      </c>
      <c r="E119" s="125">
        <v>1</v>
      </c>
      <c r="F119" s="174">
        <v>45422</v>
      </c>
      <c r="G119" s="91">
        <f>E119*F119</f>
        <v>45422</v>
      </c>
      <c r="H119" s="91">
        <f>E119*0</f>
        <v>0</v>
      </c>
    </row>
    <row r="120" spans="1:8" ht="132" x14ac:dyDescent="0.25">
      <c r="A120" s="283">
        <v>8</v>
      </c>
      <c r="B120" s="126" t="s">
        <v>720</v>
      </c>
      <c r="C120" s="290" t="s">
        <v>773</v>
      </c>
      <c r="D120" s="406" t="s">
        <v>14</v>
      </c>
      <c r="E120" s="125">
        <v>8</v>
      </c>
      <c r="F120" s="174">
        <v>18250</v>
      </c>
      <c r="G120" s="91">
        <f>E120*F120</f>
        <v>146000</v>
      </c>
      <c r="H120" s="91">
        <f>E120*1825</f>
        <v>14600</v>
      </c>
    </row>
    <row r="121" spans="1:8" ht="49.5" x14ac:dyDescent="0.25">
      <c r="A121" s="283">
        <v>9</v>
      </c>
      <c r="B121" s="126" t="s">
        <v>774</v>
      </c>
      <c r="C121" s="290" t="s">
        <v>775</v>
      </c>
      <c r="D121" s="406" t="s">
        <v>14</v>
      </c>
      <c r="E121" s="125">
        <v>1</v>
      </c>
      <c r="F121" s="174">
        <v>37719</v>
      </c>
      <c r="G121" s="91">
        <f>E121*F121</f>
        <v>37719</v>
      </c>
      <c r="H121" s="91">
        <f>E121*0</f>
        <v>0</v>
      </c>
    </row>
    <row r="122" spans="1:8" x14ac:dyDescent="0.25">
      <c r="A122" s="513" t="s">
        <v>39</v>
      </c>
      <c r="B122" s="513"/>
      <c r="C122" s="168"/>
      <c r="D122" s="168"/>
      <c r="E122" s="107">
        <f>SUM(E118:E121)</f>
        <v>11</v>
      </c>
      <c r="F122" s="178"/>
      <c r="G122" s="178">
        <f>SUM(G118:G121)</f>
        <v>377167</v>
      </c>
      <c r="H122" s="178">
        <f>SUM(H118:H121)</f>
        <v>14600</v>
      </c>
    </row>
    <row r="123" spans="1:8" x14ac:dyDescent="0.25">
      <c r="A123" s="520" t="s">
        <v>133</v>
      </c>
      <c r="B123" s="520"/>
      <c r="C123" s="130"/>
      <c r="D123" s="130"/>
      <c r="E123" s="170">
        <f>E106+E111+E122+E116</f>
        <v>24</v>
      </c>
      <c r="F123" s="175"/>
      <c r="G123" s="175">
        <f>G106+G111+G122+G116</f>
        <v>1242209</v>
      </c>
      <c r="H123" s="175">
        <f>H106+H111+H122+H116</f>
        <v>23725</v>
      </c>
    </row>
    <row r="124" spans="1:8" ht="24.75" customHeight="1" x14ac:dyDescent="0.25">
      <c r="A124" s="494" t="s">
        <v>1285</v>
      </c>
      <c r="B124" s="495"/>
      <c r="C124" s="495"/>
      <c r="D124" s="495"/>
      <c r="E124" s="495"/>
      <c r="F124" s="495"/>
      <c r="G124" s="495"/>
      <c r="H124" s="496"/>
    </row>
    <row r="125" spans="1:8" ht="40.5" customHeight="1" x14ac:dyDescent="0.25">
      <c r="A125" s="510" t="s">
        <v>1286</v>
      </c>
      <c r="B125" s="511"/>
      <c r="C125" s="511"/>
      <c r="D125" s="511"/>
      <c r="E125" s="511"/>
      <c r="F125" s="511"/>
      <c r="G125" s="511"/>
      <c r="H125" s="512"/>
    </row>
    <row r="126" spans="1:8" ht="49.5" x14ac:dyDescent="0.25">
      <c r="A126" s="406">
        <v>1</v>
      </c>
      <c r="B126" s="136" t="s">
        <v>152</v>
      </c>
      <c r="C126" s="182" t="s">
        <v>776</v>
      </c>
      <c r="D126" s="406" t="s">
        <v>14</v>
      </c>
      <c r="E126" s="125">
        <v>1</v>
      </c>
      <c r="F126" s="174">
        <v>148026</v>
      </c>
      <c r="G126" s="91">
        <f>E126*F126</f>
        <v>148026</v>
      </c>
      <c r="H126" s="91">
        <f>E126*0</f>
        <v>0</v>
      </c>
    </row>
    <row r="127" spans="1:8" ht="49.5" x14ac:dyDescent="0.25">
      <c r="A127" s="406">
        <v>2</v>
      </c>
      <c r="B127" s="126" t="s">
        <v>719</v>
      </c>
      <c r="C127" s="182" t="s">
        <v>777</v>
      </c>
      <c r="D127" s="406" t="s">
        <v>14</v>
      </c>
      <c r="E127" s="125">
        <v>1</v>
      </c>
      <c r="F127" s="174">
        <v>45422</v>
      </c>
      <c r="G127" s="91">
        <f t="shared" ref="G127:G133" si="4">E127*F127</f>
        <v>45422</v>
      </c>
      <c r="H127" s="91">
        <f>E127*0</f>
        <v>0</v>
      </c>
    </row>
    <row r="128" spans="1:8" ht="82.5" x14ac:dyDescent="0.25">
      <c r="A128" s="406">
        <v>3</v>
      </c>
      <c r="B128" s="126" t="s">
        <v>720</v>
      </c>
      <c r="C128" s="182">
        <v>20022711112</v>
      </c>
      <c r="D128" s="406" t="s">
        <v>14</v>
      </c>
      <c r="E128" s="125">
        <v>1</v>
      </c>
      <c r="F128" s="174">
        <v>18250</v>
      </c>
      <c r="G128" s="91">
        <f t="shared" si="4"/>
        <v>18250</v>
      </c>
      <c r="H128" s="91">
        <f>E128*1825</f>
        <v>1825</v>
      </c>
    </row>
    <row r="129" spans="1:8" x14ac:dyDescent="0.25">
      <c r="A129" s="513" t="s">
        <v>39</v>
      </c>
      <c r="B129" s="513"/>
      <c r="C129" s="168"/>
      <c r="D129" s="168"/>
      <c r="E129" s="107">
        <f>SUM(E127:E128)</f>
        <v>2</v>
      </c>
      <c r="F129" s="178"/>
      <c r="G129" s="178">
        <f>SUM(G127:G128)</f>
        <v>63672</v>
      </c>
      <c r="H129" s="178">
        <f>SUM(H127:H128)</f>
        <v>1825</v>
      </c>
    </row>
    <row r="130" spans="1:8" ht="44.25" customHeight="1" x14ac:dyDescent="0.25">
      <c r="A130" s="510" t="s">
        <v>1287</v>
      </c>
      <c r="B130" s="511"/>
      <c r="C130" s="511"/>
      <c r="D130" s="511"/>
      <c r="E130" s="511"/>
      <c r="F130" s="511"/>
      <c r="G130" s="511"/>
      <c r="H130" s="512"/>
    </row>
    <row r="131" spans="1:8" ht="49.5" x14ac:dyDescent="0.25">
      <c r="A131" s="406">
        <v>4</v>
      </c>
      <c r="B131" s="136" t="s">
        <v>152</v>
      </c>
      <c r="C131" s="182" t="s">
        <v>778</v>
      </c>
      <c r="D131" s="406" t="s">
        <v>14</v>
      </c>
      <c r="E131" s="125">
        <v>1</v>
      </c>
      <c r="F131" s="174">
        <v>148026</v>
      </c>
      <c r="G131" s="91">
        <f t="shared" si="4"/>
        <v>148026</v>
      </c>
      <c r="H131" s="91">
        <f>E131*0</f>
        <v>0</v>
      </c>
    </row>
    <row r="132" spans="1:8" ht="49.5" x14ac:dyDescent="0.25">
      <c r="A132" s="406">
        <v>5</v>
      </c>
      <c r="B132" s="126" t="s">
        <v>719</v>
      </c>
      <c r="C132" s="182" t="s">
        <v>779</v>
      </c>
      <c r="D132" s="406" t="s">
        <v>14</v>
      </c>
      <c r="E132" s="125">
        <v>1</v>
      </c>
      <c r="F132" s="174">
        <v>45422</v>
      </c>
      <c r="G132" s="91">
        <f t="shared" si="4"/>
        <v>45422</v>
      </c>
      <c r="H132" s="91">
        <f>E132*0</f>
        <v>0</v>
      </c>
    </row>
    <row r="133" spans="1:8" ht="82.5" x14ac:dyDescent="0.25">
      <c r="A133" s="283">
        <v>6</v>
      </c>
      <c r="B133" s="126" t="s">
        <v>720</v>
      </c>
      <c r="C133" s="182">
        <v>20022701112</v>
      </c>
      <c r="D133" s="406" t="s">
        <v>14</v>
      </c>
      <c r="E133" s="125">
        <v>1</v>
      </c>
      <c r="F133" s="174">
        <v>18250</v>
      </c>
      <c r="G133" s="91">
        <f t="shared" si="4"/>
        <v>18250</v>
      </c>
      <c r="H133" s="91">
        <f>E133*1825</f>
        <v>1825</v>
      </c>
    </row>
    <row r="134" spans="1:8" x14ac:dyDescent="0.25">
      <c r="A134" s="513" t="s">
        <v>39</v>
      </c>
      <c r="B134" s="513"/>
      <c r="C134" s="168"/>
      <c r="D134" s="168"/>
      <c r="E134" s="107">
        <f>SUM(E131:E133)</f>
        <v>3</v>
      </c>
      <c r="F134" s="178"/>
      <c r="G134" s="178">
        <f>SUM(G131:G133)</f>
        <v>211698</v>
      </c>
      <c r="H134" s="178">
        <f>SUM(H131:H133)</f>
        <v>1825</v>
      </c>
    </row>
    <row r="135" spans="1:8" ht="39" customHeight="1" x14ac:dyDescent="0.25">
      <c r="A135" s="510" t="s">
        <v>1288</v>
      </c>
      <c r="B135" s="511"/>
      <c r="C135" s="511"/>
      <c r="D135" s="511"/>
      <c r="E135" s="511"/>
      <c r="F135" s="511"/>
      <c r="G135" s="511"/>
      <c r="H135" s="512"/>
    </row>
    <row r="136" spans="1:8" ht="49.5" x14ac:dyDescent="0.25">
      <c r="A136" s="283">
        <v>7</v>
      </c>
      <c r="B136" s="136" t="s">
        <v>152</v>
      </c>
      <c r="C136" s="182" t="s">
        <v>780</v>
      </c>
      <c r="D136" s="406" t="s">
        <v>14</v>
      </c>
      <c r="E136" s="125">
        <v>1</v>
      </c>
      <c r="F136" s="174">
        <v>148026</v>
      </c>
      <c r="G136" s="91">
        <f>E136*F136</f>
        <v>148026</v>
      </c>
      <c r="H136" s="91">
        <f>E136*0</f>
        <v>0</v>
      </c>
    </row>
    <row r="137" spans="1:8" ht="49.5" x14ac:dyDescent="0.25">
      <c r="A137" s="283">
        <v>8</v>
      </c>
      <c r="B137" s="126" t="s">
        <v>719</v>
      </c>
      <c r="C137" s="182" t="s">
        <v>781</v>
      </c>
      <c r="D137" s="406" t="s">
        <v>14</v>
      </c>
      <c r="E137" s="125">
        <v>1</v>
      </c>
      <c r="F137" s="174">
        <v>45422</v>
      </c>
      <c r="G137" s="91">
        <f>E137*F137</f>
        <v>45422</v>
      </c>
      <c r="H137" s="91">
        <f>E137*0</f>
        <v>0</v>
      </c>
    </row>
    <row r="138" spans="1:8" ht="82.5" x14ac:dyDescent="0.25">
      <c r="A138" s="283">
        <v>9</v>
      </c>
      <c r="B138" s="126" t="s">
        <v>720</v>
      </c>
      <c r="C138" s="182">
        <v>20025331112</v>
      </c>
      <c r="D138" s="406" t="s">
        <v>14</v>
      </c>
      <c r="E138" s="125">
        <v>1</v>
      </c>
      <c r="F138" s="174">
        <v>18250</v>
      </c>
      <c r="G138" s="91">
        <f>E138*F138</f>
        <v>18250</v>
      </c>
      <c r="H138" s="91">
        <f>E138*1825</f>
        <v>1825</v>
      </c>
    </row>
    <row r="139" spans="1:8" x14ac:dyDescent="0.25">
      <c r="A139" s="513" t="s">
        <v>39</v>
      </c>
      <c r="B139" s="513"/>
      <c r="C139" s="168"/>
      <c r="D139" s="168"/>
      <c r="E139" s="107">
        <f>SUM(E136:E138)</f>
        <v>3</v>
      </c>
      <c r="F139" s="178"/>
      <c r="G139" s="178">
        <f>SUM(G136:G138)</f>
        <v>211698</v>
      </c>
      <c r="H139" s="178">
        <f>SUM(H136:H138)</f>
        <v>1825</v>
      </c>
    </row>
    <row r="140" spans="1:8" ht="40.5" customHeight="1" x14ac:dyDescent="0.25">
      <c r="A140" s="510" t="s">
        <v>1289</v>
      </c>
      <c r="B140" s="511"/>
      <c r="C140" s="511"/>
      <c r="D140" s="511"/>
      <c r="E140" s="511"/>
      <c r="F140" s="511"/>
      <c r="G140" s="511"/>
      <c r="H140" s="512"/>
    </row>
    <row r="141" spans="1:8" ht="49.5" x14ac:dyDescent="0.25">
      <c r="A141" s="283">
        <v>10</v>
      </c>
      <c r="B141" s="136" t="s">
        <v>152</v>
      </c>
      <c r="C141" s="182" t="s">
        <v>782</v>
      </c>
      <c r="D141" s="406" t="s">
        <v>14</v>
      </c>
      <c r="E141" s="125">
        <v>2</v>
      </c>
      <c r="F141" s="174">
        <v>148026</v>
      </c>
      <c r="G141" s="91">
        <f>E141*F141</f>
        <v>296052</v>
      </c>
      <c r="H141" s="91">
        <f>E141*0</f>
        <v>0</v>
      </c>
    </row>
    <row r="142" spans="1:8" ht="66" x14ac:dyDescent="0.25">
      <c r="A142" s="283">
        <v>11</v>
      </c>
      <c r="B142" s="126" t="s">
        <v>719</v>
      </c>
      <c r="C142" s="182" t="s">
        <v>783</v>
      </c>
      <c r="D142" s="406" t="s">
        <v>14</v>
      </c>
      <c r="E142" s="125">
        <v>2</v>
      </c>
      <c r="F142" s="174">
        <v>45422</v>
      </c>
      <c r="G142" s="91">
        <f>E142*F142</f>
        <v>90844</v>
      </c>
      <c r="H142" s="91">
        <f>E142*0</f>
        <v>0</v>
      </c>
    </row>
    <row r="143" spans="1:8" ht="82.5" x14ac:dyDescent="0.25">
      <c r="A143" s="283">
        <v>12</v>
      </c>
      <c r="B143" s="126" t="s">
        <v>720</v>
      </c>
      <c r="C143" s="182" t="s">
        <v>784</v>
      </c>
      <c r="D143" s="406" t="s">
        <v>14</v>
      </c>
      <c r="E143" s="125">
        <v>4</v>
      </c>
      <c r="F143" s="174">
        <v>18250</v>
      </c>
      <c r="G143" s="91">
        <f>E143*F143</f>
        <v>73000</v>
      </c>
      <c r="H143" s="91">
        <f>E143*1825</f>
        <v>7300</v>
      </c>
    </row>
    <row r="144" spans="1:8" x14ac:dyDescent="0.25">
      <c r="A144" s="513" t="s">
        <v>39</v>
      </c>
      <c r="B144" s="513"/>
      <c r="C144" s="168"/>
      <c r="D144" s="168"/>
      <c r="E144" s="107">
        <f>SUM(E141:E143)</f>
        <v>8</v>
      </c>
      <c r="F144" s="178"/>
      <c r="G144" s="178">
        <f>SUM(G141:G143)</f>
        <v>459896</v>
      </c>
      <c r="H144" s="178">
        <f>SUM(H141:H143)</f>
        <v>7300</v>
      </c>
    </row>
    <row r="145" spans="1:8" ht="42" customHeight="1" x14ac:dyDescent="0.25">
      <c r="A145" s="510" t="s">
        <v>1290</v>
      </c>
      <c r="B145" s="511"/>
      <c r="C145" s="511"/>
      <c r="D145" s="511"/>
      <c r="E145" s="511"/>
      <c r="F145" s="511"/>
      <c r="G145" s="511"/>
      <c r="H145" s="512"/>
    </row>
    <row r="146" spans="1:8" ht="49.5" x14ac:dyDescent="0.25">
      <c r="A146" s="283">
        <v>7</v>
      </c>
      <c r="B146" s="136" t="s">
        <v>152</v>
      </c>
      <c r="C146" s="182" t="s">
        <v>785</v>
      </c>
      <c r="D146" s="406" t="s">
        <v>14</v>
      </c>
      <c r="E146" s="125">
        <v>2</v>
      </c>
      <c r="F146" s="174">
        <v>148026</v>
      </c>
      <c r="G146" s="91">
        <f>E146*F146</f>
        <v>296052</v>
      </c>
      <c r="H146" s="91">
        <f>E146*0</f>
        <v>0</v>
      </c>
    </row>
    <row r="147" spans="1:8" ht="49.5" x14ac:dyDescent="0.25">
      <c r="A147" s="283">
        <v>8</v>
      </c>
      <c r="B147" s="126" t="s">
        <v>719</v>
      </c>
      <c r="C147" s="182" t="s">
        <v>786</v>
      </c>
      <c r="D147" s="406" t="s">
        <v>14</v>
      </c>
      <c r="E147" s="125">
        <v>1</v>
      </c>
      <c r="F147" s="174">
        <v>45422</v>
      </c>
      <c r="G147" s="91">
        <f>E147*F147</f>
        <v>45422</v>
      </c>
      <c r="H147" s="91">
        <f>E147*0</f>
        <v>0</v>
      </c>
    </row>
    <row r="148" spans="1:8" x14ac:dyDescent="0.25">
      <c r="A148" s="513" t="s">
        <v>39</v>
      </c>
      <c r="B148" s="513"/>
      <c r="C148" s="168"/>
      <c r="D148" s="168"/>
      <c r="E148" s="107">
        <f>SUM(E146:E147)</f>
        <v>3</v>
      </c>
      <c r="F148" s="178"/>
      <c r="G148" s="178">
        <f>SUM(G146:G147)</f>
        <v>341474</v>
      </c>
      <c r="H148" s="178">
        <f>SUM(H146:H147)</f>
        <v>0</v>
      </c>
    </row>
    <row r="149" spans="1:8" x14ac:dyDescent="0.25">
      <c r="A149" s="520" t="s">
        <v>133</v>
      </c>
      <c r="B149" s="520"/>
      <c r="C149" s="130"/>
      <c r="D149" s="130"/>
      <c r="E149" s="170">
        <f>E148+E144+E139+E134+E129</f>
        <v>19</v>
      </c>
      <c r="F149" s="170"/>
      <c r="G149" s="28">
        <f t="shared" ref="G149:H149" si="5">G148+G144+G139+G134+G129</f>
        <v>1288438</v>
      </c>
      <c r="H149" s="28">
        <f t="shared" si="5"/>
        <v>12775</v>
      </c>
    </row>
    <row r="150" spans="1:8" ht="25.5" customHeight="1" x14ac:dyDescent="0.25">
      <c r="A150" s="494" t="s">
        <v>1291</v>
      </c>
      <c r="B150" s="495"/>
      <c r="C150" s="495"/>
      <c r="D150" s="495"/>
      <c r="E150" s="495"/>
      <c r="F150" s="495"/>
      <c r="G150" s="495"/>
      <c r="H150" s="496"/>
    </row>
    <row r="151" spans="1:8" ht="38.25" customHeight="1" x14ac:dyDescent="0.25">
      <c r="A151" s="510" t="s">
        <v>1292</v>
      </c>
      <c r="B151" s="511"/>
      <c r="C151" s="511"/>
      <c r="D151" s="511"/>
      <c r="E151" s="511"/>
      <c r="F151" s="511"/>
      <c r="G151" s="511"/>
      <c r="H151" s="512"/>
    </row>
    <row r="152" spans="1:8" ht="49.5" x14ac:dyDescent="0.25">
      <c r="A152" s="406">
        <v>1</v>
      </c>
      <c r="B152" s="136" t="s">
        <v>152</v>
      </c>
      <c r="C152" s="182" t="s">
        <v>787</v>
      </c>
      <c r="D152" s="290" t="s">
        <v>14</v>
      </c>
      <c r="E152" s="125">
        <v>1</v>
      </c>
      <c r="F152" s="174">
        <v>148026</v>
      </c>
      <c r="G152" s="128">
        <f>E152*F152</f>
        <v>148026</v>
      </c>
      <c r="H152" s="128">
        <f>E152*0</f>
        <v>0</v>
      </c>
    </row>
    <row r="153" spans="1:8" ht="49.5" x14ac:dyDescent="0.25">
      <c r="A153" s="406">
        <v>2</v>
      </c>
      <c r="B153" s="126" t="s">
        <v>719</v>
      </c>
      <c r="C153" s="182" t="s">
        <v>788</v>
      </c>
      <c r="D153" s="290" t="s">
        <v>14</v>
      </c>
      <c r="E153" s="125">
        <v>1</v>
      </c>
      <c r="F153" s="174">
        <v>45422</v>
      </c>
      <c r="G153" s="128">
        <f>E153*F153</f>
        <v>45422</v>
      </c>
      <c r="H153" s="128">
        <f>E153*0</f>
        <v>0</v>
      </c>
    </row>
    <row r="154" spans="1:8" ht="82.5" x14ac:dyDescent="0.25">
      <c r="A154" s="406">
        <v>3</v>
      </c>
      <c r="B154" s="126" t="s">
        <v>720</v>
      </c>
      <c r="C154" s="182" t="s">
        <v>789</v>
      </c>
      <c r="D154" s="290" t="s">
        <v>14</v>
      </c>
      <c r="E154" s="125">
        <v>3</v>
      </c>
      <c r="F154" s="174">
        <v>18250</v>
      </c>
      <c r="G154" s="128">
        <f>E154*F154</f>
        <v>54750</v>
      </c>
      <c r="H154" s="128">
        <f>E154*1825</f>
        <v>5475</v>
      </c>
    </row>
    <row r="155" spans="1:8" x14ac:dyDescent="0.25">
      <c r="A155" s="513" t="s">
        <v>39</v>
      </c>
      <c r="B155" s="513"/>
      <c r="C155" s="168"/>
      <c r="D155" s="168"/>
      <c r="E155" s="107">
        <f>SUM(E152:E154)</f>
        <v>5</v>
      </c>
      <c r="F155" s="178"/>
      <c r="G155" s="178">
        <f>SUM(G152:G154)</f>
        <v>248198</v>
      </c>
      <c r="H155" s="178">
        <f>SUM(H152:H154)</f>
        <v>5475</v>
      </c>
    </row>
    <row r="156" spans="1:8" ht="43.5" customHeight="1" x14ac:dyDescent="0.25">
      <c r="A156" s="510" t="s">
        <v>1293</v>
      </c>
      <c r="B156" s="511"/>
      <c r="C156" s="511"/>
      <c r="D156" s="511"/>
      <c r="E156" s="511"/>
      <c r="F156" s="511"/>
      <c r="G156" s="511"/>
      <c r="H156" s="512"/>
    </row>
    <row r="157" spans="1:8" ht="49.5" x14ac:dyDescent="0.25">
      <c r="A157" s="163">
        <v>4</v>
      </c>
      <c r="B157" s="136" t="s">
        <v>152</v>
      </c>
      <c r="C157" s="182" t="s">
        <v>790</v>
      </c>
      <c r="D157" s="290" t="s">
        <v>14</v>
      </c>
      <c r="E157" s="125">
        <v>1</v>
      </c>
      <c r="F157" s="174">
        <v>148026</v>
      </c>
      <c r="G157" s="128">
        <f>E157*F157</f>
        <v>148026</v>
      </c>
      <c r="H157" s="128">
        <f>E157*0</f>
        <v>0</v>
      </c>
    </row>
    <row r="158" spans="1:8" ht="49.5" x14ac:dyDescent="0.25">
      <c r="A158" s="163">
        <v>5</v>
      </c>
      <c r="B158" s="126" t="s">
        <v>719</v>
      </c>
      <c r="C158" s="182" t="s">
        <v>791</v>
      </c>
      <c r="D158" s="290" t="s">
        <v>14</v>
      </c>
      <c r="E158" s="125">
        <v>1</v>
      </c>
      <c r="F158" s="174">
        <v>45422</v>
      </c>
      <c r="G158" s="128">
        <f>E158*F158</f>
        <v>45422</v>
      </c>
      <c r="H158" s="128">
        <f>E158*0</f>
        <v>0</v>
      </c>
    </row>
    <row r="159" spans="1:8" ht="82.5" x14ac:dyDescent="0.25">
      <c r="A159" s="163">
        <v>6</v>
      </c>
      <c r="B159" s="126" t="s">
        <v>720</v>
      </c>
      <c r="C159" s="182">
        <v>20021261112</v>
      </c>
      <c r="D159" s="290" t="s">
        <v>14</v>
      </c>
      <c r="E159" s="125">
        <v>1</v>
      </c>
      <c r="F159" s="174">
        <v>18250</v>
      </c>
      <c r="G159" s="128">
        <f>E159*F159</f>
        <v>18250</v>
      </c>
      <c r="H159" s="128">
        <f>E159*1825</f>
        <v>1825</v>
      </c>
    </row>
    <row r="160" spans="1:8" x14ac:dyDescent="0.25">
      <c r="A160" s="513" t="s">
        <v>39</v>
      </c>
      <c r="B160" s="513"/>
      <c r="C160" s="168"/>
      <c r="D160" s="168"/>
      <c r="E160" s="107">
        <f>SUM(E157:E159)</f>
        <v>3</v>
      </c>
      <c r="F160" s="178"/>
      <c r="G160" s="178">
        <f>SUM(G157:G159)</f>
        <v>211698</v>
      </c>
      <c r="H160" s="178">
        <f>SUM(H157:H159)</f>
        <v>1825</v>
      </c>
    </row>
    <row r="161" spans="1:8" ht="40.5" customHeight="1" x14ac:dyDescent="0.25">
      <c r="A161" s="510" t="s">
        <v>1294</v>
      </c>
      <c r="B161" s="511"/>
      <c r="C161" s="511"/>
      <c r="D161" s="511"/>
      <c r="E161" s="511"/>
      <c r="F161" s="511"/>
      <c r="G161" s="511"/>
      <c r="H161" s="512"/>
    </row>
    <row r="162" spans="1:8" ht="49.5" x14ac:dyDescent="0.25">
      <c r="A162" s="163">
        <v>7</v>
      </c>
      <c r="B162" s="136" t="s">
        <v>152</v>
      </c>
      <c r="C162" s="182" t="s">
        <v>792</v>
      </c>
      <c r="D162" s="290" t="s">
        <v>14</v>
      </c>
      <c r="E162" s="125">
        <v>1</v>
      </c>
      <c r="F162" s="174">
        <v>148026</v>
      </c>
      <c r="G162" s="128">
        <f>E162*F162</f>
        <v>148026</v>
      </c>
      <c r="H162" s="128">
        <f>E162*0</f>
        <v>0</v>
      </c>
    </row>
    <row r="163" spans="1:8" ht="82.5" x14ac:dyDescent="0.25">
      <c r="A163" s="163">
        <v>8</v>
      </c>
      <c r="B163" s="126" t="s">
        <v>720</v>
      </c>
      <c r="C163" s="182">
        <v>20027471112</v>
      </c>
      <c r="D163" s="290" t="s">
        <v>14</v>
      </c>
      <c r="E163" s="125">
        <v>1</v>
      </c>
      <c r="F163" s="174">
        <v>18250</v>
      </c>
      <c r="G163" s="128">
        <f>E163*F163</f>
        <v>18250</v>
      </c>
      <c r="H163" s="128">
        <f>E163*1825</f>
        <v>1825</v>
      </c>
    </row>
    <row r="164" spans="1:8" ht="66" x14ac:dyDescent="0.25">
      <c r="A164" s="163">
        <v>9</v>
      </c>
      <c r="B164" s="136" t="s">
        <v>561</v>
      </c>
      <c r="C164" s="182" t="s">
        <v>793</v>
      </c>
      <c r="D164" s="290" t="s">
        <v>14</v>
      </c>
      <c r="E164" s="125">
        <v>1</v>
      </c>
      <c r="F164" s="174">
        <v>160472</v>
      </c>
      <c r="G164" s="128">
        <f>E164*F164</f>
        <v>160472</v>
      </c>
      <c r="H164" s="128">
        <f>E164*0</f>
        <v>0</v>
      </c>
    </row>
    <row r="165" spans="1:8" x14ac:dyDescent="0.25">
      <c r="A165" s="513" t="s">
        <v>39</v>
      </c>
      <c r="B165" s="513"/>
      <c r="C165" s="168"/>
      <c r="D165" s="168"/>
      <c r="E165" s="107">
        <f>SUM(E162:E164)</f>
        <v>3</v>
      </c>
      <c r="F165" s="178"/>
      <c r="G165" s="178">
        <f>SUM(G162:G164)</f>
        <v>326748</v>
      </c>
      <c r="H165" s="178">
        <f>SUM(H162:H164)</f>
        <v>1825</v>
      </c>
    </row>
    <row r="166" spans="1:8" ht="39" customHeight="1" x14ac:dyDescent="0.25">
      <c r="A166" s="510" t="s">
        <v>1295</v>
      </c>
      <c r="B166" s="511"/>
      <c r="C166" s="511"/>
      <c r="D166" s="511"/>
      <c r="E166" s="511"/>
      <c r="F166" s="511"/>
      <c r="G166" s="511"/>
      <c r="H166" s="512"/>
    </row>
    <row r="167" spans="1:8" ht="49.5" x14ac:dyDescent="0.25">
      <c r="A167" s="153">
        <v>10</v>
      </c>
      <c r="B167" s="136" t="s">
        <v>152</v>
      </c>
      <c r="C167" s="182" t="s">
        <v>794</v>
      </c>
      <c r="D167" s="290" t="s">
        <v>14</v>
      </c>
      <c r="E167" s="125">
        <v>1</v>
      </c>
      <c r="F167" s="174">
        <v>148026</v>
      </c>
      <c r="G167" s="128">
        <f>E167*F167</f>
        <v>148026</v>
      </c>
      <c r="H167" s="128">
        <f>E167*0</f>
        <v>0</v>
      </c>
    </row>
    <row r="168" spans="1:8" ht="66" x14ac:dyDescent="0.25">
      <c r="A168" s="153">
        <v>11</v>
      </c>
      <c r="B168" s="126" t="s">
        <v>795</v>
      </c>
      <c r="C168" s="182" t="s">
        <v>796</v>
      </c>
      <c r="D168" s="290" t="s">
        <v>14</v>
      </c>
      <c r="E168" s="125">
        <v>1</v>
      </c>
      <c r="F168" s="174">
        <v>45422</v>
      </c>
      <c r="G168" s="128">
        <f>E168*F168</f>
        <v>45422</v>
      </c>
      <c r="H168" s="128">
        <f>E168*0</f>
        <v>0</v>
      </c>
    </row>
    <row r="169" spans="1:8" ht="49.5" x14ac:dyDescent="0.25">
      <c r="A169" s="153">
        <v>12</v>
      </c>
      <c r="B169" s="126" t="s">
        <v>774</v>
      </c>
      <c r="C169" s="290" t="s">
        <v>797</v>
      </c>
      <c r="D169" s="290" t="s">
        <v>14</v>
      </c>
      <c r="E169" s="125">
        <v>2</v>
      </c>
      <c r="F169" s="174">
        <v>37719</v>
      </c>
      <c r="G169" s="128">
        <f>E169*F169</f>
        <v>75438</v>
      </c>
      <c r="H169" s="128">
        <f>E169*0</f>
        <v>0</v>
      </c>
    </row>
    <row r="170" spans="1:8" x14ac:dyDescent="0.25">
      <c r="A170" s="513" t="s">
        <v>39</v>
      </c>
      <c r="B170" s="513"/>
      <c r="C170" s="168"/>
      <c r="D170" s="168"/>
      <c r="E170" s="107">
        <f>SUM(E167:E169)</f>
        <v>4</v>
      </c>
      <c r="F170" s="178"/>
      <c r="G170" s="178">
        <f>SUM(G167:G169)</f>
        <v>268886</v>
      </c>
      <c r="H170" s="178">
        <f>SUM(H167:H169)</f>
        <v>0</v>
      </c>
    </row>
    <row r="171" spans="1:8" x14ac:dyDescent="0.25">
      <c r="A171" s="520" t="s">
        <v>133</v>
      </c>
      <c r="B171" s="520"/>
      <c r="C171" s="130"/>
      <c r="D171" s="130"/>
      <c r="E171" s="170">
        <f>E155+E160+E165+E170</f>
        <v>15</v>
      </c>
      <c r="F171" s="175"/>
      <c r="G171" s="175">
        <f>G155+G160+G165+G170</f>
        <v>1055530</v>
      </c>
      <c r="H171" s="175">
        <f>H155+H160+H165+H170</f>
        <v>9125</v>
      </c>
    </row>
    <row r="172" spans="1:8" ht="25.5" customHeight="1" x14ac:dyDescent="0.25">
      <c r="A172" s="494" t="s">
        <v>1296</v>
      </c>
      <c r="B172" s="495"/>
      <c r="C172" s="495"/>
      <c r="D172" s="495"/>
      <c r="E172" s="495"/>
      <c r="F172" s="495"/>
      <c r="G172" s="495"/>
      <c r="H172" s="496"/>
    </row>
    <row r="173" spans="1:8" ht="40.5" customHeight="1" x14ac:dyDescent="0.25">
      <c r="A173" s="510" t="s">
        <v>1297</v>
      </c>
      <c r="B173" s="511"/>
      <c r="C173" s="511"/>
      <c r="D173" s="511"/>
      <c r="E173" s="511"/>
      <c r="F173" s="511"/>
      <c r="G173" s="511"/>
      <c r="H173" s="512"/>
    </row>
    <row r="174" spans="1:8" ht="49.5" x14ac:dyDescent="0.25">
      <c r="A174" s="283">
        <v>1</v>
      </c>
      <c r="B174" s="136" t="s">
        <v>152</v>
      </c>
      <c r="C174" s="182" t="s">
        <v>798</v>
      </c>
      <c r="D174" s="406" t="s">
        <v>14</v>
      </c>
      <c r="E174" s="125">
        <v>1</v>
      </c>
      <c r="F174" s="174">
        <v>148026</v>
      </c>
      <c r="G174" s="91">
        <f>E174*F174</f>
        <v>148026</v>
      </c>
      <c r="H174" s="91">
        <f>E174*0</f>
        <v>0</v>
      </c>
    </row>
    <row r="175" spans="1:8" ht="49.5" x14ac:dyDescent="0.25">
      <c r="A175" s="283">
        <v>2</v>
      </c>
      <c r="B175" s="126" t="s">
        <v>719</v>
      </c>
      <c r="C175" s="182" t="s">
        <v>799</v>
      </c>
      <c r="D175" s="406" t="s">
        <v>14</v>
      </c>
      <c r="E175" s="125">
        <v>1</v>
      </c>
      <c r="F175" s="174">
        <v>45422</v>
      </c>
      <c r="G175" s="91">
        <f>E175*F175</f>
        <v>45422</v>
      </c>
      <c r="H175" s="91">
        <f>E175*0</f>
        <v>0</v>
      </c>
    </row>
    <row r="176" spans="1:8" ht="82.5" x14ac:dyDescent="0.25">
      <c r="A176" s="283">
        <v>3</v>
      </c>
      <c r="B176" s="126" t="s">
        <v>720</v>
      </c>
      <c r="C176" s="182">
        <v>20021421112</v>
      </c>
      <c r="D176" s="406" t="s">
        <v>14</v>
      </c>
      <c r="E176" s="125">
        <v>1</v>
      </c>
      <c r="F176" s="174">
        <v>18250</v>
      </c>
      <c r="G176" s="91">
        <f>E176*F176</f>
        <v>18250</v>
      </c>
      <c r="H176" s="91">
        <f>E176*1825</f>
        <v>1825</v>
      </c>
    </row>
    <row r="177" spans="1:8" x14ac:dyDescent="0.25">
      <c r="A177" s="513" t="s">
        <v>39</v>
      </c>
      <c r="B177" s="513"/>
      <c r="C177" s="168"/>
      <c r="D177" s="168"/>
      <c r="E177" s="107">
        <f>SUM(E174:E176)</f>
        <v>3</v>
      </c>
      <c r="F177" s="178"/>
      <c r="G177" s="178">
        <f>SUM(G174:G176)</f>
        <v>211698</v>
      </c>
      <c r="H177" s="178">
        <f>SUM(H174:H176)</f>
        <v>1825</v>
      </c>
    </row>
    <row r="178" spans="1:8" ht="41.25" customHeight="1" x14ac:dyDescent="0.25">
      <c r="A178" s="510" t="s">
        <v>1298</v>
      </c>
      <c r="B178" s="511"/>
      <c r="C178" s="511"/>
      <c r="D178" s="511"/>
      <c r="E178" s="511"/>
      <c r="F178" s="511"/>
      <c r="G178" s="511"/>
      <c r="H178" s="512"/>
    </row>
    <row r="179" spans="1:8" ht="49.5" x14ac:dyDescent="0.25">
      <c r="A179" s="283">
        <v>4</v>
      </c>
      <c r="B179" s="136" t="s">
        <v>152</v>
      </c>
      <c r="C179" s="290" t="s">
        <v>800</v>
      </c>
      <c r="D179" s="406" t="s">
        <v>14</v>
      </c>
      <c r="E179" s="125">
        <v>1</v>
      </c>
      <c r="F179" s="174">
        <v>148026</v>
      </c>
      <c r="G179" s="91">
        <f>E179*F179</f>
        <v>148026</v>
      </c>
      <c r="H179" s="91">
        <f>E179*0</f>
        <v>0</v>
      </c>
    </row>
    <row r="180" spans="1:8" ht="49.5" x14ac:dyDescent="0.25">
      <c r="A180" s="283">
        <v>5</v>
      </c>
      <c r="B180" s="126" t="s">
        <v>719</v>
      </c>
      <c r="C180" s="290" t="s">
        <v>801</v>
      </c>
      <c r="D180" s="406" t="s">
        <v>14</v>
      </c>
      <c r="E180" s="125">
        <v>1</v>
      </c>
      <c r="F180" s="174">
        <v>45422</v>
      </c>
      <c r="G180" s="91">
        <f>E180*F180</f>
        <v>45422</v>
      </c>
      <c r="H180" s="91">
        <f>E180*0</f>
        <v>0</v>
      </c>
    </row>
    <row r="181" spans="1:8" ht="82.5" x14ac:dyDescent="0.25">
      <c r="A181" s="283">
        <v>6</v>
      </c>
      <c r="B181" s="126" t="s">
        <v>720</v>
      </c>
      <c r="C181" s="290">
        <v>20021431112</v>
      </c>
      <c r="D181" s="406" t="s">
        <v>14</v>
      </c>
      <c r="E181" s="125">
        <v>1</v>
      </c>
      <c r="F181" s="174">
        <v>18250</v>
      </c>
      <c r="G181" s="91">
        <f>E181*F181</f>
        <v>18250</v>
      </c>
      <c r="H181" s="91">
        <f>E181*1825</f>
        <v>1825</v>
      </c>
    </row>
    <row r="182" spans="1:8" x14ac:dyDescent="0.25">
      <c r="A182" s="513" t="s">
        <v>39</v>
      </c>
      <c r="B182" s="513"/>
      <c r="C182" s="168"/>
      <c r="D182" s="168"/>
      <c r="E182" s="107">
        <f>SUM(E179:E181)</f>
        <v>3</v>
      </c>
      <c r="F182" s="178"/>
      <c r="G182" s="178">
        <f>SUM(G179:G181)</f>
        <v>211698</v>
      </c>
      <c r="H182" s="178">
        <f>SUM(H179:H181)</f>
        <v>1825</v>
      </c>
    </row>
    <row r="183" spans="1:8" ht="18.75" x14ac:dyDescent="0.25">
      <c r="A183" s="507" t="s">
        <v>133</v>
      </c>
      <c r="B183" s="508"/>
      <c r="C183" s="185"/>
      <c r="D183" s="185"/>
      <c r="E183" s="186">
        <f>E177+E182</f>
        <v>6</v>
      </c>
      <c r="F183" s="177"/>
      <c r="G183" s="177">
        <f>G177+G182</f>
        <v>423396</v>
      </c>
      <c r="H183" s="177">
        <f>H177+H182</f>
        <v>3650</v>
      </c>
    </row>
    <row r="184" spans="1:8" ht="27" customHeight="1" x14ac:dyDescent="0.25">
      <c r="A184" s="494" t="s">
        <v>1299</v>
      </c>
      <c r="B184" s="495"/>
      <c r="C184" s="495"/>
      <c r="D184" s="495"/>
      <c r="E184" s="495"/>
      <c r="F184" s="495"/>
      <c r="G184" s="495"/>
      <c r="H184" s="496"/>
    </row>
    <row r="185" spans="1:8" ht="38.25" customHeight="1" x14ac:dyDescent="0.25">
      <c r="A185" s="510" t="s">
        <v>1300</v>
      </c>
      <c r="B185" s="511"/>
      <c r="C185" s="511"/>
      <c r="D185" s="511"/>
      <c r="E185" s="511"/>
      <c r="F185" s="511"/>
      <c r="G185" s="511"/>
      <c r="H185" s="512"/>
    </row>
    <row r="186" spans="1:8" ht="49.5" x14ac:dyDescent="0.25">
      <c r="A186" s="283">
        <v>1</v>
      </c>
      <c r="B186" s="136" t="s">
        <v>152</v>
      </c>
      <c r="C186" s="290" t="s">
        <v>802</v>
      </c>
      <c r="D186" s="406" t="s">
        <v>14</v>
      </c>
      <c r="E186" s="125">
        <v>1</v>
      </c>
      <c r="F186" s="174">
        <v>148026</v>
      </c>
      <c r="G186" s="91">
        <f>E186*F186</f>
        <v>148026</v>
      </c>
      <c r="H186" s="91">
        <f>E186*0</f>
        <v>0</v>
      </c>
    </row>
    <row r="187" spans="1:8" x14ac:dyDescent="0.25">
      <c r="A187" s="513" t="s">
        <v>39</v>
      </c>
      <c r="B187" s="513"/>
      <c r="C187" s="168"/>
      <c r="D187" s="168"/>
      <c r="E187" s="107">
        <f>SUM(E186:E186)</f>
        <v>1</v>
      </c>
      <c r="F187" s="178"/>
      <c r="G187" s="178">
        <f>SUM(G186:G186)</f>
        <v>148026</v>
      </c>
      <c r="H187" s="178">
        <f>SUM(H186:H186)</f>
        <v>0</v>
      </c>
    </row>
    <row r="188" spans="1:8" ht="41.25" customHeight="1" x14ac:dyDescent="0.25">
      <c r="A188" s="510" t="s">
        <v>1301</v>
      </c>
      <c r="B188" s="511"/>
      <c r="C188" s="511"/>
      <c r="D188" s="511"/>
      <c r="E188" s="511"/>
      <c r="F188" s="511"/>
      <c r="G188" s="511"/>
      <c r="H188" s="512"/>
    </row>
    <row r="189" spans="1:8" ht="49.5" x14ac:dyDescent="0.25">
      <c r="A189" s="283">
        <v>2</v>
      </c>
      <c r="B189" s="136" t="s">
        <v>152</v>
      </c>
      <c r="C189" s="182" t="s">
        <v>803</v>
      </c>
      <c r="D189" s="406" t="s">
        <v>14</v>
      </c>
      <c r="E189" s="125">
        <v>1</v>
      </c>
      <c r="F189" s="174">
        <v>148026</v>
      </c>
      <c r="G189" s="91">
        <f>E189*F189</f>
        <v>148026</v>
      </c>
      <c r="H189" s="91">
        <f>E189*0</f>
        <v>0</v>
      </c>
    </row>
    <row r="190" spans="1:8" x14ac:dyDescent="0.25">
      <c r="A190" s="513" t="s">
        <v>39</v>
      </c>
      <c r="B190" s="513"/>
      <c r="C190" s="168"/>
      <c r="D190" s="168"/>
      <c r="E190" s="107">
        <f>SUM(E189:E189)</f>
        <v>1</v>
      </c>
      <c r="F190" s="178"/>
      <c r="G190" s="178">
        <f>SUM(G189:G189)</f>
        <v>148026</v>
      </c>
      <c r="H190" s="178">
        <f>SUM(H189:H189)</f>
        <v>0</v>
      </c>
    </row>
    <row r="191" spans="1:8" ht="40.5" customHeight="1" x14ac:dyDescent="0.25">
      <c r="A191" s="510" t="s">
        <v>1302</v>
      </c>
      <c r="B191" s="511"/>
      <c r="C191" s="511"/>
      <c r="D191" s="511"/>
      <c r="E191" s="511"/>
      <c r="F191" s="511"/>
      <c r="G191" s="511"/>
      <c r="H191" s="512"/>
    </row>
    <row r="192" spans="1:8" ht="49.5" x14ac:dyDescent="0.25">
      <c r="A192" s="283">
        <v>3</v>
      </c>
      <c r="B192" s="136" t="s">
        <v>152</v>
      </c>
      <c r="C192" s="182" t="s">
        <v>804</v>
      </c>
      <c r="D192" s="406" t="s">
        <v>14</v>
      </c>
      <c r="E192" s="125">
        <v>1</v>
      </c>
      <c r="F192" s="174">
        <v>148026</v>
      </c>
      <c r="G192" s="91">
        <f>E192*F192</f>
        <v>148026</v>
      </c>
      <c r="H192" s="91">
        <f>E192*0</f>
        <v>0</v>
      </c>
    </row>
    <row r="193" spans="1:8" ht="49.5" x14ac:dyDescent="0.25">
      <c r="A193" s="283">
        <v>4</v>
      </c>
      <c r="B193" s="126" t="s">
        <v>719</v>
      </c>
      <c r="C193" s="182" t="s">
        <v>805</v>
      </c>
      <c r="D193" s="406" t="s">
        <v>14</v>
      </c>
      <c r="E193" s="125">
        <v>1</v>
      </c>
      <c r="F193" s="174">
        <v>45422</v>
      </c>
      <c r="G193" s="91">
        <f>E193*F193</f>
        <v>45422</v>
      </c>
      <c r="H193" s="91">
        <f>E193*0</f>
        <v>0</v>
      </c>
    </row>
    <row r="194" spans="1:8" x14ac:dyDescent="0.25">
      <c r="A194" s="513" t="s">
        <v>39</v>
      </c>
      <c r="B194" s="513"/>
      <c r="C194" s="168"/>
      <c r="D194" s="168"/>
      <c r="E194" s="107">
        <f>SUM(E192:E193)</f>
        <v>2</v>
      </c>
      <c r="F194" s="178"/>
      <c r="G194" s="178">
        <f>SUM(G192:G193)</f>
        <v>193448</v>
      </c>
      <c r="H194" s="178">
        <f>SUM(H192:H193)</f>
        <v>0</v>
      </c>
    </row>
    <row r="195" spans="1:8" ht="43.5" customHeight="1" x14ac:dyDescent="0.25">
      <c r="A195" s="510" t="s">
        <v>1303</v>
      </c>
      <c r="B195" s="511"/>
      <c r="C195" s="511"/>
      <c r="D195" s="511"/>
      <c r="E195" s="511"/>
      <c r="F195" s="511"/>
      <c r="G195" s="511"/>
      <c r="H195" s="512"/>
    </row>
    <row r="196" spans="1:8" ht="49.5" x14ac:dyDescent="0.25">
      <c r="A196" s="283">
        <v>5</v>
      </c>
      <c r="B196" s="136" t="s">
        <v>152</v>
      </c>
      <c r="C196" s="182" t="s">
        <v>806</v>
      </c>
      <c r="D196" s="406" t="s">
        <v>14</v>
      </c>
      <c r="E196" s="125">
        <v>1</v>
      </c>
      <c r="F196" s="174">
        <v>148026</v>
      </c>
      <c r="G196" s="91">
        <f>E196*F196</f>
        <v>148026</v>
      </c>
      <c r="H196" s="91">
        <f>E196*0</f>
        <v>0</v>
      </c>
    </row>
    <row r="197" spans="1:8" x14ac:dyDescent="0.25">
      <c r="A197" s="513" t="s">
        <v>39</v>
      </c>
      <c r="B197" s="513"/>
      <c r="C197" s="168"/>
      <c r="D197" s="168"/>
      <c r="E197" s="107">
        <f>SUM(E196:E196)</f>
        <v>1</v>
      </c>
      <c r="F197" s="178"/>
      <c r="G197" s="178">
        <f>SUM(G196:G196)</f>
        <v>148026</v>
      </c>
      <c r="H197" s="178">
        <f>SUM(H196:H196)</f>
        <v>0</v>
      </c>
    </row>
    <row r="198" spans="1:8" ht="18.75" x14ac:dyDescent="0.25">
      <c r="A198" s="517" t="s">
        <v>133</v>
      </c>
      <c r="B198" s="517"/>
      <c r="C198" s="185"/>
      <c r="D198" s="185"/>
      <c r="E198" s="186">
        <f>E187+E190+E194+E197</f>
        <v>5</v>
      </c>
      <c r="F198" s="177"/>
      <c r="G198" s="177">
        <f>G187+G190+G194+G197</f>
        <v>637526</v>
      </c>
      <c r="H198" s="177">
        <f>H187+H190+H194+H197</f>
        <v>0</v>
      </c>
    </row>
    <row r="199" spans="1:8" ht="18.75" x14ac:dyDescent="0.25">
      <c r="A199" s="517" t="s">
        <v>590</v>
      </c>
      <c r="B199" s="517"/>
      <c r="C199" s="185"/>
      <c r="D199" s="185"/>
      <c r="E199" s="186">
        <f>E198+E183+E171+E149+E123+E101+E80+E57+E39+E22</f>
        <v>154</v>
      </c>
      <c r="F199" s="186"/>
      <c r="G199" s="177">
        <f t="shared" ref="G199:H199" si="6">G198+G183+G171+G149+G123+G101+G80+G57+G39+G22</f>
        <v>10510919</v>
      </c>
      <c r="H199" s="177">
        <f t="shared" si="6"/>
        <v>105850</v>
      </c>
    </row>
  </sheetData>
  <mergeCells count="103">
    <mergeCell ref="A194:B194"/>
    <mergeCell ref="A195:H195"/>
    <mergeCell ref="A197:B197"/>
    <mergeCell ref="A198:B198"/>
    <mergeCell ref="A199:B199"/>
    <mergeCell ref="A185:H185"/>
    <mergeCell ref="A187:B187"/>
    <mergeCell ref="A188:H188"/>
    <mergeCell ref="A190:B190"/>
    <mergeCell ref="A191:H191"/>
    <mergeCell ref="A177:B177"/>
    <mergeCell ref="A178:H178"/>
    <mergeCell ref="A182:B182"/>
    <mergeCell ref="A183:B183"/>
    <mergeCell ref="A184:H184"/>
    <mergeCell ref="A166:H166"/>
    <mergeCell ref="A170:B170"/>
    <mergeCell ref="A171:B171"/>
    <mergeCell ref="A172:H172"/>
    <mergeCell ref="A173:H173"/>
    <mergeCell ref="A155:B155"/>
    <mergeCell ref="A156:H156"/>
    <mergeCell ref="A160:B160"/>
    <mergeCell ref="A161:H161"/>
    <mergeCell ref="A165:B165"/>
    <mergeCell ref="A145:H145"/>
    <mergeCell ref="A148:B148"/>
    <mergeCell ref="A149:B149"/>
    <mergeCell ref="A150:H150"/>
    <mergeCell ref="A151:H151"/>
    <mergeCell ref="A135:H135"/>
    <mergeCell ref="A139:B139"/>
    <mergeCell ref="A140:H140"/>
    <mergeCell ref="A144:B144"/>
    <mergeCell ref="A124:H124"/>
    <mergeCell ref="A125:H125"/>
    <mergeCell ref="A129:B129"/>
    <mergeCell ref="A130:H130"/>
    <mergeCell ref="A134:B134"/>
    <mergeCell ref="A112:H112"/>
    <mergeCell ref="A116:B116"/>
    <mergeCell ref="A117:H117"/>
    <mergeCell ref="A122:B122"/>
    <mergeCell ref="A123:B123"/>
    <mergeCell ref="A102:H102"/>
    <mergeCell ref="A103:H103"/>
    <mergeCell ref="A106:B106"/>
    <mergeCell ref="A107:H107"/>
    <mergeCell ref="A111:B111"/>
    <mergeCell ref="A92:H92"/>
    <mergeCell ref="A95:B95"/>
    <mergeCell ref="A96:H96"/>
    <mergeCell ref="A100:B100"/>
    <mergeCell ref="A101:B101"/>
    <mergeCell ref="A81:H81"/>
    <mergeCell ref="A82:H82"/>
    <mergeCell ref="A86:B86"/>
    <mergeCell ref="A87:H87"/>
    <mergeCell ref="A91:B91"/>
    <mergeCell ref="A72:H72"/>
    <mergeCell ref="A76:B76"/>
    <mergeCell ref="A77:H77"/>
    <mergeCell ref="A79:B79"/>
    <mergeCell ref="A80:B80"/>
    <mergeCell ref="A62:B62"/>
    <mergeCell ref="A63:H63"/>
    <mergeCell ref="A66:B66"/>
    <mergeCell ref="A67:H67"/>
    <mergeCell ref="A71:B71"/>
    <mergeCell ref="A54:H54"/>
    <mergeCell ref="A56:B56"/>
    <mergeCell ref="A57:B57"/>
    <mergeCell ref="A58:H58"/>
    <mergeCell ref="A59:H59"/>
    <mergeCell ref="A40:H40"/>
    <mergeCell ref="A41:H41"/>
    <mergeCell ref="A45:B45"/>
    <mergeCell ref="A46:H46"/>
    <mergeCell ref="A53:B53"/>
    <mergeCell ref="A29:H29"/>
    <mergeCell ref="A34:B34"/>
    <mergeCell ref="A35:H35"/>
    <mergeCell ref="A38:B38"/>
    <mergeCell ref="A39:B39"/>
    <mergeCell ref="A11:H11"/>
    <mergeCell ref="A23:H23"/>
    <mergeCell ref="A24:H24"/>
    <mergeCell ref="A28:B28"/>
    <mergeCell ref="A21:B21"/>
    <mergeCell ref="A22:B22"/>
    <mergeCell ref="A12:H12"/>
    <mergeCell ref="A16:B16"/>
    <mergeCell ref="A17:H17"/>
    <mergeCell ref="C8:C9"/>
    <mergeCell ref="E8:E9"/>
    <mergeCell ref="D8:D9"/>
    <mergeCell ref="G1:H1"/>
    <mergeCell ref="E2:H2"/>
    <mergeCell ref="E3:H3"/>
    <mergeCell ref="A5:H5"/>
    <mergeCell ref="A6:H6"/>
    <mergeCell ref="A8:A9"/>
    <mergeCell ref="B8:B9"/>
  </mergeCell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6"/>
  <sheetViews>
    <sheetView topLeftCell="A16" workbookViewId="0">
      <selection activeCell="E38" sqref="E38"/>
    </sheetView>
  </sheetViews>
  <sheetFormatPr defaultRowHeight="17.25" x14ac:dyDescent="0.3"/>
  <cols>
    <col min="1" max="1" width="4.28515625" style="1" customWidth="1"/>
    <col min="2" max="2" width="22.140625" style="1" customWidth="1"/>
    <col min="3" max="3" width="18.5703125" style="1" customWidth="1"/>
    <col min="4" max="4" width="11.42578125" style="1" customWidth="1"/>
    <col min="5" max="5" width="10.7109375" style="1" customWidth="1"/>
    <col min="6" max="8" width="17.140625" style="1" customWidth="1"/>
    <col min="9" max="16384" width="9.140625" style="1"/>
  </cols>
  <sheetData>
    <row r="1" spans="1:8" x14ac:dyDescent="0.3">
      <c r="E1" s="402"/>
      <c r="F1" s="402"/>
      <c r="G1" s="465" t="s">
        <v>98</v>
      </c>
      <c r="H1" s="465"/>
    </row>
    <row r="2" spans="1:8" x14ac:dyDescent="0.3">
      <c r="E2" s="465" t="s">
        <v>1</v>
      </c>
      <c r="F2" s="465"/>
      <c r="G2" s="465"/>
      <c r="H2" s="465"/>
    </row>
    <row r="3" spans="1:8" x14ac:dyDescent="0.3">
      <c r="E3" s="465" t="s">
        <v>2</v>
      </c>
      <c r="F3" s="465"/>
      <c r="G3" s="465"/>
      <c r="H3" s="465"/>
    </row>
    <row r="5" spans="1:8" x14ac:dyDescent="0.3">
      <c r="A5" s="466" t="s">
        <v>3</v>
      </c>
      <c r="B5" s="466"/>
      <c r="C5" s="466"/>
      <c r="D5" s="466"/>
      <c r="E5" s="466"/>
      <c r="F5" s="466"/>
      <c r="G5" s="466"/>
      <c r="H5" s="466"/>
    </row>
    <row r="6" spans="1:8" ht="111" customHeight="1" x14ac:dyDescent="0.3">
      <c r="A6" s="516" t="s">
        <v>1304</v>
      </c>
      <c r="B6" s="516"/>
      <c r="C6" s="516"/>
      <c r="D6" s="516"/>
      <c r="E6" s="516"/>
      <c r="F6" s="516"/>
      <c r="G6" s="516"/>
      <c r="H6" s="516"/>
    </row>
    <row r="7" spans="1:8" x14ac:dyDescent="0.3">
      <c r="D7" s="3"/>
      <c r="E7" s="402"/>
      <c r="F7" s="402"/>
      <c r="G7" s="402"/>
    </row>
    <row r="8" spans="1:8" ht="69" x14ac:dyDescent="0.3">
      <c r="A8" s="461" t="s">
        <v>4</v>
      </c>
      <c r="B8" s="461" t="s">
        <v>5</v>
      </c>
      <c r="C8" s="498" t="s">
        <v>560</v>
      </c>
      <c r="D8" s="461" t="s">
        <v>6</v>
      </c>
      <c r="E8" s="461" t="s">
        <v>7</v>
      </c>
      <c r="F8" s="5" t="s">
        <v>8</v>
      </c>
      <c r="G8" s="404" t="s">
        <v>9</v>
      </c>
      <c r="H8" s="404" t="s">
        <v>10</v>
      </c>
    </row>
    <row r="9" spans="1:8" x14ac:dyDescent="0.3">
      <c r="A9" s="503"/>
      <c r="B9" s="462"/>
      <c r="C9" s="498"/>
      <c r="D9" s="462"/>
      <c r="E9" s="468"/>
      <c r="F9" s="404" t="s">
        <v>12</v>
      </c>
      <c r="G9" s="31" t="s">
        <v>12</v>
      </c>
      <c r="H9" s="31" t="s">
        <v>12</v>
      </c>
    </row>
    <row r="10" spans="1:8" x14ac:dyDescent="0.3">
      <c r="A10" s="31">
        <v>1</v>
      </c>
      <c r="B10" s="31">
        <v>2</v>
      </c>
      <c r="C10" s="31">
        <v>3</v>
      </c>
      <c r="D10" s="31">
        <v>4</v>
      </c>
      <c r="E10" s="31">
        <v>5</v>
      </c>
      <c r="F10" s="31">
        <v>6</v>
      </c>
      <c r="G10" s="31">
        <v>7</v>
      </c>
      <c r="H10" s="31">
        <v>8</v>
      </c>
    </row>
    <row r="11" spans="1:8" ht="25.5" customHeight="1" x14ac:dyDescent="0.3">
      <c r="A11" s="494" t="s">
        <v>1305</v>
      </c>
      <c r="B11" s="495"/>
      <c r="C11" s="495"/>
      <c r="D11" s="495"/>
      <c r="E11" s="495"/>
      <c r="F11" s="495"/>
      <c r="G11" s="495"/>
      <c r="H11" s="496"/>
    </row>
    <row r="12" spans="1:8" ht="42.75" customHeight="1" x14ac:dyDescent="0.3">
      <c r="A12" s="515" t="s">
        <v>1311</v>
      </c>
      <c r="B12" s="515"/>
      <c r="C12" s="515"/>
      <c r="D12" s="515"/>
      <c r="E12" s="515"/>
      <c r="F12" s="515"/>
      <c r="G12" s="515"/>
      <c r="H12" s="515"/>
    </row>
    <row r="13" spans="1:8" ht="56.25" customHeight="1" x14ac:dyDescent="0.3">
      <c r="A13" s="290">
        <v>1</v>
      </c>
      <c r="B13" s="136" t="s">
        <v>152</v>
      </c>
      <c r="C13" s="290" t="s">
        <v>840</v>
      </c>
      <c r="D13" s="290" t="s">
        <v>14</v>
      </c>
      <c r="E13" s="125">
        <v>1</v>
      </c>
      <c r="F13" s="174">
        <v>148026</v>
      </c>
      <c r="G13" s="128">
        <f>E13*F13</f>
        <v>148026</v>
      </c>
      <c r="H13" s="128">
        <f>E13*0</f>
        <v>0</v>
      </c>
    </row>
    <row r="14" spans="1:8" ht="60" customHeight="1" x14ac:dyDescent="0.3">
      <c r="A14" s="290">
        <v>2</v>
      </c>
      <c r="B14" s="126" t="s">
        <v>719</v>
      </c>
      <c r="C14" s="290" t="s">
        <v>841</v>
      </c>
      <c r="D14" s="290" t="s">
        <v>14</v>
      </c>
      <c r="E14" s="125">
        <v>1</v>
      </c>
      <c r="F14" s="174">
        <v>45422</v>
      </c>
      <c r="G14" s="128">
        <f>E14*F14</f>
        <v>45422</v>
      </c>
      <c r="H14" s="128">
        <f>E14*0</f>
        <v>0</v>
      </c>
    </row>
    <row r="15" spans="1:8" ht="82.5" x14ac:dyDescent="0.3">
      <c r="A15" s="290">
        <v>3</v>
      </c>
      <c r="B15" s="126" t="s">
        <v>720</v>
      </c>
      <c r="C15" s="290">
        <v>20023051112</v>
      </c>
      <c r="D15" s="290" t="s">
        <v>14</v>
      </c>
      <c r="E15" s="125">
        <v>1</v>
      </c>
      <c r="F15" s="174">
        <v>18250</v>
      </c>
      <c r="G15" s="128">
        <f>E15*F15</f>
        <v>18250</v>
      </c>
      <c r="H15" s="128">
        <f>E15*1825</f>
        <v>1825</v>
      </c>
    </row>
    <row r="16" spans="1:8" x14ac:dyDescent="0.3">
      <c r="A16" s="513" t="s">
        <v>39</v>
      </c>
      <c r="B16" s="513"/>
      <c r="C16" s="215"/>
      <c r="D16" s="215"/>
      <c r="E16" s="216">
        <f>SUM(E13:E15)</f>
        <v>3</v>
      </c>
      <c r="F16" s="178"/>
      <c r="G16" s="178">
        <f>SUM(G13:G15)</f>
        <v>211698</v>
      </c>
      <c r="H16" s="178">
        <f>SUM(H13:H15)</f>
        <v>1825</v>
      </c>
    </row>
    <row r="17" spans="1:8" ht="60.75" customHeight="1" x14ac:dyDescent="0.3">
      <c r="A17" s="515" t="s">
        <v>1312</v>
      </c>
      <c r="B17" s="515"/>
      <c r="C17" s="515"/>
      <c r="D17" s="515"/>
      <c r="E17" s="515"/>
      <c r="F17" s="515"/>
      <c r="G17" s="515"/>
      <c r="H17" s="515"/>
    </row>
    <row r="18" spans="1:8" ht="115.5" x14ac:dyDescent="0.3">
      <c r="A18" s="290">
        <v>4</v>
      </c>
      <c r="B18" s="126" t="s">
        <v>561</v>
      </c>
      <c r="C18" s="290" t="s">
        <v>842</v>
      </c>
      <c r="D18" s="290" t="s">
        <v>14</v>
      </c>
      <c r="E18" s="125">
        <v>7</v>
      </c>
      <c r="F18" s="128">
        <v>160472</v>
      </c>
      <c r="G18" s="128">
        <f>E18*F18</f>
        <v>1123304</v>
      </c>
      <c r="H18" s="128">
        <v>0</v>
      </c>
    </row>
    <row r="19" spans="1:8" ht="198" x14ac:dyDescent="0.3">
      <c r="A19" s="290">
        <v>5</v>
      </c>
      <c r="B19" s="126" t="s">
        <v>774</v>
      </c>
      <c r="C19" s="290" t="s">
        <v>843</v>
      </c>
      <c r="D19" s="290" t="s">
        <v>14</v>
      </c>
      <c r="E19" s="125">
        <v>6</v>
      </c>
      <c r="F19" s="174">
        <v>37719</v>
      </c>
      <c r="G19" s="128">
        <f>E19*F19</f>
        <v>226314</v>
      </c>
      <c r="H19" s="128">
        <v>0</v>
      </c>
    </row>
    <row r="20" spans="1:8" ht="82.5" x14ac:dyDescent="0.3">
      <c r="A20" s="290">
        <v>6</v>
      </c>
      <c r="B20" s="126" t="s">
        <v>720</v>
      </c>
      <c r="C20" s="290">
        <v>20022801112</v>
      </c>
      <c r="D20" s="290" t="s">
        <v>14</v>
      </c>
      <c r="E20" s="125">
        <v>1</v>
      </c>
      <c r="F20" s="174">
        <v>18250</v>
      </c>
      <c r="G20" s="128">
        <f>E20*F20</f>
        <v>18250</v>
      </c>
      <c r="H20" s="128">
        <f>E20*1825</f>
        <v>1825</v>
      </c>
    </row>
    <row r="21" spans="1:8" x14ac:dyDescent="0.3">
      <c r="A21" s="513" t="s">
        <v>39</v>
      </c>
      <c r="B21" s="513"/>
      <c r="C21" s="215"/>
      <c r="D21" s="215"/>
      <c r="E21" s="216">
        <f>SUM(E18:E20)</f>
        <v>14</v>
      </c>
      <c r="F21" s="178"/>
      <c r="G21" s="178">
        <f>SUM(G18:G20)</f>
        <v>1367868</v>
      </c>
      <c r="H21" s="178">
        <f>SUM(H18:H20)</f>
        <v>1825</v>
      </c>
    </row>
    <row r="22" spans="1:8" ht="40.5" customHeight="1" x14ac:dyDescent="0.3">
      <c r="A22" s="515" t="s">
        <v>1313</v>
      </c>
      <c r="B22" s="515"/>
      <c r="C22" s="515"/>
      <c r="D22" s="515"/>
      <c r="E22" s="515"/>
      <c r="F22" s="515"/>
      <c r="G22" s="515"/>
      <c r="H22" s="515"/>
    </row>
    <row r="23" spans="1:8" ht="49.5" x14ac:dyDescent="0.3">
      <c r="A23" s="291">
        <v>7</v>
      </c>
      <c r="B23" s="136" t="s">
        <v>152</v>
      </c>
      <c r="C23" s="290" t="s">
        <v>844</v>
      </c>
      <c r="D23" s="290" t="s">
        <v>14</v>
      </c>
      <c r="E23" s="125">
        <v>1</v>
      </c>
      <c r="F23" s="174">
        <v>148026</v>
      </c>
      <c r="G23" s="128">
        <f>E23*F23</f>
        <v>148026</v>
      </c>
      <c r="H23" s="128">
        <f>E23*0</f>
        <v>0</v>
      </c>
    </row>
    <row r="24" spans="1:8" ht="49.5" x14ac:dyDescent="0.3">
      <c r="A24" s="291">
        <v>8</v>
      </c>
      <c r="B24" s="126" t="s">
        <v>719</v>
      </c>
      <c r="C24" s="290" t="s">
        <v>845</v>
      </c>
      <c r="D24" s="290" t="s">
        <v>14</v>
      </c>
      <c r="E24" s="125">
        <v>1</v>
      </c>
      <c r="F24" s="174">
        <v>45422</v>
      </c>
      <c r="G24" s="128">
        <f>E24*F24</f>
        <v>45422</v>
      </c>
      <c r="H24" s="128">
        <f>E24*0</f>
        <v>0</v>
      </c>
    </row>
    <row r="25" spans="1:8" ht="82.5" x14ac:dyDescent="0.3">
      <c r="A25" s="291">
        <v>9</v>
      </c>
      <c r="B25" s="126" t="s">
        <v>720</v>
      </c>
      <c r="C25" s="290">
        <v>20026621112</v>
      </c>
      <c r="D25" s="290" t="s">
        <v>14</v>
      </c>
      <c r="E25" s="125">
        <v>1</v>
      </c>
      <c r="F25" s="174">
        <v>18250</v>
      </c>
      <c r="G25" s="128">
        <f>E25*F25</f>
        <v>18250</v>
      </c>
      <c r="H25" s="128">
        <f>E25*1825</f>
        <v>1825</v>
      </c>
    </row>
    <row r="26" spans="1:8" x14ac:dyDescent="0.3">
      <c r="A26" s="513" t="s">
        <v>39</v>
      </c>
      <c r="B26" s="513"/>
      <c r="C26" s="215"/>
      <c r="D26" s="215"/>
      <c r="E26" s="216">
        <f>SUM(E23:E25)</f>
        <v>3</v>
      </c>
      <c r="F26" s="178"/>
      <c r="G26" s="178">
        <f>SUM(G23:G25)</f>
        <v>211698</v>
      </c>
      <c r="H26" s="178">
        <f>SUM(H23:H25)</f>
        <v>1825</v>
      </c>
    </row>
    <row r="27" spans="1:8" ht="45" customHeight="1" x14ac:dyDescent="0.3">
      <c r="A27" s="515" t="s">
        <v>1314</v>
      </c>
      <c r="B27" s="515"/>
      <c r="C27" s="515"/>
      <c r="D27" s="515"/>
      <c r="E27" s="515"/>
      <c r="F27" s="515"/>
      <c r="G27" s="515"/>
      <c r="H27" s="515"/>
    </row>
    <row r="28" spans="1:8" ht="49.5" x14ac:dyDescent="0.3">
      <c r="A28" s="291">
        <v>10</v>
      </c>
      <c r="B28" s="136" t="s">
        <v>152</v>
      </c>
      <c r="C28" s="182" t="s">
        <v>846</v>
      </c>
      <c r="D28" s="290" t="s">
        <v>14</v>
      </c>
      <c r="E28" s="125">
        <v>1</v>
      </c>
      <c r="F28" s="174">
        <v>148026</v>
      </c>
      <c r="G28" s="128">
        <f>E28*F28</f>
        <v>148026</v>
      </c>
      <c r="H28" s="128">
        <f>E28*0</f>
        <v>0</v>
      </c>
    </row>
    <row r="29" spans="1:8" ht="49.5" x14ac:dyDescent="0.3">
      <c r="A29" s="291">
        <v>11</v>
      </c>
      <c r="B29" s="126" t="s">
        <v>719</v>
      </c>
      <c r="C29" s="182" t="s">
        <v>847</v>
      </c>
      <c r="D29" s="290" t="s">
        <v>14</v>
      </c>
      <c r="E29" s="125">
        <v>1</v>
      </c>
      <c r="F29" s="174">
        <v>45422</v>
      </c>
      <c r="G29" s="128">
        <f>E29*F29</f>
        <v>45422</v>
      </c>
      <c r="H29" s="128">
        <f>E29*0</f>
        <v>0</v>
      </c>
    </row>
    <row r="30" spans="1:8" ht="82.5" x14ac:dyDescent="0.3">
      <c r="A30" s="291">
        <v>12</v>
      </c>
      <c r="B30" s="126" t="s">
        <v>720</v>
      </c>
      <c r="C30" s="182">
        <v>20021251112</v>
      </c>
      <c r="D30" s="290" t="s">
        <v>14</v>
      </c>
      <c r="E30" s="125">
        <v>1</v>
      </c>
      <c r="F30" s="174">
        <v>18250</v>
      </c>
      <c r="G30" s="128">
        <f>E30*F30</f>
        <v>18250</v>
      </c>
      <c r="H30" s="128">
        <f>E30*1825</f>
        <v>1825</v>
      </c>
    </row>
    <row r="31" spans="1:8" x14ac:dyDescent="0.3">
      <c r="A31" s="513" t="s">
        <v>39</v>
      </c>
      <c r="B31" s="513"/>
      <c r="C31" s="215"/>
      <c r="D31" s="215"/>
      <c r="E31" s="216">
        <f>SUM(E28:E30)</f>
        <v>3</v>
      </c>
      <c r="F31" s="178"/>
      <c r="G31" s="178">
        <f>SUM(G28:G30)</f>
        <v>211698</v>
      </c>
      <c r="H31" s="178">
        <f>SUM(H28:H30)</f>
        <v>1825</v>
      </c>
    </row>
    <row r="32" spans="1:8" ht="42" customHeight="1" x14ac:dyDescent="0.3">
      <c r="A32" s="515" t="s">
        <v>1309</v>
      </c>
      <c r="B32" s="515"/>
      <c r="C32" s="515"/>
      <c r="D32" s="515"/>
      <c r="E32" s="515"/>
      <c r="F32" s="515"/>
      <c r="G32" s="515"/>
      <c r="H32" s="515"/>
    </row>
    <row r="33" spans="1:8" ht="49.5" x14ac:dyDescent="0.3">
      <c r="A33" s="291">
        <v>13</v>
      </c>
      <c r="B33" s="136" t="s">
        <v>152</v>
      </c>
      <c r="C33" s="182" t="s">
        <v>848</v>
      </c>
      <c r="D33" s="290" t="s">
        <v>14</v>
      </c>
      <c r="E33" s="125">
        <v>1</v>
      </c>
      <c r="F33" s="174">
        <v>148026</v>
      </c>
      <c r="G33" s="128">
        <f>E33*F33</f>
        <v>148026</v>
      </c>
      <c r="H33" s="128">
        <f>E33*0</f>
        <v>0</v>
      </c>
    </row>
    <row r="34" spans="1:8" ht="49.5" x14ac:dyDescent="0.3">
      <c r="A34" s="291">
        <v>14</v>
      </c>
      <c r="B34" s="126" t="s">
        <v>719</v>
      </c>
      <c r="C34" s="182" t="s">
        <v>849</v>
      </c>
      <c r="D34" s="290" t="s">
        <v>14</v>
      </c>
      <c r="E34" s="125">
        <v>1</v>
      </c>
      <c r="F34" s="174">
        <v>45422</v>
      </c>
      <c r="G34" s="128">
        <f>E34*F34</f>
        <v>45422</v>
      </c>
      <c r="H34" s="128">
        <f>E34*0</f>
        <v>0</v>
      </c>
    </row>
    <row r="35" spans="1:8" ht="82.5" x14ac:dyDescent="0.3">
      <c r="A35" s="291">
        <v>15</v>
      </c>
      <c r="B35" s="126" t="s">
        <v>720</v>
      </c>
      <c r="C35" s="182" t="s">
        <v>850</v>
      </c>
      <c r="D35" s="290" t="s">
        <v>14</v>
      </c>
      <c r="E35" s="125">
        <v>2</v>
      </c>
      <c r="F35" s="174">
        <v>18250</v>
      </c>
      <c r="G35" s="128">
        <f>E35*F35</f>
        <v>36500</v>
      </c>
      <c r="H35" s="128">
        <f>E35*1825</f>
        <v>3650</v>
      </c>
    </row>
    <row r="36" spans="1:8" x14ac:dyDescent="0.3">
      <c r="A36" s="513" t="s">
        <v>39</v>
      </c>
      <c r="B36" s="513"/>
      <c r="C36" s="215"/>
      <c r="D36" s="215"/>
      <c r="E36" s="216">
        <f>SUM(E33:E35)</f>
        <v>4</v>
      </c>
      <c r="F36" s="178"/>
      <c r="G36" s="178">
        <f>SUM(G33:G35)</f>
        <v>229948</v>
      </c>
      <c r="H36" s="178">
        <f>SUM(H33:H35)</f>
        <v>3650</v>
      </c>
    </row>
    <row r="37" spans="1:8" ht="62.25" customHeight="1" x14ac:dyDescent="0.3">
      <c r="A37" s="510" t="s">
        <v>1315</v>
      </c>
      <c r="B37" s="511"/>
      <c r="C37" s="511"/>
      <c r="D37" s="511"/>
      <c r="E37" s="511"/>
      <c r="F37" s="511"/>
      <c r="G37" s="511"/>
      <c r="H37" s="512"/>
    </row>
    <row r="38" spans="1:8" ht="99" x14ac:dyDescent="0.3">
      <c r="A38" s="291">
        <v>16</v>
      </c>
      <c r="B38" s="126" t="s">
        <v>720</v>
      </c>
      <c r="C38" s="290" t="s">
        <v>851</v>
      </c>
      <c r="D38" s="290" t="s">
        <v>14</v>
      </c>
      <c r="E38" s="125">
        <v>6</v>
      </c>
      <c r="F38" s="174">
        <v>18250</v>
      </c>
      <c r="G38" s="128">
        <f>E38*F38</f>
        <v>109500</v>
      </c>
      <c r="H38" s="128">
        <f>E38*1825</f>
        <v>10950</v>
      </c>
    </row>
    <row r="39" spans="1:8" x14ac:dyDescent="0.3">
      <c r="A39" s="513" t="s">
        <v>39</v>
      </c>
      <c r="B39" s="513"/>
      <c r="C39" s="215"/>
      <c r="D39" s="215"/>
      <c r="E39" s="216">
        <f>SUM(E38:E38)</f>
        <v>6</v>
      </c>
      <c r="F39" s="178"/>
      <c r="G39" s="178">
        <f>SUM(G38:G38)</f>
        <v>109500</v>
      </c>
      <c r="H39" s="178">
        <f>SUM(H38:H38)</f>
        <v>10950</v>
      </c>
    </row>
    <row r="40" spans="1:8" ht="42.75" customHeight="1" x14ac:dyDescent="0.3">
      <c r="A40" s="510" t="s">
        <v>1306</v>
      </c>
      <c r="B40" s="511"/>
      <c r="C40" s="511"/>
      <c r="D40" s="511"/>
      <c r="E40" s="511"/>
      <c r="F40" s="511"/>
      <c r="G40" s="511"/>
      <c r="H40" s="512"/>
    </row>
    <row r="41" spans="1:8" ht="49.5" x14ac:dyDescent="0.3">
      <c r="A41" s="291">
        <v>17</v>
      </c>
      <c r="B41" s="136" t="s">
        <v>152</v>
      </c>
      <c r="C41" s="290" t="s">
        <v>852</v>
      </c>
      <c r="D41" s="290" t="s">
        <v>14</v>
      </c>
      <c r="E41" s="125">
        <v>1</v>
      </c>
      <c r="F41" s="174">
        <v>148026</v>
      </c>
      <c r="G41" s="128">
        <f>E41*F41</f>
        <v>148026</v>
      </c>
      <c r="H41" s="128">
        <f>E41*0</f>
        <v>0</v>
      </c>
    </row>
    <row r="42" spans="1:8" ht="49.5" x14ac:dyDescent="0.3">
      <c r="A42" s="291">
        <v>18</v>
      </c>
      <c r="B42" s="126" t="s">
        <v>719</v>
      </c>
      <c r="C42" s="290" t="s">
        <v>853</v>
      </c>
      <c r="D42" s="290" t="s">
        <v>14</v>
      </c>
      <c r="E42" s="125">
        <v>1</v>
      </c>
      <c r="F42" s="174">
        <v>45422</v>
      </c>
      <c r="G42" s="128">
        <f>E42*F42</f>
        <v>45422</v>
      </c>
      <c r="H42" s="128">
        <f>E42*0</f>
        <v>0</v>
      </c>
    </row>
    <row r="43" spans="1:8" ht="82.5" x14ac:dyDescent="0.3">
      <c r="A43" s="291">
        <v>19</v>
      </c>
      <c r="B43" s="126" t="s">
        <v>720</v>
      </c>
      <c r="C43" s="290">
        <v>20026541112</v>
      </c>
      <c r="D43" s="290" t="s">
        <v>14</v>
      </c>
      <c r="E43" s="125">
        <v>1</v>
      </c>
      <c r="F43" s="174">
        <v>18250</v>
      </c>
      <c r="G43" s="128">
        <f>E43*F43</f>
        <v>18250</v>
      </c>
      <c r="H43" s="128">
        <f>E43*1825</f>
        <v>1825</v>
      </c>
    </row>
    <row r="44" spans="1:8" x14ac:dyDescent="0.3">
      <c r="A44" s="513" t="s">
        <v>39</v>
      </c>
      <c r="B44" s="513"/>
      <c r="C44" s="215"/>
      <c r="D44" s="215"/>
      <c r="E44" s="216">
        <f>SUM(E41:E43)</f>
        <v>3</v>
      </c>
      <c r="F44" s="178"/>
      <c r="G44" s="178">
        <f>SUM(G41:G43)</f>
        <v>211698</v>
      </c>
      <c r="H44" s="178">
        <f>SUM(H41:H43)</f>
        <v>1825</v>
      </c>
    </row>
    <row r="45" spans="1:8" ht="47.25" customHeight="1" x14ac:dyDescent="0.3">
      <c r="A45" s="510" t="s">
        <v>1316</v>
      </c>
      <c r="B45" s="511"/>
      <c r="C45" s="511"/>
      <c r="D45" s="511"/>
      <c r="E45" s="511"/>
      <c r="F45" s="511"/>
      <c r="G45" s="511"/>
      <c r="H45" s="512"/>
    </row>
    <row r="46" spans="1:8" ht="82.5" x14ac:dyDescent="0.3">
      <c r="A46" s="291">
        <v>20</v>
      </c>
      <c r="B46" s="126" t="s">
        <v>720</v>
      </c>
      <c r="C46" s="290" t="s">
        <v>854</v>
      </c>
      <c r="D46" s="290" t="s">
        <v>14</v>
      </c>
      <c r="E46" s="125">
        <v>3</v>
      </c>
      <c r="F46" s="174">
        <v>18250</v>
      </c>
      <c r="G46" s="128">
        <f>E46*F46</f>
        <v>54750</v>
      </c>
      <c r="H46" s="128">
        <f>E46*1825</f>
        <v>5475</v>
      </c>
    </row>
    <row r="47" spans="1:8" x14ac:dyDescent="0.3">
      <c r="A47" s="513" t="s">
        <v>39</v>
      </c>
      <c r="B47" s="513"/>
      <c r="C47" s="215"/>
      <c r="D47" s="215"/>
      <c r="E47" s="216">
        <f>SUM(E46:E46)</f>
        <v>3</v>
      </c>
      <c r="F47" s="178"/>
      <c r="G47" s="178">
        <f>SUM(G46:G46)</f>
        <v>54750</v>
      </c>
      <c r="H47" s="178">
        <f>SUM(H46:H46)</f>
        <v>5475</v>
      </c>
    </row>
    <row r="48" spans="1:8" ht="39" customHeight="1" x14ac:dyDescent="0.3">
      <c r="A48" s="510" t="s">
        <v>1307</v>
      </c>
      <c r="B48" s="511"/>
      <c r="C48" s="511"/>
      <c r="D48" s="511"/>
      <c r="E48" s="511"/>
      <c r="F48" s="511"/>
      <c r="G48" s="511"/>
      <c r="H48" s="512"/>
    </row>
    <row r="49" spans="1:8" ht="82.5" x14ac:dyDescent="0.3">
      <c r="A49" s="291">
        <v>21</v>
      </c>
      <c r="B49" s="126" t="s">
        <v>720</v>
      </c>
      <c r="C49" s="407" t="s">
        <v>855</v>
      </c>
      <c r="D49" s="290" t="s">
        <v>14</v>
      </c>
      <c r="E49" s="125">
        <v>5</v>
      </c>
      <c r="F49" s="174">
        <v>18250</v>
      </c>
      <c r="G49" s="128">
        <f>E49*F49</f>
        <v>91250</v>
      </c>
      <c r="H49" s="128">
        <f>E49*1825</f>
        <v>9125</v>
      </c>
    </row>
    <row r="50" spans="1:8" x14ac:dyDescent="0.3">
      <c r="A50" s="513" t="s">
        <v>39</v>
      </c>
      <c r="B50" s="513"/>
      <c r="C50" s="215"/>
      <c r="D50" s="215"/>
      <c r="E50" s="216">
        <f>SUM(E49:E49)</f>
        <v>5</v>
      </c>
      <c r="F50" s="178"/>
      <c r="G50" s="178">
        <f>SUM(G49:G49)</f>
        <v>91250</v>
      </c>
      <c r="H50" s="178">
        <f>SUM(H49:H49)</f>
        <v>9125</v>
      </c>
    </row>
    <row r="51" spans="1:8" ht="56.25" customHeight="1" x14ac:dyDescent="0.3">
      <c r="A51" s="510" t="s">
        <v>1317</v>
      </c>
      <c r="B51" s="511"/>
      <c r="C51" s="511"/>
      <c r="D51" s="511"/>
      <c r="E51" s="511"/>
      <c r="F51" s="511"/>
      <c r="G51" s="511"/>
      <c r="H51" s="512"/>
    </row>
    <row r="52" spans="1:8" ht="49.5" x14ac:dyDescent="0.3">
      <c r="A52" s="291">
        <v>22</v>
      </c>
      <c r="B52" s="136" t="s">
        <v>152</v>
      </c>
      <c r="C52" s="290" t="s">
        <v>864</v>
      </c>
      <c r="D52" s="290" t="s">
        <v>14</v>
      </c>
      <c r="E52" s="125">
        <v>1</v>
      </c>
      <c r="F52" s="174">
        <v>148026</v>
      </c>
      <c r="G52" s="128">
        <f>E52*F52</f>
        <v>148026</v>
      </c>
      <c r="H52" s="128">
        <f>E52*0</f>
        <v>0</v>
      </c>
    </row>
    <row r="53" spans="1:8" ht="49.5" x14ac:dyDescent="0.3">
      <c r="A53" s="291">
        <v>23</v>
      </c>
      <c r="B53" s="126" t="s">
        <v>719</v>
      </c>
      <c r="C53" s="290" t="s">
        <v>865</v>
      </c>
      <c r="D53" s="290" t="s">
        <v>14</v>
      </c>
      <c r="E53" s="125">
        <v>1</v>
      </c>
      <c r="F53" s="174">
        <v>45422</v>
      </c>
      <c r="G53" s="128">
        <f>E53*F53</f>
        <v>45422</v>
      </c>
      <c r="H53" s="128">
        <f>E53*0</f>
        <v>0</v>
      </c>
    </row>
    <row r="54" spans="1:8" x14ac:dyDescent="0.3">
      <c r="A54" s="513" t="s">
        <v>39</v>
      </c>
      <c r="B54" s="513"/>
      <c r="C54" s="215"/>
      <c r="D54" s="215"/>
      <c r="E54" s="216">
        <f>SUM(E52:E53)</f>
        <v>2</v>
      </c>
      <c r="F54" s="178"/>
      <c r="G54" s="178">
        <f>SUM(G52:G53)</f>
        <v>193448</v>
      </c>
      <c r="H54" s="178">
        <f>SUM(H52:H53)</f>
        <v>0</v>
      </c>
    </row>
    <row r="55" spans="1:8" ht="18.75" x14ac:dyDescent="0.3">
      <c r="A55" s="517" t="s">
        <v>1308</v>
      </c>
      <c r="B55" s="517"/>
      <c r="C55" s="155"/>
      <c r="D55" s="155"/>
      <c r="E55" s="186">
        <f>E16+E21+E26+E31+E36+E39+E44+E47+E50+E54</f>
        <v>46</v>
      </c>
      <c r="F55" s="186"/>
      <c r="G55" s="177">
        <f t="shared" ref="G55:H55" si="0">G16+G21+G26+G31+G36+G39+G44+G47+G50+G54</f>
        <v>2893556</v>
      </c>
      <c r="H55" s="177">
        <f t="shared" si="0"/>
        <v>38325</v>
      </c>
    </row>
    <row r="56" spans="1:8" ht="27" customHeight="1" x14ac:dyDescent="0.3">
      <c r="A56" s="494" t="s">
        <v>1310</v>
      </c>
      <c r="B56" s="495"/>
      <c r="C56" s="495"/>
      <c r="D56" s="495"/>
      <c r="E56" s="495"/>
      <c r="F56" s="495"/>
      <c r="G56" s="495"/>
      <c r="H56" s="496"/>
    </row>
    <row r="57" spans="1:8" ht="51" customHeight="1" x14ac:dyDescent="0.3">
      <c r="A57" s="491" t="s">
        <v>1318</v>
      </c>
      <c r="B57" s="491"/>
      <c r="C57" s="491"/>
      <c r="D57" s="491"/>
      <c r="E57" s="491"/>
      <c r="F57" s="491"/>
      <c r="G57" s="491"/>
      <c r="H57" s="491"/>
    </row>
    <row r="58" spans="1:8" ht="66" x14ac:dyDescent="0.3">
      <c r="A58" s="406">
        <v>1</v>
      </c>
      <c r="B58" s="136" t="s">
        <v>152</v>
      </c>
      <c r="C58" s="290" t="s">
        <v>833</v>
      </c>
      <c r="D58" s="406" t="s">
        <v>14</v>
      </c>
      <c r="E58" s="125">
        <v>4</v>
      </c>
      <c r="F58" s="174">
        <v>148026</v>
      </c>
      <c r="G58" s="91">
        <f>E58*F58</f>
        <v>592104</v>
      </c>
      <c r="H58" s="91">
        <f>E58*0</f>
        <v>0</v>
      </c>
    </row>
    <row r="59" spans="1:8" ht="132" x14ac:dyDescent="0.3">
      <c r="A59" s="406">
        <v>2</v>
      </c>
      <c r="B59" s="126" t="s">
        <v>719</v>
      </c>
      <c r="C59" s="290" t="s">
        <v>834</v>
      </c>
      <c r="D59" s="406" t="s">
        <v>14</v>
      </c>
      <c r="E59" s="125">
        <v>4</v>
      </c>
      <c r="F59" s="174">
        <v>45422</v>
      </c>
      <c r="G59" s="91">
        <f>E59*F59</f>
        <v>181688</v>
      </c>
      <c r="H59" s="91">
        <f>E59*0</f>
        <v>0</v>
      </c>
    </row>
    <row r="60" spans="1:8" ht="99" x14ac:dyDescent="0.3">
      <c r="A60" s="406">
        <v>3</v>
      </c>
      <c r="B60" s="126" t="s">
        <v>720</v>
      </c>
      <c r="C60" s="290" t="s">
        <v>835</v>
      </c>
      <c r="D60" s="406" t="s">
        <v>14</v>
      </c>
      <c r="E60" s="125">
        <v>6</v>
      </c>
      <c r="F60" s="174">
        <v>18250</v>
      </c>
      <c r="G60" s="91">
        <f>E60*F60</f>
        <v>109500</v>
      </c>
      <c r="H60" s="91">
        <f>E60*1825</f>
        <v>10950</v>
      </c>
    </row>
    <row r="61" spans="1:8" x14ac:dyDescent="0.3">
      <c r="A61" s="513" t="s">
        <v>39</v>
      </c>
      <c r="B61" s="513"/>
      <c r="C61" s="168"/>
      <c r="D61" s="168"/>
      <c r="E61" s="107">
        <f>SUM(E58:E60)</f>
        <v>14</v>
      </c>
      <c r="F61" s="178"/>
      <c r="G61" s="178">
        <f>SUM(G58:G60)</f>
        <v>883292</v>
      </c>
      <c r="H61" s="178">
        <f>SUM(H58:H60)</f>
        <v>10950</v>
      </c>
    </row>
    <row r="62" spans="1:8" ht="42" customHeight="1" x14ac:dyDescent="0.3">
      <c r="A62" s="491" t="s">
        <v>1319</v>
      </c>
      <c r="B62" s="491"/>
      <c r="C62" s="491"/>
      <c r="D62" s="491"/>
      <c r="E62" s="491"/>
      <c r="F62" s="491"/>
      <c r="G62" s="491"/>
      <c r="H62" s="491"/>
    </row>
    <row r="63" spans="1:8" ht="66" x14ac:dyDescent="0.3">
      <c r="A63" s="406">
        <v>4</v>
      </c>
      <c r="B63" s="136" t="s">
        <v>152</v>
      </c>
      <c r="C63" s="290" t="s">
        <v>836</v>
      </c>
      <c r="D63" s="406" t="s">
        <v>14</v>
      </c>
      <c r="E63" s="125">
        <v>4</v>
      </c>
      <c r="F63" s="174">
        <v>148026</v>
      </c>
      <c r="G63" s="91">
        <f>E63*F63</f>
        <v>592104</v>
      </c>
      <c r="H63" s="91">
        <f>E63*0</f>
        <v>0</v>
      </c>
    </row>
    <row r="64" spans="1:8" ht="132" x14ac:dyDescent="0.3">
      <c r="A64" s="406">
        <v>5</v>
      </c>
      <c r="B64" s="126" t="s">
        <v>719</v>
      </c>
      <c r="C64" s="290" t="s">
        <v>837</v>
      </c>
      <c r="D64" s="406" t="s">
        <v>14</v>
      </c>
      <c r="E64" s="125">
        <v>4</v>
      </c>
      <c r="F64" s="174">
        <v>45422</v>
      </c>
      <c r="G64" s="91">
        <f>E64*F64</f>
        <v>181688</v>
      </c>
      <c r="H64" s="91">
        <f>E64*0</f>
        <v>0</v>
      </c>
    </row>
    <row r="65" spans="1:8" ht="115.5" x14ac:dyDescent="0.3">
      <c r="A65" s="406">
        <v>6</v>
      </c>
      <c r="B65" s="126" t="s">
        <v>720</v>
      </c>
      <c r="C65" s="290" t="s">
        <v>838</v>
      </c>
      <c r="D65" s="406" t="s">
        <v>14</v>
      </c>
      <c r="E65" s="125">
        <v>7</v>
      </c>
      <c r="F65" s="174">
        <v>18250</v>
      </c>
      <c r="G65" s="91">
        <f>E65*F65</f>
        <v>127750</v>
      </c>
      <c r="H65" s="91">
        <f>E65*1825</f>
        <v>12775</v>
      </c>
    </row>
    <row r="66" spans="1:8" x14ac:dyDescent="0.3">
      <c r="A66" s="513" t="s">
        <v>39</v>
      </c>
      <c r="B66" s="513"/>
      <c r="C66" s="168"/>
      <c r="D66" s="168"/>
      <c r="E66" s="107">
        <f>SUM(E63:E65)</f>
        <v>15</v>
      </c>
      <c r="F66" s="178"/>
      <c r="G66" s="178">
        <f>SUM(G63:G65)</f>
        <v>901542</v>
      </c>
      <c r="H66" s="178">
        <f>SUM(H63:H65)</f>
        <v>12775</v>
      </c>
    </row>
    <row r="67" spans="1:8" ht="18.75" x14ac:dyDescent="0.3">
      <c r="A67" s="517" t="s">
        <v>133</v>
      </c>
      <c r="B67" s="517"/>
      <c r="C67" s="185"/>
      <c r="D67" s="185"/>
      <c r="E67" s="186">
        <f>E61+E66</f>
        <v>29</v>
      </c>
      <c r="F67" s="177"/>
      <c r="G67" s="177">
        <f>G61+G66</f>
        <v>1784834</v>
      </c>
      <c r="H67" s="177">
        <f>H61+H66</f>
        <v>23725</v>
      </c>
    </row>
    <row r="68" spans="1:8" ht="27" customHeight="1" x14ac:dyDescent="0.3">
      <c r="A68" s="494" t="s">
        <v>1320</v>
      </c>
      <c r="B68" s="495"/>
      <c r="C68" s="495"/>
      <c r="D68" s="495"/>
      <c r="E68" s="495"/>
      <c r="F68" s="495"/>
      <c r="G68" s="495"/>
      <c r="H68" s="496"/>
    </row>
    <row r="69" spans="1:8" ht="45" customHeight="1" x14ac:dyDescent="0.3">
      <c r="A69" s="491" t="s">
        <v>1321</v>
      </c>
      <c r="B69" s="491"/>
      <c r="C69" s="491"/>
      <c r="D69" s="491"/>
      <c r="E69" s="491"/>
      <c r="F69" s="491"/>
      <c r="G69" s="491"/>
      <c r="H69" s="491"/>
    </row>
    <row r="70" spans="1:8" ht="74.25" customHeight="1" x14ac:dyDescent="0.3">
      <c r="A70" s="406">
        <v>1</v>
      </c>
      <c r="B70" s="136" t="s">
        <v>152</v>
      </c>
      <c r="C70" s="290" t="s">
        <v>831</v>
      </c>
      <c r="D70" s="406" t="s">
        <v>14</v>
      </c>
      <c r="E70" s="125">
        <v>4</v>
      </c>
      <c r="F70" s="174">
        <v>148026</v>
      </c>
      <c r="G70" s="91">
        <f>E70*F70</f>
        <v>592104</v>
      </c>
      <c r="H70" s="91">
        <f>E70*0</f>
        <v>0</v>
      </c>
    </row>
    <row r="71" spans="1:8" ht="132" x14ac:dyDescent="0.3">
      <c r="A71" s="406">
        <v>2</v>
      </c>
      <c r="B71" s="126" t="s">
        <v>719</v>
      </c>
      <c r="C71" s="290" t="s">
        <v>832</v>
      </c>
      <c r="D71" s="406" t="s">
        <v>14</v>
      </c>
      <c r="E71" s="125">
        <v>4</v>
      </c>
      <c r="F71" s="174">
        <v>45422</v>
      </c>
      <c r="G71" s="91">
        <f>E71*F71</f>
        <v>181688</v>
      </c>
      <c r="H71" s="91">
        <f>E71*0</f>
        <v>0</v>
      </c>
    </row>
    <row r="72" spans="1:8" x14ac:dyDescent="0.3">
      <c r="A72" s="513" t="s">
        <v>39</v>
      </c>
      <c r="B72" s="513"/>
      <c r="C72" s="168"/>
      <c r="D72" s="168"/>
      <c r="E72" s="107">
        <f>SUM(E70:E71)</f>
        <v>8</v>
      </c>
      <c r="F72" s="178"/>
      <c r="G72" s="178">
        <f>SUM(G70:G71)</f>
        <v>773792</v>
      </c>
      <c r="H72" s="178">
        <f>SUM(H70:H71)</f>
        <v>0</v>
      </c>
    </row>
    <row r="73" spans="1:8" s="122" customFormat="1" x14ac:dyDescent="0.25">
      <c r="A73" s="521" t="s">
        <v>133</v>
      </c>
      <c r="B73" s="522"/>
      <c r="C73" s="338"/>
      <c r="D73" s="338"/>
      <c r="E73" s="109">
        <f>E72</f>
        <v>8</v>
      </c>
      <c r="F73" s="338"/>
      <c r="G73" s="410">
        <f>G72</f>
        <v>773792</v>
      </c>
      <c r="H73" s="410">
        <f>H72</f>
        <v>0</v>
      </c>
    </row>
    <row r="74" spans="1:8" ht="27" customHeight="1" x14ac:dyDescent="0.3">
      <c r="A74" s="494" t="s">
        <v>1322</v>
      </c>
      <c r="B74" s="495"/>
      <c r="C74" s="495"/>
      <c r="D74" s="495"/>
      <c r="E74" s="495"/>
      <c r="F74" s="495"/>
      <c r="G74" s="495"/>
      <c r="H74" s="496"/>
    </row>
    <row r="75" spans="1:8" ht="42.75" customHeight="1" x14ac:dyDescent="0.3">
      <c r="A75" s="491" t="s">
        <v>1321</v>
      </c>
      <c r="B75" s="491"/>
      <c r="C75" s="491"/>
      <c r="D75" s="491"/>
      <c r="E75" s="491"/>
      <c r="F75" s="491"/>
      <c r="G75" s="491"/>
      <c r="H75" s="491"/>
    </row>
    <row r="76" spans="1:8" ht="49.5" x14ac:dyDescent="0.3">
      <c r="A76" s="406">
        <v>1</v>
      </c>
      <c r="B76" s="408" t="s">
        <v>152</v>
      </c>
      <c r="C76" s="290" t="s">
        <v>829</v>
      </c>
      <c r="D76" s="406" t="s">
        <v>14</v>
      </c>
      <c r="E76" s="125">
        <v>1</v>
      </c>
      <c r="F76" s="174">
        <v>148026</v>
      </c>
      <c r="G76" s="91">
        <f>E76*F76</f>
        <v>148026</v>
      </c>
      <c r="H76" s="91">
        <f>E76*0</f>
        <v>0</v>
      </c>
    </row>
    <row r="77" spans="1:8" ht="181.5" x14ac:dyDescent="0.3">
      <c r="A77" s="406">
        <v>2</v>
      </c>
      <c r="B77" s="126" t="s">
        <v>720</v>
      </c>
      <c r="C77" s="125" t="s">
        <v>830</v>
      </c>
      <c r="D77" s="406" t="s">
        <v>14</v>
      </c>
      <c r="E77" s="125">
        <v>11</v>
      </c>
      <c r="F77" s="174">
        <v>18250</v>
      </c>
      <c r="G77" s="91">
        <f>E77*F77</f>
        <v>200750</v>
      </c>
      <c r="H77" s="91">
        <f>E77*1825</f>
        <v>20075</v>
      </c>
    </row>
    <row r="78" spans="1:8" x14ac:dyDescent="0.3">
      <c r="A78" s="513" t="s">
        <v>39</v>
      </c>
      <c r="B78" s="513"/>
      <c r="C78" s="168"/>
      <c r="D78" s="168"/>
      <c r="E78" s="107">
        <f>SUM(E76:E77)</f>
        <v>12</v>
      </c>
      <c r="F78" s="178"/>
      <c r="G78" s="178">
        <f>SUM(G76:G77)</f>
        <v>348776</v>
      </c>
      <c r="H78" s="178">
        <f>SUM(H76:H77)</f>
        <v>20075</v>
      </c>
    </row>
    <row r="79" spans="1:8" s="122" customFormat="1" x14ac:dyDescent="0.25">
      <c r="A79" s="521" t="s">
        <v>133</v>
      </c>
      <c r="B79" s="522"/>
      <c r="C79" s="130"/>
      <c r="D79" s="68"/>
      <c r="E79" s="109">
        <f>E78</f>
        <v>12</v>
      </c>
      <c r="F79" s="338"/>
      <c r="G79" s="410">
        <f>G78</f>
        <v>348776</v>
      </c>
      <c r="H79" s="410">
        <f>H78</f>
        <v>20075</v>
      </c>
    </row>
    <row r="80" spans="1:8" ht="28.5" customHeight="1" x14ac:dyDescent="0.3">
      <c r="A80" s="494" t="s">
        <v>1323</v>
      </c>
      <c r="B80" s="495"/>
      <c r="C80" s="495"/>
      <c r="D80" s="495"/>
      <c r="E80" s="495"/>
      <c r="F80" s="495"/>
      <c r="G80" s="495"/>
      <c r="H80" s="496"/>
    </row>
    <row r="81" spans="1:8" ht="45.75" customHeight="1" x14ac:dyDescent="0.3">
      <c r="A81" s="491" t="s">
        <v>1321</v>
      </c>
      <c r="B81" s="491"/>
      <c r="C81" s="491"/>
      <c r="D81" s="491"/>
      <c r="E81" s="491"/>
      <c r="F81" s="491"/>
      <c r="G81" s="491"/>
      <c r="H81" s="491"/>
    </row>
    <row r="82" spans="1:8" ht="49.5" x14ac:dyDescent="0.3">
      <c r="A82" s="283">
        <v>1</v>
      </c>
      <c r="B82" s="136" t="s">
        <v>152</v>
      </c>
      <c r="C82" s="290" t="s">
        <v>839</v>
      </c>
      <c r="D82" s="406" t="s">
        <v>14</v>
      </c>
      <c r="E82" s="125">
        <v>1</v>
      </c>
      <c r="F82" s="174">
        <v>148026</v>
      </c>
      <c r="G82" s="91">
        <f>E82*F82</f>
        <v>148026</v>
      </c>
      <c r="H82" s="91">
        <f>E82*0</f>
        <v>0</v>
      </c>
    </row>
    <row r="83" spans="1:8" ht="82.5" x14ac:dyDescent="0.3">
      <c r="A83" s="138">
        <v>2</v>
      </c>
      <c r="B83" s="126" t="s">
        <v>720</v>
      </c>
      <c r="C83" s="290">
        <v>20025311112</v>
      </c>
      <c r="D83" s="406" t="s">
        <v>14</v>
      </c>
      <c r="E83" s="125">
        <v>1</v>
      </c>
      <c r="F83" s="174">
        <v>18250</v>
      </c>
      <c r="G83" s="91">
        <f>E83*F83</f>
        <v>18250</v>
      </c>
      <c r="H83" s="91">
        <f>E83*1825</f>
        <v>1825</v>
      </c>
    </row>
    <row r="84" spans="1:8" x14ac:dyDescent="0.3">
      <c r="A84" s="513" t="s">
        <v>39</v>
      </c>
      <c r="B84" s="513"/>
      <c r="C84" s="168"/>
      <c r="D84" s="168"/>
      <c r="E84" s="107">
        <f>SUM(E82:E83)</f>
        <v>2</v>
      </c>
      <c r="F84" s="178"/>
      <c r="G84" s="178">
        <f>SUM(G82:G83)</f>
        <v>166276</v>
      </c>
      <c r="H84" s="178">
        <f>SUM(H82:H83)</f>
        <v>1825</v>
      </c>
    </row>
    <row r="85" spans="1:8" s="122" customFormat="1" x14ac:dyDescent="0.25">
      <c r="A85" s="521" t="s">
        <v>133</v>
      </c>
      <c r="B85" s="522"/>
      <c r="C85" s="68"/>
      <c r="D85" s="68"/>
      <c r="E85" s="109">
        <f>E84</f>
        <v>2</v>
      </c>
      <c r="F85" s="338"/>
      <c r="G85" s="410">
        <f>G84</f>
        <v>166276</v>
      </c>
      <c r="H85" s="410">
        <f>H84</f>
        <v>1825</v>
      </c>
    </row>
    <row r="86" spans="1:8" s="69" customFormat="1" x14ac:dyDescent="0.25">
      <c r="A86" s="521" t="s">
        <v>590</v>
      </c>
      <c r="B86" s="522"/>
      <c r="C86" s="68"/>
      <c r="D86" s="68"/>
      <c r="E86" s="109">
        <f>E85+E79+E73+E67+E55</f>
        <v>97</v>
      </c>
      <c r="F86" s="109"/>
      <c r="G86" s="410">
        <f t="shared" ref="G86:H86" si="1">G85+G79+G73+G67+G55</f>
        <v>5967234</v>
      </c>
      <c r="H86" s="410">
        <f t="shared" si="1"/>
        <v>83950</v>
      </c>
    </row>
  </sheetData>
  <mergeCells count="51">
    <mergeCell ref="A68:H68"/>
    <mergeCell ref="A86:B86"/>
    <mergeCell ref="A72:B72"/>
    <mergeCell ref="A69:H69"/>
    <mergeCell ref="A73:B73"/>
    <mergeCell ref="A74:H74"/>
    <mergeCell ref="A78:B78"/>
    <mergeCell ref="A75:H75"/>
    <mergeCell ref="A79:B79"/>
    <mergeCell ref="A80:H80"/>
    <mergeCell ref="A84:B84"/>
    <mergeCell ref="A81:H81"/>
    <mergeCell ref="A85:B85"/>
    <mergeCell ref="A54:B54"/>
    <mergeCell ref="A55:B55"/>
    <mergeCell ref="A57:H57"/>
    <mergeCell ref="A26:B26"/>
    <mergeCell ref="A27:H27"/>
    <mergeCell ref="A31:B31"/>
    <mergeCell ref="A61:B61"/>
    <mergeCell ref="A62:H62"/>
    <mergeCell ref="A66:B66"/>
    <mergeCell ref="A67:B67"/>
    <mergeCell ref="A32:H32"/>
    <mergeCell ref="A36:B36"/>
    <mergeCell ref="A56:H56"/>
    <mergeCell ref="A39:B39"/>
    <mergeCell ref="A40:H40"/>
    <mergeCell ref="A44:B44"/>
    <mergeCell ref="A45:H45"/>
    <mergeCell ref="A47:B47"/>
    <mergeCell ref="A48:H48"/>
    <mergeCell ref="A37:H37"/>
    <mergeCell ref="A50:B50"/>
    <mergeCell ref="A51:H51"/>
    <mergeCell ref="A17:H17"/>
    <mergeCell ref="A21:B21"/>
    <mergeCell ref="A22:H22"/>
    <mergeCell ref="G1:H1"/>
    <mergeCell ref="E2:H2"/>
    <mergeCell ref="E3:H3"/>
    <mergeCell ref="A5:H5"/>
    <mergeCell ref="A6:H6"/>
    <mergeCell ref="A8:A9"/>
    <mergeCell ref="B8:B9"/>
    <mergeCell ref="C8:C9"/>
    <mergeCell ref="D8:D9"/>
    <mergeCell ref="E8:E9"/>
    <mergeCell ref="A11:H11"/>
    <mergeCell ref="A12:H12"/>
    <mergeCell ref="A16:B16"/>
  </mergeCells>
  <pageMargins left="0.7" right="0.7" top="0.75" bottom="0.75" header="0.3" footer="0.3"/>
  <pageSetup paperSize="9"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tabSelected="1" topLeftCell="A7" workbookViewId="0">
      <selection activeCell="G1" sqref="G1:H1"/>
    </sheetView>
  </sheetViews>
  <sheetFormatPr defaultRowHeight="17.25" x14ac:dyDescent="0.25"/>
  <cols>
    <col min="1" max="1" width="4.28515625" style="74" customWidth="1"/>
    <col min="2" max="2" width="22.140625" style="122" customWidth="1"/>
    <col min="3" max="3" width="22.7109375" style="74" customWidth="1"/>
    <col min="4" max="4" width="11.42578125" style="122" customWidth="1"/>
    <col min="5" max="5" width="10.7109375" style="122" customWidth="1"/>
    <col min="6" max="6" width="14.28515625" style="122" customWidth="1"/>
    <col min="7" max="8" width="17.140625" style="122" customWidth="1"/>
    <col min="9" max="16384" width="9.140625" style="122"/>
  </cols>
  <sheetData>
    <row r="1" spans="1:8" x14ac:dyDescent="0.25">
      <c r="E1" s="119"/>
      <c r="F1" s="119"/>
      <c r="G1" s="465" t="s">
        <v>99</v>
      </c>
      <c r="H1" s="465"/>
    </row>
    <row r="2" spans="1:8" x14ac:dyDescent="0.25">
      <c r="E2" s="465" t="s">
        <v>1</v>
      </c>
      <c r="F2" s="465"/>
      <c r="G2" s="465"/>
      <c r="H2" s="465"/>
    </row>
    <row r="3" spans="1:8" x14ac:dyDescent="0.25">
      <c r="E3" s="465" t="s">
        <v>2</v>
      </c>
      <c r="F3" s="465"/>
      <c r="G3" s="465"/>
      <c r="H3" s="465"/>
    </row>
    <row r="5" spans="1:8" x14ac:dyDescent="0.25">
      <c r="A5" s="504" t="s">
        <v>3</v>
      </c>
      <c r="B5" s="504"/>
      <c r="C5" s="504"/>
      <c r="D5" s="504"/>
      <c r="E5" s="504"/>
      <c r="F5" s="504"/>
      <c r="G5" s="504"/>
      <c r="H5" s="504"/>
    </row>
    <row r="6" spans="1:8" ht="78.75" customHeight="1" x14ac:dyDescent="0.25">
      <c r="A6" s="516" t="s">
        <v>1255</v>
      </c>
      <c r="B6" s="516"/>
      <c r="C6" s="516"/>
      <c r="D6" s="516"/>
      <c r="E6" s="516"/>
      <c r="F6" s="516"/>
      <c r="G6" s="516"/>
      <c r="H6" s="516"/>
    </row>
    <row r="7" spans="1:8" x14ac:dyDescent="0.25">
      <c r="D7" s="123"/>
      <c r="E7" s="119"/>
      <c r="F7" s="119"/>
      <c r="G7" s="119"/>
    </row>
    <row r="8" spans="1:8" ht="69" x14ac:dyDescent="0.25">
      <c r="A8" s="461" t="s">
        <v>4</v>
      </c>
      <c r="B8" s="461" t="s">
        <v>5</v>
      </c>
      <c r="C8" s="498" t="s">
        <v>560</v>
      </c>
      <c r="D8" s="461" t="s">
        <v>6</v>
      </c>
      <c r="E8" s="461" t="s">
        <v>7</v>
      </c>
      <c r="F8" s="5" t="s">
        <v>8</v>
      </c>
      <c r="G8" s="120" t="s">
        <v>9</v>
      </c>
      <c r="H8" s="120" t="s">
        <v>10</v>
      </c>
    </row>
    <row r="9" spans="1:8" x14ac:dyDescent="0.25">
      <c r="A9" s="503"/>
      <c r="B9" s="462"/>
      <c r="C9" s="498"/>
      <c r="D9" s="462"/>
      <c r="E9" s="468"/>
      <c r="F9" s="120" t="s">
        <v>12</v>
      </c>
      <c r="G9" s="31" t="s">
        <v>12</v>
      </c>
      <c r="H9" s="31" t="s">
        <v>12</v>
      </c>
    </row>
    <row r="10" spans="1:8" x14ac:dyDescent="0.25">
      <c r="A10" s="31">
        <v>1</v>
      </c>
      <c r="B10" s="31">
        <v>2</v>
      </c>
      <c r="C10" s="31">
        <v>3</v>
      </c>
      <c r="D10" s="31">
        <v>4</v>
      </c>
      <c r="E10" s="31">
        <v>5</v>
      </c>
      <c r="F10" s="31">
        <v>6</v>
      </c>
      <c r="G10" s="31">
        <v>7</v>
      </c>
      <c r="H10" s="31">
        <v>8</v>
      </c>
    </row>
    <row r="11" spans="1:8" ht="24.75" customHeight="1" x14ac:dyDescent="0.25">
      <c r="A11" s="491" t="s">
        <v>807</v>
      </c>
      <c r="B11" s="491"/>
      <c r="C11" s="491"/>
      <c r="D11" s="491"/>
      <c r="E11" s="491"/>
      <c r="F11" s="491"/>
      <c r="G11" s="491"/>
      <c r="H11" s="491"/>
    </row>
    <row r="12" spans="1:8" ht="256.5" customHeight="1" x14ac:dyDescent="0.25">
      <c r="A12" s="85">
        <v>1</v>
      </c>
      <c r="B12" s="136" t="s">
        <v>152</v>
      </c>
      <c r="C12" s="43" t="s">
        <v>1198</v>
      </c>
      <c r="D12" s="85" t="s">
        <v>14</v>
      </c>
      <c r="E12" s="125">
        <v>15</v>
      </c>
      <c r="F12" s="174">
        <v>148026</v>
      </c>
      <c r="G12" s="91">
        <f>E12*F12</f>
        <v>2220390</v>
      </c>
      <c r="H12" s="91">
        <f>E12*0</f>
        <v>0</v>
      </c>
    </row>
    <row r="13" spans="1:8" ht="255" customHeight="1" x14ac:dyDescent="0.25">
      <c r="A13" s="85">
        <v>2</v>
      </c>
      <c r="B13" s="126" t="s">
        <v>719</v>
      </c>
      <c r="C13" s="187" t="s">
        <v>808</v>
      </c>
      <c r="D13" s="85" t="s">
        <v>14</v>
      </c>
      <c r="E13" s="125">
        <v>13</v>
      </c>
      <c r="F13" s="174">
        <v>45422</v>
      </c>
      <c r="G13" s="91">
        <f>E13*F13</f>
        <v>590486</v>
      </c>
      <c r="H13" s="91">
        <f>E13*0</f>
        <v>0</v>
      </c>
    </row>
    <row r="14" spans="1:8" ht="17.25" customHeight="1" x14ac:dyDescent="0.25">
      <c r="A14" s="513" t="s">
        <v>39</v>
      </c>
      <c r="B14" s="513"/>
      <c r="C14" s="92"/>
      <c r="D14" s="168"/>
      <c r="E14" s="107">
        <f>SUM(E12:E13)</f>
        <v>28</v>
      </c>
      <c r="F14" s="178"/>
      <c r="G14" s="178">
        <f>SUM(G12:G13)</f>
        <v>2810876</v>
      </c>
      <c r="H14" s="178">
        <f>SUM(H12:H13)</f>
        <v>0</v>
      </c>
    </row>
    <row r="15" spans="1:8" ht="26.25" customHeight="1" x14ac:dyDescent="0.25">
      <c r="A15" s="469" t="s">
        <v>809</v>
      </c>
      <c r="B15" s="470"/>
      <c r="C15" s="470"/>
      <c r="D15" s="470"/>
      <c r="E15" s="470"/>
      <c r="F15" s="470"/>
      <c r="G15" s="470"/>
      <c r="H15" s="471"/>
    </row>
    <row r="16" spans="1:8" ht="115.5" x14ac:dyDescent="0.25">
      <c r="A16" s="85">
        <v>3</v>
      </c>
      <c r="B16" s="126" t="s">
        <v>720</v>
      </c>
      <c r="C16" s="132" t="s">
        <v>810</v>
      </c>
      <c r="D16" s="85" t="s">
        <v>14</v>
      </c>
      <c r="E16" s="125">
        <v>7</v>
      </c>
      <c r="F16" s="174">
        <v>18250</v>
      </c>
      <c r="G16" s="91">
        <f>E16*F16</f>
        <v>127750</v>
      </c>
      <c r="H16" s="91">
        <f>E16*1825</f>
        <v>12775</v>
      </c>
    </row>
    <row r="17" spans="1:8" x14ac:dyDescent="0.25">
      <c r="A17" s="513" t="s">
        <v>39</v>
      </c>
      <c r="B17" s="513"/>
      <c r="C17" s="92"/>
      <c r="D17" s="168"/>
      <c r="E17" s="107">
        <f>SUM(E16:E16)</f>
        <v>7</v>
      </c>
      <c r="F17" s="178"/>
      <c r="G17" s="178">
        <f>SUM(G16:G16)</f>
        <v>127750</v>
      </c>
      <c r="H17" s="178">
        <f>SUM(H16:H16)</f>
        <v>12775</v>
      </c>
    </row>
    <row r="18" spans="1:8" s="69" customFormat="1" ht="29.25" customHeight="1" x14ac:dyDescent="0.25">
      <c r="A18" s="469" t="s">
        <v>811</v>
      </c>
      <c r="B18" s="470"/>
      <c r="C18" s="470"/>
      <c r="D18" s="470"/>
      <c r="E18" s="470"/>
      <c r="F18" s="470"/>
      <c r="G18" s="470"/>
      <c r="H18" s="471"/>
    </row>
    <row r="19" spans="1:8" ht="132" x14ac:dyDescent="0.25">
      <c r="A19" s="138">
        <v>4</v>
      </c>
      <c r="B19" s="126" t="s">
        <v>720</v>
      </c>
      <c r="C19" s="132" t="s">
        <v>812</v>
      </c>
      <c r="D19" s="85" t="s">
        <v>14</v>
      </c>
      <c r="E19" s="125">
        <v>8</v>
      </c>
      <c r="F19" s="174">
        <v>18250</v>
      </c>
      <c r="G19" s="91">
        <f>E19*F19</f>
        <v>146000</v>
      </c>
      <c r="H19" s="91">
        <f>E19*1825</f>
        <v>14600</v>
      </c>
    </row>
    <row r="20" spans="1:8" x14ac:dyDescent="0.25">
      <c r="A20" s="513" t="s">
        <v>39</v>
      </c>
      <c r="B20" s="513"/>
      <c r="C20" s="92"/>
      <c r="D20" s="168"/>
      <c r="E20" s="107">
        <f>SUM(E19:E19)</f>
        <v>8</v>
      </c>
      <c r="F20" s="178"/>
      <c r="G20" s="178">
        <f>SUM(G19:G19)</f>
        <v>146000</v>
      </c>
      <c r="H20" s="178">
        <f>SUM(H19:H19)</f>
        <v>14600</v>
      </c>
    </row>
    <row r="21" spans="1:8" ht="25.5" customHeight="1" x14ac:dyDescent="0.25">
      <c r="A21" s="491" t="s">
        <v>813</v>
      </c>
      <c r="B21" s="491"/>
      <c r="C21" s="491"/>
      <c r="D21" s="491"/>
      <c r="E21" s="491"/>
      <c r="F21" s="491"/>
      <c r="G21" s="491"/>
      <c r="H21" s="491"/>
    </row>
    <row r="22" spans="1:8" ht="125.25" customHeight="1" x14ac:dyDescent="0.25">
      <c r="A22" s="85">
        <v>5</v>
      </c>
      <c r="B22" s="126" t="s">
        <v>719</v>
      </c>
      <c r="C22" s="148" t="s">
        <v>814</v>
      </c>
      <c r="D22" s="85" t="s">
        <v>14</v>
      </c>
      <c r="E22" s="125">
        <v>7</v>
      </c>
      <c r="F22" s="174">
        <v>45422</v>
      </c>
      <c r="G22" s="91">
        <f>E22*F22</f>
        <v>317954</v>
      </c>
      <c r="H22" s="91">
        <f>E22*0</f>
        <v>0</v>
      </c>
    </row>
    <row r="23" spans="1:8" ht="130.5" customHeight="1" x14ac:dyDescent="0.25">
      <c r="A23" s="85">
        <v>6</v>
      </c>
      <c r="B23" s="126" t="s">
        <v>720</v>
      </c>
      <c r="C23" s="148" t="s">
        <v>815</v>
      </c>
      <c r="D23" s="85" t="s">
        <v>14</v>
      </c>
      <c r="E23" s="125">
        <v>7</v>
      </c>
      <c r="F23" s="174">
        <v>18250</v>
      </c>
      <c r="G23" s="91">
        <f>E23*F23</f>
        <v>127750</v>
      </c>
      <c r="H23" s="91">
        <f>E23*1825</f>
        <v>12775</v>
      </c>
    </row>
    <row r="24" spans="1:8" ht="21.75" customHeight="1" x14ac:dyDescent="0.25">
      <c r="A24" s="513" t="s">
        <v>39</v>
      </c>
      <c r="B24" s="513"/>
      <c r="C24" s="92"/>
      <c r="D24" s="168"/>
      <c r="E24" s="107">
        <f>SUM(E22:E23)</f>
        <v>14</v>
      </c>
      <c r="F24" s="178"/>
      <c r="G24" s="178">
        <f>SUM(G22:G23)</f>
        <v>445704</v>
      </c>
      <c r="H24" s="178">
        <f>SUM(H22:H23)</f>
        <v>12775</v>
      </c>
    </row>
    <row r="25" spans="1:8" ht="24" customHeight="1" x14ac:dyDescent="0.25">
      <c r="A25" s="507" t="s">
        <v>590</v>
      </c>
      <c r="B25" s="508"/>
      <c r="C25" s="144"/>
      <c r="D25" s="185"/>
      <c r="E25" s="186">
        <f>E14+E17+E20+E24</f>
        <v>57</v>
      </c>
      <c r="F25" s="177"/>
      <c r="G25" s="177">
        <f>G14+G17+G20+G24</f>
        <v>3530330</v>
      </c>
      <c r="H25" s="177">
        <f>H14+H17+H20+H24</f>
        <v>40150</v>
      </c>
    </row>
  </sheetData>
  <mergeCells count="19">
    <mergeCell ref="A25:B25"/>
    <mergeCell ref="A20:B20"/>
    <mergeCell ref="A21:H21"/>
    <mergeCell ref="A24:B24"/>
    <mergeCell ref="A11:H11"/>
    <mergeCell ref="A14:B14"/>
    <mergeCell ref="A15:H15"/>
    <mergeCell ref="A17:B17"/>
    <mergeCell ref="A18:H18"/>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28" workbookViewId="0">
      <selection activeCell="M12" sqref="M12"/>
    </sheetView>
  </sheetViews>
  <sheetFormatPr defaultRowHeight="17.25" x14ac:dyDescent="0.25"/>
  <cols>
    <col min="1" max="1" width="4.28515625" style="74" customWidth="1"/>
    <col min="2" max="2" width="20.7109375" style="122" customWidth="1"/>
    <col min="3" max="3" width="22.85546875" style="122" customWidth="1"/>
    <col min="4" max="4" width="11.42578125" style="122" customWidth="1"/>
    <col min="5" max="5" width="10.7109375" style="122" customWidth="1"/>
    <col min="6" max="6" width="17.140625" style="122" customWidth="1"/>
    <col min="7" max="7" width="17.85546875" style="122" customWidth="1"/>
    <col min="8" max="9" width="17.140625" style="122" customWidth="1"/>
    <col min="10" max="16384" width="9.140625" style="122"/>
  </cols>
  <sheetData>
    <row r="1" spans="1:9" x14ac:dyDescent="0.25">
      <c r="E1" s="314"/>
      <c r="F1" s="314"/>
      <c r="G1" s="465" t="s">
        <v>101</v>
      </c>
      <c r="H1" s="465"/>
      <c r="I1" s="314"/>
    </row>
    <row r="2" spans="1:9" x14ac:dyDescent="0.25">
      <c r="E2" s="465" t="s">
        <v>1</v>
      </c>
      <c r="F2" s="465"/>
      <c r="G2" s="465"/>
      <c r="H2" s="465"/>
      <c r="I2" s="314"/>
    </row>
    <row r="3" spans="1:9" x14ac:dyDescent="0.25">
      <c r="E3" s="465" t="s">
        <v>2</v>
      </c>
      <c r="F3" s="465"/>
      <c r="G3" s="465"/>
      <c r="H3" s="465"/>
      <c r="I3" s="314"/>
    </row>
    <row r="5" spans="1:9" x14ac:dyDescent="0.25">
      <c r="A5" s="504" t="s">
        <v>3</v>
      </c>
      <c r="B5" s="504"/>
      <c r="C5" s="504"/>
      <c r="D5" s="504"/>
      <c r="E5" s="504"/>
      <c r="F5" s="504"/>
      <c r="G5" s="504"/>
      <c r="H5" s="504"/>
      <c r="I5" s="316"/>
    </row>
    <row r="6" spans="1:9" ht="71.25" customHeight="1" x14ac:dyDescent="0.25">
      <c r="A6" s="539" t="s">
        <v>816</v>
      </c>
      <c r="B6" s="539"/>
      <c r="C6" s="539"/>
      <c r="D6" s="539"/>
      <c r="E6" s="539"/>
      <c r="F6" s="539"/>
      <c r="G6" s="539"/>
      <c r="H6" s="539"/>
      <c r="I6" s="188"/>
    </row>
    <row r="7" spans="1:9" x14ac:dyDescent="0.25">
      <c r="D7" s="123"/>
      <c r="E7" s="314"/>
      <c r="F7" s="314"/>
      <c r="G7" s="314"/>
    </row>
    <row r="8" spans="1:9" ht="69" x14ac:dyDescent="0.25">
      <c r="A8" s="461" t="s">
        <v>4</v>
      </c>
      <c r="B8" s="540" t="s">
        <v>5</v>
      </c>
      <c r="C8" s="498" t="s">
        <v>560</v>
      </c>
      <c r="D8" s="461" t="s">
        <v>6</v>
      </c>
      <c r="E8" s="461" t="s">
        <v>7</v>
      </c>
      <c r="F8" s="5" t="s">
        <v>8</v>
      </c>
      <c r="G8" s="315" t="s">
        <v>9</v>
      </c>
      <c r="H8" s="315" t="s">
        <v>10</v>
      </c>
      <c r="I8" s="189"/>
    </row>
    <row r="9" spans="1:9" x14ac:dyDescent="0.25">
      <c r="A9" s="503"/>
      <c r="B9" s="541"/>
      <c r="C9" s="498"/>
      <c r="D9" s="462"/>
      <c r="E9" s="468"/>
      <c r="F9" s="315" t="s">
        <v>12</v>
      </c>
      <c r="G9" s="31" t="s">
        <v>12</v>
      </c>
      <c r="H9" s="31" t="s">
        <v>12</v>
      </c>
      <c r="I9" s="189"/>
    </row>
    <row r="10" spans="1:9" x14ac:dyDescent="0.25">
      <c r="A10" s="31">
        <v>1</v>
      </c>
      <c r="B10" s="326">
        <v>2</v>
      </c>
      <c r="C10" s="31">
        <v>3</v>
      </c>
      <c r="D10" s="31">
        <v>4</v>
      </c>
      <c r="E10" s="31">
        <v>5</v>
      </c>
      <c r="F10" s="31">
        <v>6</v>
      </c>
      <c r="G10" s="31">
        <v>7</v>
      </c>
      <c r="H10" s="31">
        <v>8</v>
      </c>
      <c r="I10" s="189"/>
    </row>
    <row r="11" spans="1:9" s="176" customFormat="1" ht="24" customHeight="1" x14ac:dyDescent="0.25">
      <c r="A11" s="527">
        <v>1</v>
      </c>
      <c r="B11" s="529" t="s">
        <v>152</v>
      </c>
      <c r="C11" s="537" t="s">
        <v>1194</v>
      </c>
      <c r="D11" s="527" t="s">
        <v>14</v>
      </c>
      <c r="E11" s="533">
        <v>27</v>
      </c>
      <c r="F11" s="535">
        <v>148026</v>
      </c>
      <c r="G11" s="525">
        <f>E11*F11</f>
        <v>3996702</v>
      </c>
      <c r="H11" s="525">
        <f>E11*0</f>
        <v>0</v>
      </c>
    </row>
    <row r="12" spans="1:9" s="176" customFormat="1" ht="339" customHeight="1" x14ac:dyDescent="0.25">
      <c r="A12" s="528"/>
      <c r="B12" s="530"/>
      <c r="C12" s="538"/>
      <c r="D12" s="528"/>
      <c r="E12" s="534"/>
      <c r="F12" s="536"/>
      <c r="G12" s="526"/>
      <c r="H12" s="526"/>
      <c r="I12" s="190"/>
    </row>
    <row r="13" spans="1:9" ht="321.75" customHeight="1" x14ac:dyDescent="0.25">
      <c r="A13" s="527">
        <v>2</v>
      </c>
      <c r="B13" s="529" t="s">
        <v>719</v>
      </c>
      <c r="C13" s="531" t="s">
        <v>1195</v>
      </c>
      <c r="D13" s="527" t="s">
        <v>14</v>
      </c>
      <c r="E13" s="533">
        <v>43</v>
      </c>
      <c r="F13" s="535">
        <v>45422</v>
      </c>
      <c r="G13" s="525">
        <f>E13*F13</f>
        <v>1953146</v>
      </c>
      <c r="H13" s="525">
        <f>E13*0</f>
        <v>0</v>
      </c>
      <c r="I13" s="191"/>
    </row>
    <row r="14" spans="1:9" ht="409.5" customHeight="1" x14ac:dyDescent="0.25">
      <c r="A14" s="528"/>
      <c r="B14" s="530"/>
      <c r="C14" s="532"/>
      <c r="D14" s="528"/>
      <c r="E14" s="534"/>
      <c r="F14" s="536"/>
      <c r="G14" s="526"/>
      <c r="H14" s="526"/>
      <c r="I14" s="191"/>
    </row>
    <row r="15" spans="1:9" ht="384" customHeight="1" x14ac:dyDescent="0.25">
      <c r="A15" s="283">
        <v>3</v>
      </c>
      <c r="B15" s="327" t="s">
        <v>817</v>
      </c>
      <c r="C15" s="321" t="s">
        <v>818</v>
      </c>
      <c r="D15" s="132" t="s">
        <v>14</v>
      </c>
      <c r="E15" s="125">
        <v>12</v>
      </c>
      <c r="F15" s="192">
        <v>90438</v>
      </c>
      <c r="G15" s="192">
        <f>E15*F15</f>
        <v>1085256</v>
      </c>
      <c r="H15" s="192">
        <f>E15*0</f>
        <v>0</v>
      </c>
      <c r="I15" s="193"/>
    </row>
    <row r="16" spans="1:9" ht="207.75" customHeight="1" x14ac:dyDescent="0.25">
      <c r="A16" s="542">
        <v>4</v>
      </c>
      <c r="B16" s="545" t="s">
        <v>819</v>
      </c>
      <c r="C16" s="531" t="s">
        <v>820</v>
      </c>
      <c r="D16" s="549" t="s">
        <v>14</v>
      </c>
      <c r="E16" s="552">
        <v>10</v>
      </c>
      <c r="F16" s="553">
        <v>397900</v>
      </c>
      <c r="G16" s="553">
        <f>E16*F16</f>
        <v>3979000</v>
      </c>
      <c r="H16" s="556">
        <f>E16*0</f>
        <v>0</v>
      </c>
      <c r="I16" s="194"/>
    </row>
    <row r="17" spans="1:9" ht="17.25" customHeight="1" x14ac:dyDescent="0.25">
      <c r="A17" s="543"/>
      <c r="B17" s="546"/>
      <c r="C17" s="548"/>
      <c r="D17" s="550"/>
      <c r="E17" s="552"/>
      <c r="F17" s="554"/>
      <c r="G17" s="554"/>
      <c r="H17" s="557"/>
      <c r="I17" s="194"/>
    </row>
    <row r="18" spans="1:9" ht="97.5" customHeight="1" x14ac:dyDescent="0.25">
      <c r="A18" s="543"/>
      <c r="B18" s="546"/>
      <c r="C18" s="548"/>
      <c r="D18" s="550"/>
      <c r="E18" s="552"/>
      <c r="F18" s="554"/>
      <c r="G18" s="554"/>
      <c r="H18" s="557"/>
      <c r="I18" s="194"/>
    </row>
    <row r="19" spans="1:9" ht="17.25" customHeight="1" x14ac:dyDescent="0.25">
      <c r="A19" s="543"/>
      <c r="B19" s="546"/>
      <c r="C19" s="548"/>
      <c r="D19" s="550"/>
      <c r="E19" s="552"/>
      <c r="F19" s="554"/>
      <c r="G19" s="554"/>
      <c r="H19" s="557"/>
      <c r="I19" s="194"/>
    </row>
    <row r="20" spans="1:9" x14ac:dyDescent="0.25">
      <c r="A20" s="543"/>
      <c r="B20" s="546"/>
      <c r="C20" s="548"/>
      <c r="D20" s="550"/>
      <c r="E20" s="552"/>
      <c r="F20" s="554"/>
      <c r="G20" s="554"/>
      <c r="H20" s="557"/>
      <c r="I20" s="194"/>
    </row>
    <row r="21" spans="1:9" x14ac:dyDescent="0.25">
      <c r="A21" s="543"/>
      <c r="B21" s="546"/>
      <c r="C21" s="548"/>
      <c r="D21" s="550"/>
      <c r="E21" s="552"/>
      <c r="F21" s="554"/>
      <c r="G21" s="554"/>
      <c r="H21" s="557"/>
      <c r="I21" s="194"/>
    </row>
    <row r="22" spans="1:9" x14ac:dyDescent="0.25">
      <c r="A22" s="543"/>
      <c r="B22" s="546"/>
      <c r="C22" s="548"/>
      <c r="D22" s="550"/>
      <c r="E22" s="552"/>
      <c r="F22" s="554"/>
      <c r="G22" s="554"/>
      <c r="H22" s="557"/>
      <c r="I22" s="194"/>
    </row>
    <row r="23" spans="1:9" x14ac:dyDescent="0.25">
      <c r="A23" s="543"/>
      <c r="B23" s="546"/>
      <c r="C23" s="548"/>
      <c r="D23" s="550"/>
      <c r="E23" s="552"/>
      <c r="F23" s="554"/>
      <c r="G23" s="554"/>
      <c r="H23" s="557"/>
      <c r="I23" s="194"/>
    </row>
    <row r="24" spans="1:9" x14ac:dyDescent="0.25">
      <c r="A24" s="543"/>
      <c r="B24" s="546"/>
      <c r="C24" s="548"/>
      <c r="D24" s="550"/>
      <c r="E24" s="552"/>
      <c r="F24" s="554"/>
      <c r="G24" s="554"/>
      <c r="H24" s="557"/>
      <c r="I24" s="194"/>
    </row>
    <row r="25" spans="1:9" x14ac:dyDescent="0.25">
      <c r="A25" s="544"/>
      <c r="B25" s="547"/>
      <c r="C25" s="532"/>
      <c r="D25" s="551"/>
      <c r="E25" s="552"/>
      <c r="F25" s="555"/>
      <c r="G25" s="555"/>
      <c r="H25" s="558"/>
      <c r="I25" s="194"/>
    </row>
    <row r="26" spans="1:9" x14ac:dyDescent="0.25">
      <c r="A26" s="542">
        <v>6</v>
      </c>
      <c r="B26" s="545" t="s">
        <v>1196</v>
      </c>
      <c r="C26" s="549" t="s">
        <v>1197</v>
      </c>
      <c r="D26" s="549" t="s">
        <v>14</v>
      </c>
      <c r="E26" s="531">
        <v>3</v>
      </c>
      <c r="F26" s="553">
        <v>65000</v>
      </c>
      <c r="G26" s="553">
        <f>E26*F26</f>
        <v>195000</v>
      </c>
      <c r="H26" s="556">
        <f>E26*0</f>
        <v>0</v>
      </c>
      <c r="I26" s="194"/>
    </row>
    <row r="27" spans="1:9" x14ac:dyDescent="0.25">
      <c r="A27" s="543"/>
      <c r="B27" s="546"/>
      <c r="C27" s="550"/>
      <c r="D27" s="550"/>
      <c r="E27" s="548"/>
      <c r="F27" s="554"/>
      <c r="G27" s="554"/>
      <c r="H27" s="557"/>
      <c r="I27" s="194"/>
    </row>
    <row r="28" spans="1:9" x14ac:dyDescent="0.25">
      <c r="A28" s="543"/>
      <c r="B28" s="546"/>
      <c r="C28" s="550"/>
      <c r="D28" s="550"/>
      <c r="E28" s="532"/>
      <c r="F28" s="554"/>
      <c r="G28" s="554"/>
      <c r="H28" s="557"/>
      <c r="I28" s="194"/>
    </row>
    <row r="29" spans="1:9" ht="49.5" x14ac:dyDescent="0.25">
      <c r="A29" s="283">
        <v>8</v>
      </c>
      <c r="B29" s="328" t="s">
        <v>821</v>
      </c>
      <c r="C29" s="321" t="s">
        <v>822</v>
      </c>
      <c r="D29" s="132" t="s">
        <v>14</v>
      </c>
      <c r="E29" s="127">
        <v>1</v>
      </c>
      <c r="F29" s="196">
        <v>95000</v>
      </c>
      <c r="G29" s="192">
        <f>E29*F29</f>
        <v>95000</v>
      </c>
      <c r="H29" s="318">
        <f>E29*0</f>
        <v>0</v>
      </c>
      <c r="I29" s="195"/>
    </row>
    <row r="30" spans="1:9" ht="177" customHeight="1" x14ac:dyDescent="0.25">
      <c r="A30" s="319">
        <v>11</v>
      </c>
      <c r="B30" s="327" t="s">
        <v>823</v>
      </c>
      <c r="C30" s="320"/>
      <c r="D30" s="320" t="s">
        <v>14</v>
      </c>
      <c r="E30" s="323">
        <v>1</v>
      </c>
      <c r="F30" s="324">
        <v>6107000.1600000001</v>
      </c>
      <c r="G30" s="317">
        <f>E30*F30</f>
        <v>6107000.1600000001</v>
      </c>
      <c r="H30" s="317">
        <f>E30*244280</f>
        <v>244280</v>
      </c>
      <c r="I30" s="193"/>
    </row>
    <row r="31" spans="1:9" ht="33" x14ac:dyDescent="0.25">
      <c r="A31" s="283">
        <v>12</v>
      </c>
      <c r="B31" s="328" t="s">
        <v>1193</v>
      </c>
      <c r="C31" s="197"/>
      <c r="D31" s="198" t="s">
        <v>14</v>
      </c>
      <c r="E31" s="321">
        <v>2</v>
      </c>
      <c r="F31" s="199">
        <v>18720</v>
      </c>
      <c r="G31" s="192">
        <f t="shared" ref="G31:G37" si="0">E31*F31</f>
        <v>37440</v>
      </c>
      <c r="H31" s="192">
        <f>E31*7488</f>
        <v>14976</v>
      </c>
      <c r="I31" s="200"/>
    </row>
    <row r="32" spans="1:9" x14ac:dyDescent="0.25">
      <c r="A32" s="283">
        <v>13</v>
      </c>
      <c r="B32" s="328" t="s">
        <v>824</v>
      </c>
      <c r="C32" s="197"/>
      <c r="D32" s="198" t="s">
        <v>14</v>
      </c>
      <c r="E32" s="321">
        <v>10</v>
      </c>
      <c r="F32" s="199">
        <v>23760</v>
      </c>
      <c r="G32" s="192">
        <f t="shared" si="0"/>
        <v>237600</v>
      </c>
      <c r="H32" s="192">
        <f>E32*9504</f>
        <v>95040</v>
      </c>
      <c r="I32" s="200"/>
    </row>
    <row r="33" spans="1:9" ht="66" x14ac:dyDescent="0.25">
      <c r="A33" s="283">
        <v>14</v>
      </c>
      <c r="B33" s="328" t="s">
        <v>825</v>
      </c>
      <c r="C33" s="197"/>
      <c r="D33" s="198" t="s">
        <v>14</v>
      </c>
      <c r="E33" s="322">
        <v>20</v>
      </c>
      <c r="F33" s="201">
        <v>28200</v>
      </c>
      <c r="G33" s="192">
        <f t="shared" si="0"/>
        <v>564000</v>
      </c>
      <c r="H33" s="192">
        <f>E33*1128</f>
        <v>22560</v>
      </c>
      <c r="I33" s="202"/>
    </row>
    <row r="34" spans="1:9" ht="33" x14ac:dyDescent="0.25">
      <c r="A34" s="283">
        <v>15</v>
      </c>
      <c r="B34" s="328" t="s">
        <v>826</v>
      </c>
      <c r="C34" s="197"/>
      <c r="D34" s="198" t="s">
        <v>14</v>
      </c>
      <c r="E34" s="321">
        <v>8</v>
      </c>
      <c r="F34" s="199">
        <v>35400</v>
      </c>
      <c r="G34" s="192">
        <f t="shared" si="0"/>
        <v>283200</v>
      </c>
      <c r="H34" s="192">
        <f>E34*1416</f>
        <v>11328</v>
      </c>
      <c r="I34" s="200"/>
    </row>
    <row r="35" spans="1:9" ht="33" x14ac:dyDescent="0.25">
      <c r="A35" s="283">
        <v>16</v>
      </c>
      <c r="B35" s="328" t="s">
        <v>827</v>
      </c>
      <c r="C35" s="197"/>
      <c r="D35" s="198" t="s">
        <v>14</v>
      </c>
      <c r="E35" s="321">
        <v>10</v>
      </c>
      <c r="F35" s="203">
        <v>38820</v>
      </c>
      <c r="G35" s="192">
        <f t="shared" si="0"/>
        <v>388200</v>
      </c>
      <c r="H35" s="192">
        <f>E35*1552.8</f>
        <v>15528</v>
      </c>
      <c r="I35" s="200"/>
    </row>
    <row r="36" spans="1:9" x14ac:dyDescent="0.25">
      <c r="A36" s="283">
        <v>17</v>
      </c>
      <c r="B36" s="328" t="s">
        <v>367</v>
      </c>
      <c r="C36" s="197"/>
      <c r="D36" s="198" t="s">
        <v>14</v>
      </c>
      <c r="E36" s="321">
        <v>2</v>
      </c>
      <c r="F36" s="199">
        <v>56400</v>
      </c>
      <c r="G36" s="192">
        <f t="shared" si="0"/>
        <v>112800</v>
      </c>
      <c r="H36" s="192">
        <v>0</v>
      </c>
      <c r="I36" s="200"/>
    </row>
    <row r="37" spans="1:9" ht="99" x14ac:dyDescent="0.25">
      <c r="A37" s="283">
        <v>18</v>
      </c>
      <c r="B37" s="328" t="s">
        <v>828</v>
      </c>
      <c r="C37" s="197"/>
      <c r="D37" s="198" t="s">
        <v>14</v>
      </c>
      <c r="E37" s="321">
        <v>1</v>
      </c>
      <c r="F37" s="199">
        <v>86400</v>
      </c>
      <c r="G37" s="192">
        <f t="shared" si="0"/>
        <v>86400</v>
      </c>
      <c r="H37" s="192">
        <f>E37*3456</f>
        <v>3456</v>
      </c>
      <c r="I37" s="200"/>
    </row>
    <row r="38" spans="1:9" ht="18.75" x14ac:dyDescent="0.25">
      <c r="A38" s="523" t="s">
        <v>590</v>
      </c>
      <c r="B38" s="524"/>
      <c r="C38" s="185"/>
      <c r="D38" s="185"/>
      <c r="E38" s="186">
        <f>SUM(E11:E37)</f>
        <v>150</v>
      </c>
      <c r="F38" s="186"/>
      <c r="G38" s="177">
        <f>SUM(G11:G37)</f>
        <v>19120744.16</v>
      </c>
      <c r="H38" s="177">
        <f>SUM(H11:H37)</f>
        <v>407168</v>
      </c>
    </row>
    <row r="49" spans="1:1" x14ac:dyDescent="0.25">
      <c r="A49" s="122"/>
    </row>
    <row r="50" spans="1:1" x14ac:dyDescent="0.25">
      <c r="A50" s="122"/>
    </row>
    <row r="51" spans="1:1" x14ac:dyDescent="0.25">
      <c r="A51" s="122"/>
    </row>
    <row r="52" spans="1:1" x14ac:dyDescent="0.25">
      <c r="A52" s="122"/>
    </row>
    <row r="53" spans="1:1" x14ac:dyDescent="0.25">
      <c r="A53" s="122"/>
    </row>
    <row r="54" spans="1:1" x14ac:dyDescent="0.25">
      <c r="A54" s="122"/>
    </row>
    <row r="55" spans="1:1" x14ac:dyDescent="0.25">
      <c r="A55" s="122"/>
    </row>
    <row r="56" spans="1:1" x14ac:dyDescent="0.25">
      <c r="A56" s="122"/>
    </row>
    <row r="57" spans="1:1" x14ac:dyDescent="0.25">
      <c r="A57" s="122"/>
    </row>
    <row r="58" spans="1:1" x14ac:dyDescent="0.25">
      <c r="A58" s="122"/>
    </row>
    <row r="59" spans="1:1" x14ac:dyDescent="0.25">
      <c r="A59" s="122"/>
    </row>
    <row r="60" spans="1:1" x14ac:dyDescent="0.25">
      <c r="A60" s="122"/>
    </row>
    <row r="61" spans="1:1" x14ac:dyDescent="0.25">
      <c r="A61" s="122"/>
    </row>
    <row r="62" spans="1:1" x14ac:dyDescent="0.25">
      <c r="A62" s="122"/>
    </row>
    <row r="63" spans="1:1" x14ac:dyDescent="0.25">
      <c r="A63" s="122"/>
    </row>
    <row r="64" spans="1:1" x14ac:dyDescent="0.25">
      <c r="A64" s="122"/>
    </row>
    <row r="65" spans="1:1" x14ac:dyDescent="0.25">
      <c r="A65" s="122"/>
    </row>
    <row r="66" spans="1:1" x14ac:dyDescent="0.25">
      <c r="A66" s="122"/>
    </row>
    <row r="67" spans="1:1" x14ac:dyDescent="0.25">
      <c r="A67" s="122"/>
    </row>
    <row r="68" spans="1:1" x14ac:dyDescent="0.25">
      <c r="A68" s="122"/>
    </row>
    <row r="69" spans="1:1" x14ac:dyDescent="0.25">
      <c r="A69" s="122"/>
    </row>
    <row r="70" spans="1:1" x14ac:dyDescent="0.25">
      <c r="A70" s="122"/>
    </row>
    <row r="71" spans="1:1" x14ac:dyDescent="0.25">
      <c r="A71" s="122"/>
    </row>
  </sheetData>
  <mergeCells count="43">
    <mergeCell ref="H16:H25"/>
    <mergeCell ref="A26:A28"/>
    <mergeCell ref="B26:B28"/>
    <mergeCell ref="C26:C28"/>
    <mergeCell ref="D26:D28"/>
    <mergeCell ref="E26:E28"/>
    <mergeCell ref="F26:F28"/>
    <mergeCell ref="G26:G28"/>
    <mergeCell ref="H26:H28"/>
    <mergeCell ref="G11:G12"/>
    <mergeCell ref="A16:A25"/>
    <mergeCell ref="B16:B25"/>
    <mergeCell ref="C16:C25"/>
    <mergeCell ref="D16:D25"/>
    <mergeCell ref="E16:E25"/>
    <mergeCell ref="F16:F25"/>
    <mergeCell ref="G16:G25"/>
    <mergeCell ref="C8:C9"/>
    <mergeCell ref="D8:D9"/>
    <mergeCell ref="E8:E9"/>
    <mergeCell ref="G1:H1"/>
    <mergeCell ref="E2:H2"/>
    <mergeCell ref="E3:H3"/>
    <mergeCell ref="A5:H5"/>
    <mergeCell ref="A6:H6"/>
    <mergeCell ref="A8:A9"/>
    <mergeCell ref="B8:B9"/>
    <mergeCell ref="A38:B38"/>
    <mergeCell ref="H11:H12"/>
    <mergeCell ref="A13:A14"/>
    <mergeCell ref="B13:B14"/>
    <mergeCell ref="C13:C14"/>
    <mergeCell ref="D13:D14"/>
    <mergeCell ref="E13:E14"/>
    <mergeCell ref="F13:F14"/>
    <mergeCell ref="G13:G14"/>
    <mergeCell ref="H13:H14"/>
    <mergeCell ref="A11:A12"/>
    <mergeCell ref="B11:B12"/>
    <mergeCell ref="C11:C12"/>
    <mergeCell ref="D11:D12"/>
    <mergeCell ref="E11:E12"/>
    <mergeCell ref="F11:F12"/>
  </mergeCells>
  <pageMargins left="0" right="0" top="0" bottom="0" header="0" footer="0"/>
  <pageSetup paperSize="9" scale="90"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workbookViewId="0">
      <selection activeCell="O13" sqref="O13"/>
    </sheetView>
  </sheetViews>
  <sheetFormatPr defaultRowHeight="17.25" x14ac:dyDescent="0.3"/>
  <cols>
    <col min="1" max="1" width="4.28515625" style="1" customWidth="1"/>
    <col min="2" max="2" width="22.140625" style="1" customWidth="1"/>
    <col min="3" max="3" width="18.5703125" style="1" customWidth="1"/>
    <col min="4" max="4" width="11.42578125" style="1" customWidth="1"/>
    <col min="5" max="5" width="10.7109375" style="1" customWidth="1"/>
    <col min="6" max="8" width="17.140625" style="1" customWidth="1"/>
    <col min="9" max="16384" width="9.140625" style="1"/>
  </cols>
  <sheetData>
    <row r="1" spans="1:8" x14ac:dyDescent="0.3">
      <c r="E1" s="119"/>
      <c r="F1" s="119"/>
      <c r="G1" s="465" t="s">
        <v>100</v>
      </c>
      <c r="H1" s="465"/>
    </row>
    <row r="2" spans="1:8" x14ac:dyDescent="0.3">
      <c r="E2" s="465" t="s">
        <v>1</v>
      </c>
      <c r="F2" s="465"/>
      <c r="G2" s="465"/>
      <c r="H2" s="465"/>
    </row>
    <row r="3" spans="1:8" x14ac:dyDescent="0.3">
      <c r="E3" s="465" t="s">
        <v>2</v>
      </c>
      <c r="F3" s="465"/>
      <c r="G3" s="465"/>
      <c r="H3" s="465"/>
    </row>
    <row r="5" spans="1:8" x14ac:dyDescent="0.3">
      <c r="A5" s="466" t="s">
        <v>3</v>
      </c>
      <c r="B5" s="466"/>
      <c r="C5" s="466"/>
      <c r="D5" s="466"/>
      <c r="E5" s="466"/>
      <c r="F5" s="466"/>
      <c r="G5" s="466"/>
      <c r="H5" s="466"/>
    </row>
    <row r="6" spans="1:8" ht="78" customHeight="1" x14ac:dyDescent="0.3">
      <c r="A6" s="516" t="s">
        <v>856</v>
      </c>
      <c r="B6" s="516"/>
      <c r="C6" s="516"/>
      <c r="D6" s="516"/>
      <c r="E6" s="516"/>
      <c r="F6" s="516"/>
      <c r="G6" s="516"/>
      <c r="H6" s="516"/>
    </row>
    <row r="7" spans="1:8" x14ac:dyDescent="0.3">
      <c r="D7" s="3"/>
      <c r="E7" s="119"/>
      <c r="F7" s="119"/>
      <c r="G7" s="119"/>
    </row>
    <row r="8" spans="1:8" ht="69" x14ac:dyDescent="0.3">
      <c r="A8" s="461" t="s">
        <v>4</v>
      </c>
      <c r="B8" s="461" t="s">
        <v>5</v>
      </c>
      <c r="C8" s="498" t="s">
        <v>560</v>
      </c>
      <c r="D8" s="461" t="s">
        <v>6</v>
      </c>
      <c r="E8" s="461" t="s">
        <v>7</v>
      </c>
      <c r="F8" s="5" t="s">
        <v>8</v>
      </c>
      <c r="G8" s="120" t="s">
        <v>9</v>
      </c>
      <c r="H8" s="120" t="s">
        <v>10</v>
      </c>
    </row>
    <row r="9" spans="1:8" x14ac:dyDescent="0.3">
      <c r="A9" s="503"/>
      <c r="B9" s="462"/>
      <c r="C9" s="498"/>
      <c r="D9" s="462"/>
      <c r="E9" s="468"/>
      <c r="F9" s="120" t="s">
        <v>12</v>
      </c>
      <c r="G9" s="31" t="s">
        <v>12</v>
      </c>
      <c r="H9" s="31" t="s">
        <v>12</v>
      </c>
    </row>
    <row r="10" spans="1:8" x14ac:dyDescent="0.3">
      <c r="A10" s="31">
        <v>1</v>
      </c>
      <c r="B10" s="31">
        <v>2</v>
      </c>
      <c r="C10" s="31">
        <v>3</v>
      </c>
      <c r="D10" s="31">
        <v>4</v>
      </c>
      <c r="E10" s="31">
        <v>5</v>
      </c>
      <c r="F10" s="31">
        <v>6</v>
      </c>
      <c r="G10" s="31">
        <v>7</v>
      </c>
      <c r="H10" s="31">
        <v>8</v>
      </c>
    </row>
    <row r="11" spans="1:8" ht="49.5" x14ac:dyDescent="0.3">
      <c r="A11" s="85">
        <v>1</v>
      </c>
      <c r="B11" s="136" t="s">
        <v>152</v>
      </c>
      <c r="C11" s="85" t="s">
        <v>857</v>
      </c>
      <c r="D11" s="85" t="s">
        <v>14</v>
      </c>
      <c r="E11" s="125">
        <v>1</v>
      </c>
      <c r="F11" s="174">
        <v>148026</v>
      </c>
      <c r="G11" s="91">
        <f>E11*F11</f>
        <v>148026</v>
      </c>
      <c r="H11" s="91">
        <f>E11*0</f>
        <v>0</v>
      </c>
    </row>
    <row r="12" spans="1:8" ht="99" x14ac:dyDescent="0.3">
      <c r="A12" s="85">
        <v>2</v>
      </c>
      <c r="B12" s="162" t="s">
        <v>858</v>
      </c>
      <c r="C12" s="132" t="s">
        <v>859</v>
      </c>
      <c r="D12" s="132" t="s">
        <v>14</v>
      </c>
      <c r="E12" s="43">
        <v>1</v>
      </c>
      <c r="F12" s="174">
        <v>97870.79</v>
      </c>
      <c r="G12" s="192">
        <f>E12*F12</f>
        <v>97870.79</v>
      </c>
      <c r="H12" s="192">
        <f>E12*0</f>
        <v>0</v>
      </c>
    </row>
    <row r="13" spans="1:8" ht="132" x14ac:dyDescent="0.3">
      <c r="A13" s="85">
        <v>3</v>
      </c>
      <c r="B13" s="162" t="s">
        <v>860</v>
      </c>
      <c r="C13" s="132" t="s">
        <v>861</v>
      </c>
      <c r="D13" s="132" t="s">
        <v>14</v>
      </c>
      <c r="E13" s="43">
        <v>1</v>
      </c>
      <c r="F13" s="174">
        <v>192510</v>
      </c>
      <c r="G13" s="192">
        <f>E13*F13</f>
        <v>192510</v>
      </c>
      <c r="H13" s="192">
        <f>E13*0</f>
        <v>0</v>
      </c>
    </row>
    <row r="14" spans="1:8" x14ac:dyDescent="0.3">
      <c r="A14" s="514" t="s">
        <v>39</v>
      </c>
      <c r="B14" s="514"/>
      <c r="C14" s="68"/>
      <c r="D14" s="68"/>
      <c r="E14" s="170">
        <f>SUM(E11:E13)</f>
        <v>3</v>
      </c>
      <c r="F14" s="175"/>
      <c r="G14" s="175">
        <f>SUM(G11:G13)</f>
        <v>438406.79</v>
      </c>
      <c r="H14" s="175">
        <f>SUM(H11:H13)</f>
        <v>0</v>
      </c>
    </row>
    <row r="15" spans="1:8" x14ac:dyDescent="0.3">
      <c r="G15" s="39"/>
      <c r="H15" s="121"/>
    </row>
  </sheetData>
  <mergeCells count="11">
    <mergeCell ref="A14:B14"/>
    <mergeCell ref="C8:C9"/>
    <mergeCell ref="D8:D9"/>
    <mergeCell ref="E8:E9"/>
    <mergeCell ref="G1:H1"/>
    <mergeCell ref="E2:H2"/>
    <mergeCell ref="E3:H3"/>
    <mergeCell ref="A5:H5"/>
    <mergeCell ref="A6:H6"/>
    <mergeCell ref="A8:A9"/>
    <mergeCell ref="B8:B9"/>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102</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870</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0" customHeight="1" x14ac:dyDescent="0.3">
      <c r="A11" s="224">
        <v>1</v>
      </c>
      <c r="B11" s="136" t="s">
        <v>158</v>
      </c>
      <c r="C11" s="224" t="s">
        <v>14</v>
      </c>
      <c r="D11" s="125">
        <v>2</v>
      </c>
      <c r="E11" s="174">
        <v>38400</v>
      </c>
      <c r="F11" s="91">
        <f>D11*E11</f>
        <v>76800</v>
      </c>
      <c r="G11" s="91">
        <f>D11*0</f>
        <v>0</v>
      </c>
    </row>
    <row r="12" spans="1:7" x14ac:dyDescent="0.3">
      <c r="F12" s="39"/>
      <c r="G12" s="121"/>
    </row>
  </sheetData>
  <mergeCells count="9">
    <mergeCell ref="F1:G1"/>
    <mergeCell ref="D2:G2"/>
    <mergeCell ref="D3:G3"/>
    <mergeCell ref="C8:C9"/>
    <mergeCell ref="D8:D9"/>
    <mergeCell ref="A5:G5"/>
    <mergeCell ref="A6:G6"/>
    <mergeCell ref="A8:A9"/>
    <mergeCell ref="B8:B9"/>
  </mergeCell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103</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872</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0" customHeight="1" x14ac:dyDescent="0.3">
      <c r="A11" s="224">
        <v>1</v>
      </c>
      <c r="B11" s="136" t="s">
        <v>158</v>
      </c>
      <c r="C11" s="224" t="s">
        <v>14</v>
      </c>
      <c r="D11" s="125">
        <v>1</v>
      </c>
      <c r="E11" s="174">
        <v>38400</v>
      </c>
      <c r="F11" s="91">
        <f>D11*E11</f>
        <v>38400</v>
      </c>
      <c r="G11" s="91">
        <f>D11*0</f>
        <v>0</v>
      </c>
    </row>
    <row r="12" spans="1:7" x14ac:dyDescent="0.3">
      <c r="F12" s="39"/>
      <c r="G12" s="121"/>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104</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874</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0" customHeight="1" x14ac:dyDescent="0.3">
      <c r="A11" s="224">
        <v>1</v>
      </c>
      <c r="B11" s="136" t="s">
        <v>158</v>
      </c>
      <c r="C11" s="224" t="s">
        <v>14</v>
      </c>
      <c r="D11" s="125">
        <v>2</v>
      </c>
      <c r="E11" s="174">
        <v>38400</v>
      </c>
      <c r="F11" s="91">
        <f>D11*E11</f>
        <v>76800</v>
      </c>
      <c r="G11" s="91">
        <f>D11*0</f>
        <v>0</v>
      </c>
    </row>
    <row r="12" spans="1:7" x14ac:dyDescent="0.3">
      <c r="F12" s="39"/>
      <c r="G12" s="121"/>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105</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4.25" customHeight="1" x14ac:dyDescent="0.3">
      <c r="A6" s="516" t="s">
        <v>876</v>
      </c>
      <c r="B6" s="516"/>
      <c r="C6" s="516"/>
      <c r="D6" s="516"/>
      <c r="E6" s="516"/>
      <c r="F6" s="516"/>
      <c r="G6" s="516"/>
    </row>
    <row r="7" spans="1:7" ht="15" x14ac:dyDescent="0.25">
      <c r="C7" s="3"/>
      <c r="D7" s="221"/>
      <c r="E7" s="221"/>
      <c r="F7" s="221"/>
    </row>
    <row r="8" spans="1:7" ht="60" customHeight="1" x14ac:dyDescent="0.3">
      <c r="A8" s="461" t="s">
        <v>4</v>
      </c>
      <c r="B8" s="461" t="s">
        <v>5</v>
      </c>
      <c r="C8" s="461" t="s">
        <v>6</v>
      </c>
      <c r="D8" s="461" t="s">
        <v>7</v>
      </c>
      <c r="E8" s="5" t="s">
        <v>8</v>
      </c>
      <c r="F8" s="223" t="s">
        <v>9</v>
      </c>
      <c r="G8" s="223" t="s">
        <v>10</v>
      </c>
    </row>
    <row r="9" spans="1:7" ht="30" customHeight="1" x14ac:dyDescent="0.3">
      <c r="A9" s="503"/>
      <c r="B9" s="462"/>
      <c r="C9" s="462"/>
      <c r="D9" s="468"/>
      <c r="E9" s="223" t="s">
        <v>12</v>
      </c>
      <c r="F9" s="31" t="s">
        <v>12</v>
      </c>
      <c r="G9" s="31" t="s">
        <v>12</v>
      </c>
    </row>
    <row r="10" spans="1:7" ht="22.5" customHeight="1" x14ac:dyDescent="0.3">
      <c r="A10" s="31">
        <v>1</v>
      </c>
      <c r="B10" s="31">
        <v>2</v>
      </c>
      <c r="C10" s="31">
        <v>3</v>
      </c>
      <c r="D10" s="31">
        <v>4</v>
      </c>
      <c r="E10" s="31">
        <v>5</v>
      </c>
      <c r="F10" s="31">
        <v>6</v>
      </c>
      <c r="G10" s="31">
        <v>7</v>
      </c>
    </row>
    <row r="11" spans="1:7" ht="44.25" customHeight="1" x14ac:dyDescent="0.3">
      <c r="A11" s="224">
        <v>1</v>
      </c>
      <c r="B11" s="136" t="s">
        <v>877</v>
      </c>
      <c r="C11" s="224" t="s">
        <v>14</v>
      </c>
      <c r="D11" s="125">
        <v>1</v>
      </c>
      <c r="E11" s="174">
        <v>167835</v>
      </c>
      <c r="F11" s="91">
        <f>D11*E11</f>
        <v>167835</v>
      </c>
      <c r="G11" s="91">
        <v>20979.360000000001</v>
      </c>
    </row>
    <row r="12" spans="1:7" x14ac:dyDescent="0.3">
      <c r="F12" s="39"/>
      <c r="G12" s="121"/>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106</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3.5" customHeight="1" x14ac:dyDescent="0.3">
      <c r="A6" s="516" t="s">
        <v>878</v>
      </c>
      <c r="B6" s="516"/>
      <c r="C6" s="516"/>
      <c r="D6" s="516"/>
      <c r="E6" s="516"/>
      <c r="F6" s="516"/>
      <c r="G6" s="516"/>
    </row>
    <row r="7" spans="1:7" ht="15" x14ac:dyDescent="0.25">
      <c r="C7" s="3"/>
      <c r="D7" s="221"/>
      <c r="E7" s="221"/>
      <c r="F7" s="221"/>
    </row>
    <row r="8" spans="1:7" ht="65.25" customHeight="1" x14ac:dyDescent="0.3">
      <c r="A8" s="461" t="s">
        <v>4</v>
      </c>
      <c r="B8" s="461" t="s">
        <v>5</v>
      </c>
      <c r="C8" s="461" t="s">
        <v>6</v>
      </c>
      <c r="D8" s="461" t="s">
        <v>7</v>
      </c>
      <c r="E8" s="5" t="s">
        <v>8</v>
      </c>
      <c r="F8" s="223" t="s">
        <v>9</v>
      </c>
      <c r="G8" s="223" t="s">
        <v>10</v>
      </c>
    </row>
    <row r="9" spans="1:7" ht="31.5" customHeight="1" x14ac:dyDescent="0.3">
      <c r="A9" s="503"/>
      <c r="B9" s="462"/>
      <c r="C9" s="462"/>
      <c r="D9" s="468"/>
      <c r="E9" s="223" t="s">
        <v>12</v>
      </c>
      <c r="F9" s="31" t="s">
        <v>12</v>
      </c>
      <c r="G9" s="31" t="s">
        <v>12</v>
      </c>
    </row>
    <row r="10" spans="1:7" ht="24.75" customHeight="1" x14ac:dyDescent="0.3">
      <c r="A10" s="31">
        <v>1</v>
      </c>
      <c r="B10" s="31">
        <v>2</v>
      </c>
      <c r="C10" s="31">
        <v>3</v>
      </c>
      <c r="D10" s="31">
        <v>4</v>
      </c>
      <c r="E10" s="31">
        <v>5</v>
      </c>
      <c r="F10" s="31">
        <v>6</v>
      </c>
      <c r="G10" s="31">
        <v>7</v>
      </c>
    </row>
    <row r="11" spans="1:7" ht="39" customHeight="1" x14ac:dyDescent="0.3">
      <c r="A11" s="224">
        <v>1</v>
      </c>
      <c r="B11" s="136" t="s">
        <v>158</v>
      </c>
      <c r="C11" s="224" t="s">
        <v>14</v>
      </c>
      <c r="D11" s="125">
        <v>2</v>
      </c>
      <c r="E11" s="174">
        <v>38400</v>
      </c>
      <c r="F11" s="91">
        <f>D11*E11</f>
        <v>76800</v>
      </c>
      <c r="G11" s="91">
        <v>0</v>
      </c>
    </row>
    <row r="12" spans="1:7" x14ac:dyDescent="0.3">
      <c r="F12" s="39"/>
      <c r="G12" s="121"/>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150</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884</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46.5" customHeight="1" x14ac:dyDescent="0.3">
      <c r="A11" s="224">
        <v>1</v>
      </c>
      <c r="B11" s="136" t="s">
        <v>881</v>
      </c>
      <c r="C11" s="224" t="s">
        <v>14</v>
      </c>
      <c r="D11" s="125">
        <v>2</v>
      </c>
      <c r="E11" s="174">
        <v>62310</v>
      </c>
      <c r="F11" s="91">
        <f>D11*E11</f>
        <v>124620</v>
      </c>
      <c r="G11" s="91">
        <v>3115.67</v>
      </c>
    </row>
    <row r="12" spans="1:7" x14ac:dyDescent="0.3">
      <c r="F12" s="39"/>
      <c r="G12" s="121"/>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871</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883</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46.5" customHeight="1" x14ac:dyDescent="0.3">
      <c r="A11" s="224">
        <v>1</v>
      </c>
      <c r="B11" s="136" t="s">
        <v>881</v>
      </c>
      <c r="C11" s="224" t="s">
        <v>14</v>
      </c>
      <c r="D11" s="125">
        <v>2</v>
      </c>
      <c r="E11" s="174">
        <v>62310</v>
      </c>
      <c r="F11" s="91">
        <f>D11*E11</f>
        <v>124620</v>
      </c>
      <c r="G11" s="91">
        <v>3115.67</v>
      </c>
    </row>
    <row r="12" spans="1:7" x14ac:dyDescent="0.3">
      <c r="F12" s="39"/>
      <c r="G12" s="121"/>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873</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886</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46.5" customHeight="1" x14ac:dyDescent="0.3">
      <c r="A11" s="224">
        <v>1</v>
      </c>
      <c r="B11" s="136" t="s">
        <v>887</v>
      </c>
      <c r="C11" s="224" t="s">
        <v>14</v>
      </c>
      <c r="D11" s="125">
        <v>1</v>
      </c>
      <c r="E11" s="174">
        <v>167835</v>
      </c>
      <c r="F11" s="91">
        <f>D11*E11</f>
        <v>167835</v>
      </c>
      <c r="G11" s="91">
        <v>20979.360000000001</v>
      </c>
    </row>
    <row r="12" spans="1:7" x14ac:dyDescent="0.3">
      <c r="F12" s="39"/>
      <c r="G12" s="121"/>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875</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889</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46.5" customHeight="1" x14ac:dyDescent="0.3">
      <c r="A11" s="224">
        <v>1</v>
      </c>
      <c r="B11" s="136" t="s">
        <v>887</v>
      </c>
      <c r="C11" s="224" t="s">
        <v>14</v>
      </c>
      <c r="D11" s="125">
        <v>2</v>
      </c>
      <c r="E11" s="174">
        <v>167835</v>
      </c>
      <c r="F11" s="91">
        <f>D11*E11</f>
        <v>335670</v>
      </c>
      <c r="G11" s="91">
        <v>41958.720000000001</v>
      </c>
    </row>
    <row r="12" spans="1:7" ht="46.5" customHeight="1" x14ac:dyDescent="0.3">
      <c r="A12" s="224">
        <v>2</v>
      </c>
      <c r="B12" s="225" t="s">
        <v>890</v>
      </c>
      <c r="C12" s="224" t="s">
        <v>14</v>
      </c>
      <c r="D12" s="125">
        <v>1</v>
      </c>
      <c r="E12" s="174">
        <v>97000</v>
      </c>
      <c r="F12" s="91">
        <f t="shared" ref="F12:F13" si="0">D12*E12</f>
        <v>97000</v>
      </c>
      <c r="G12" s="174">
        <v>0</v>
      </c>
    </row>
    <row r="13" spans="1:7" ht="25.5" customHeight="1" x14ac:dyDescent="0.3">
      <c r="A13" s="224">
        <v>3</v>
      </c>
      <c r="B13" s="130" t="s">
        <v>282</v>
      </c>
      <c r="C13" s="224" t="s">
        <v>14</v>
      </c>
      <c r="D13" s="125">
        <v>1</v>
      </c>
      <c r="E13" s="174">
        <v>182000</v>
      </c>
      <c r="F13" s="91">
        <f t="shared" si="0"/>
        <v>182000</v>
      </c>
      <c r="G13" s="174">
        <v>0</v>
      </c>
    </row>
    <row r="14" spans="1:7" s="69" customFormat="1" ht="27" customHeight="1" x14ac:dyDescent="0.25">
      <c r="A14" s="68"/>
      <c r="B14" s="26" t="s">
        <v>39</v>
      </c>
      <c r="C14" s="68"/>
      <c r="D14" s="125">
        <f>SUM(D11:D13)</f>
        <v>4</v>
      </c>
      <c r="E14" s="174"/>
      <c r="F14" s="178">
        <f>SUM(F11:F13)</f>
        <v>614670</v>
      </c>
      <c r="G14" s="178">
        <f>SUM(G11:G13)</f>
        <v>41958.720000000001</v>
      </c>
    </row>
  </sheetData>
  <mergeCells count="9">
    <mergeCell ref="A8:A9"/>
    <mergeCell ref="B8:B9"/>
    <mergeCell ref="C8:C9"/>
    <mergeCell ref="D8:D9"/>
    <mergeCell ref="F1:G1"/>
    <mergeCell ref="D2:G2"/>
    <mergeCell ref="D3:G3"/>
    <mergeCell ref="A5:G5"/>
    <mergeCell ref="A6:G6"/>
  </mergeCells>
  <pageMargins left="0.7" right="0.7" top="0.75" bottom="0.75" header="0.3" footer="0.3"/>
  <pageSetup paperSize="9" orientation="portrait" verticalDpi="0"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879</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892</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2.25" customHeight="1" x14ac:dyDescent="0.3">
      <c r="A11" s="224">
        <v>1</v>
      </c>
      <c r="B11" s="136" t="s">
        <v>158</v>
      </c>
      <c r="C11" s="224" t="s">
        <v>14</v>
      </c>
      <c r="D11" s="125">
        <v>3</v>
      </c>
      <c r="E11" s="174">
        <v>38400</v>
      </c>
      <c r="F11" s="91">
        <f>D11*E11</f>
        <v>115200</v>
      </c>
      <c r="G11" s="91">
        <v>0</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880</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894</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2.25" customHeight="1" x14ac:dyDescent="0.3">
      <c r="A11" s="224">
        <v>1</v>
      </c>
      <c r="B11" s="136" t="s">
        <v>158</v>
      </c>
      <c r="C11" s="224" t="s">
        <v>14</v>
      </c>
      <c r="D11" s="125">
        <v>1</v>
      </c>
      <c r="E11" s="174">
        <v>38400</v>
      </c>
      <c r="F11" s="91">
        <f>D11*E11</f>
        <v>38400</v>
      </c>
      <c r="G11" s="91">
        <v>0</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882</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896</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1.5" customHeight="1" x14ac:dyDescent="0.3">
      <c r="A11" s="224">
        <v>1</v>
      </c>
      <c r="B11" s="136" t="s">
        <v>158</v>
      </c>
      <c r="C11" s="224" t="s">
        <v>14</v>
      </c>
      <c r="D11" s="125">
        <v>1</v>
      </c>
      <c r="E11" s="174">
        <v>38400</v>
      </c>
      <c r="F11" s="91">
        <f>D11*E11</f>
        <v>38400</v>
      </c>
      <c r="G11" s="91">
        <v>0</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885</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898</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1.5" customHeight="1" x14ac:dyDescent="0.3">
      <c r="A11" s="224">
        <v>1</v>
      </c>
      <c r="B11" s="136" t="s">
        <v>158</v>
      </c>
      <c r="C11" s="224" t="s">
        <v>14</v>
      </c>
      <c r="D11" s="125">
        <v>1</v>
      </c>
      <c r="E11" s="174">
        <v>38400</v>
      </c>
      <c r="F11" s="91">
        <f>D11*E11</f>
        <v>38400</v>
      </c>
      <c r="G11" s="91">
        <v>0</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888</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900</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45" customHeight="1" x14ac:dyDescent="0.3">
      <c r="A11" s="224">
        <v>1</v>
      </c>
      <c r="B11" s="136" t="s">
        <v>881</v>
      </c>
      <c r="C11" s="224" t="s">
        <v>14</v>
      </c>
      <c r="D11" s="125">
        <v>2</v>
      </c>
      <c r="E11" s="174">
        <v>62310</v>
      </c>
      <c r="F11" s="91">
        <f>D11*E11</f>
        <v>124620</v>
      </c>
      <c r="G11" s="91">
        <v>3115.67</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891</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902</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0" customHeight="1" x14ac:dyDescent="0.3">
      <c r="A11" s="224">
        <v>1</v>
      </c>
      <c r="B11" s="136" t="s">
        <v>158</v>
      </c>
      <c r="C11" s="224" t="s">
        <v>14</v>
      </c>
      <c r="D11" s="125">
        <v>1</v>
      </c>
      <c r="E11" s="174">
        <v>38400</v>
      </c>
      <c r="F11" s="91">
        <f>D11*E11</f>
        <v>38400</v>
      </c>
      <c r="G11" s="91">
        <v>0</v>
      </c>
    </row>
    <row r="12" spans="1:7" s="226" customFormat="1" ht="42.75" customHeight="1" x14ac:dyDescent="0.3">
      <c r="A12" s="90">
        <v>2</v>
      </c>
      <c r="B12" s="142" t="s">
        <v>903</v>
      </c>
      <c r="C12" s="90" t="s">
        <v>14</v>
      </c>
      <c r="D12" s="228">
        <v>1</v>
      </c>
      <c r="E12" s="174">
        <v>48760</v>
      </c>
      <c r="F12" s="91">
        <f>D12*E12</f>
        <v>48760</v>
      </c>
      <c r="G12" s="174">
        <v>0</v>
      </c>
    </row>
    <row r="13" spans="1:7" s="227" customFormat="1" ht="27.75" customHeight="1" x14ac:dyDescent="0.3">
      <c r="A13" s="209"/>
      <c r="B13" s="208" t="s">
        <v>39</v>
      </c>
      <c r="C13" s="209"/>
      <c r="D13" s="229">
        <f>SUM(D11:D12)</f>
        <v>2</v>
      </c>
      <c r="E13" s="178"/>
      <c r="F13" s="178">
        <f>SUM(F11:F12)</f>
        <v>87160</v>
      </c>
      <c r="G13" s="178">
        <f>SUM(G11:G12)</f>
        <v>0</v>
      </c>
    </row>
  </sheetData>
  <mergeCells count="9">
    <mergeCell ref="A8:A9"/>
    <mergeCell ref="B8:B9"/>
    <mergeCell ref="C8:C9"/>
    <mergeCell ref="D8:D9"/>
    <mergeCell ref="F1:G1"/>
    <mergeCell ref="D2:G2"/>
    <mergeCell ref="D3:G3"/>
    <mergeCell ref="A5:G5"/>
    <mergeCell ref="A6:G6"/>
  </mergeCells>
  <pageMargins left="0.7" right="0.7" top="0.75" bottom="0.75" header="0.3" footer="0.3"/>
  <pageSetup paperSize="9" orientation="portrait" verticalDpi="0"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topLeftCell="A7"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893</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905</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0" customHeight="1" x14ac:dyDescent="0.3">
      <c r="A11" s="224">
        <v>1</v>
      </c>
      <c r="B11" s="136" t="s">
        <v>887</v>
      </c>
      <c r="C11" s="224" t="s">
        <v>14</v>
      </c>
      <c r="D11" s="125">
        <v>1</v>
      </c>
      <c r="E11" s="174">
        <v>167835</v>
      </c>
      <c r="F11" s="91">
        <f>D11*E11</f>
        <v>167835</v>
      </c>
      <c r="G11" s="91">
        <v>20979.360000000001</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895</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907</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6.75" customHeight="1" x14ac:dyDescent="0.3">
      <c r="A11" s="224">
        <v>1</v>
      </c>
      <c r="B11" s="136" t="s">
        <v>887</v>
      </c>
      <c r="C11" s="224" t="s">
        <v>14</v>
      </c>
      <c r="D11" s="125">
        <v>1</v>
      </c>
      <c r="E11" s="174">
        <v>167835</v>
      </c>
      <c r="F11" s="91">
        <f>D11*E11</f>
        <v>167835</v>
      </c>
      <c r="G11" s="91">
        <v>20979.360000000001</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897</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909</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6.75" customHeight="1" x14ac:dyDescent="0.3">
      <c r="A11" s="224">
        <v>1</v>
      </c>
      <c r="B11" s="136" t="s">
        <v>881</v>
      </c>
      <c r="C11" s="224" t="s">
        <v>14</v>
      </c>
      <c r="D11" s="125">
        <v>1</v>
      </c>
      <c r="E11" s="174">
        <v>95475</v>
      </c>
      <c r="F11" s="91">
        <f>D11*E11</f>
        <v>95475</v>
      </c>
      <c r="G11" s="91">
        <v>20979.360000000001</v>
      </c>
    </row>
    <row r="12" spans="1:7" s="122" customFormat="1" ht="42" customHeight="1" x14ac:dyDescent="0.25">
      <c r="A12" s="72">
        <v>2</v>
      </c>
      <c r="B12" s="225" t="s">
        <v>890</v>
      </c>
      <c r="C12" s="72" t="s">
        <v>14</v>
      </c>
      <c r="D12" s="72">
        <v>1</v>
      </c>
      <c r="E12" s="174">
        <v>53000</v>
      </c>
      <c r="F12" s="91">
        <f>D12*E12</f>
        <v>53000</v>
      </c>
      <c r="G12" s="174">
        <v>0</v>
      </c>
    </row>
    <row r="13" spans="1:7" s="69" customFormat="1" ht="27" customHeight="1" x14ac:dyDescent="0.25">
      <c r="A13" s="68"/>
      <c r="B13" s="26" t="s">
        <v>39</v>
      </c>
      <c r="C13" s="68"/>
      <c r="D13" s="222">
        <f>SUM(D11:D12)</f>
        <v>2</v>
      </c>
      <c r="E13" s="178"/>
      <c r="F13" s="178">
        <f>SUM(F11:F12)</f>
        <v>148475</v>
      </c>
      <c r="G13" s="178">
        <f>SUM(G11:G12)</f>
        <v>20979.360000000001</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899</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911</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6.75" customHeight="1" x14ac:dyDescent="0.3">
      <c r="A11" s="224">
        <v>1</v>
      </c>
      <c r="B11" s="136" t="s">
        <v>158</v>
      </c>
      <c r="C11" s="224" t="s">
        <v>14</v>
      </c>
      <c r="D11" s="125">
        <v>1</v>
      </c>
      <c r="E11" s="174">
        <v>38400</v>
      </c>
      <c r="F11" s="91">
        <f>D11*E11</f>
        <v>38400</v>
      </c>
      <c r="G11" s="91">
        <v>0</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2.140625" style="1" customWidth="1"/>
    <col min="3" max="3" width="11.42578125" style="1" customWidth="1"/>
    <col min="4" max="4" width="10.7109375" style="1" customWidth="1"/>
    <col min="5" max="7" width="17.140625" style="1" customWidth="1"/>
    <col min="8" max="16384" width="9.140625" style="1"/>
  </cols>
  <sheetData>
    <row r="1" spans="1:7" x14ac:dyDescent="0.3">
      <c r="D1" s="221"/>
      <c r="E1" s="221"/>
      <c r="F1" s="465" t="s">
        <v>901</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98" customHeight="1" x14ac:dyDescent="0.3">
      <c r="A6" s="516" t="s">
        <v>913</v>
      </c>
      <c r="B6" s="516"/>
      <c r="C6" s="516"/>
      <c r="D6" s="516"/>
      <c r="E6" s="516"/>
      <c r="F6" s="516"/>
      <c r="G6" s="516"/>
    </row>
    <row r="7" spans="1:7" x14ac:dyDescent="0.3">
      <c r="C7" s="3"/>
      <c r="D7" s="221"/>
      <c r="E7" s="221"/>
      <c r="F7" s="221"/>
    </row>
    <row r="8" spans="1:7" ht="69" x14ac:dyDescent="0.3">
      <c r="A8" s="461" t="s">
        <v>4</v>
      </c>
      <c r="B8" s="461" t="s">
        <v>5</v>
      </c>
      <c r="C8" s="461" t="s">
        <v>6</v>
      </c>
      <c r="D8" s="461" t="s">
        <v>7</v>
      </c>
      <c r="E8" s="5" t="s">
        <v>8</v>
      </c>
      <c r="F8" s="223" t="s">
        <v>9</v>
      </c>
      <c r="G8" s="223" t="s">
        <v>10</v>
      </c>
    </row>
    <row r="9" spans="1:7" ht="25.5" customHeight="1" x14ac:dyDescent="0.3">
      <c r="A9" s="503"/>
      <c r="B9" s="462"/>
      <c r="C9" s="462"/>
      <c r="D9" s="468"/>
      <c r="E9" s="223" t="s">
        <v>12</v>
      </c>
      <c r="F9" s="31" t="s">
        <v>12</v>
      </c>
      <c r="G9" s="31" t="s">
        <v>12</v>
      </c>
    </row>
    <row r="10" spans="1:7" ht="27.75" customHeight="1" x14ac:dyDescent="0.3">
      <c r="A10" s="31">
        <v>1</v>
      </c>
      <c r="B10" s="31">
        <v>2</v>
      </c>
      <c r="C10" s="31">
        <v>3</v>
      </c>
      <c r="D10" s="31">
        <v>4</v>
      </c>
      <c r="E10" s="31">
        <v>5</v>
      </c>
      <c r="F10" s="31">
        <v>6</v>
      </c>
      <c r="G10" s="31">
        <v>7</v>
      </c>
    </row>
    <row r="11" spans="1:7" ht="36.75" customHeight="1" x14ac:dyDescent="0.3">
      <c r="A11" s="224">
        <v>1</v>
      </c>
      <c r="B11" s="136" t="s">
        <v>881</v>
      </c>
      <c r="C11" s="224" t="s">
        <v>14</v>
      </c>
      <c r="D11" s="125">
        <v>1</v>
      </c>
      <c r="E11" s="174">
        <v>95475</v>
      </c>
      <c r="F11" s="91">
        <f>D11*E11</f>
        <v>95475</v>
      </c>
      <c r="G11" s="91">
        <v>31029.33</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
  <sheetViews>
    <sheetView workbookViewId="0">
      <selection activeCell="M1" sqref="M1:N1"/>
    </sheetView>
  </sheetViews>
  <sheetFormatPr defaultRowHeight="15" x14ac:dyDescent="0.25"/>
  <cols>
    <col min="1" max="1" width="5.28515625" customWidth="1"/>
    <col min="2" max="2" width="12" customWidth="1"/>
    <col min="3" max="3" width="17.5703125" customWidth="1"/>
    <col min="6" max="6" width="14.5703125" customWidth="1"/>
    <col min="7" max="7" width="12.28515625" customWidth="1"/>
    <col min="8" max="8" width="13.7109375" customWidth="1"/>
    <col min="9" max="9" width="12.5703125" customWidth="1"/>
    <col min="10" max="10" width="14" customWidth="1"/>
    <col min="11" max="11" width="20.85546875" customWidth="1"/>
    <col min="12" max="12" width="13.42578125" customWidth="1"/>
    <col min="13" max="13" width="11.140625" customWidth="1"/>
    <col min="14" max="14" width="12.42578125" customWidth="1"/>
  </cols>
  <sheetData>
    <row r="1" spans="1:14" ht="17.25" x14ac:dyDescent="0.3">
      <c r="A1" s="1"/>
      <c r="B1" s="1"/>
      <c r="C1" s="1"/>
      <c r="D1" s="1"/>
      <c r="E1" s="1"/>
      <c r="F1" s="1"/>
      <c r="G1" s="1"/>
      <c r="H1" s="1"/>
      <c r="I1" s="1"/>
      <c r="J1" s="1"/>
      <c r="K1" s="262"/>
      <c r="L1" s="262"/>
      <c r="M1" s="465" t="s">
        <v>904</v>
      </c>
      <c r="N1" s="465"/>
    </row>
    <row r="2" spans="1:14" ht="17.25" x14ac:dyDescent="0.3">
      <c r="A2" s="1"/>
      <c r="B2" s="1"/>
      <c r="C2" s="1"/>
      <c r="D2" s="1"/>
      <c r="E2" s="1"/>
      <c r="F2" s="1"/>
      <c r="G2" s="1"/>
      <c r="H2" s="1"/>
      <c r="I2" s="1"/>
      <c r="J2" s="1"/>
      <c r="K2" s="465" t="s">
        <v>1</v>
      </c>
      <c r="L2" s="465"/>
      <c r="M2" s="465"/>
      <c r="N2" s="465"/>
    </row>
    <row r="3" spans="1:14" ht="17.25" x14ac:dyDescent="0.3">
      <c r="A3" s="1"/>
      <c r="B3" s="1"/>
      <c r="C3" s="1"/>
      <c r="D3" s="1"/>
      <c r="E3" s="1"/>
      <c r="F3" s="1"/>
      <c r="G3" s="1"/>
      <c r="H3" s="1"/>
      <c r="I3" s="1"/>
      <c r="J3" s="1"/>
      <c r="K3" s="465" t="s">
        <v>2</v>
      </c>
      <c r="L3" s="465"/>
      <c r="M3" s="465"/>
      <c r="N3" s="465"/>
    </row>
    <row r="4" spans="1:14" ht="17.25" x14ac:dyDescent="0.3">
      <c r="A4" s="1"/>
      <c r="B4" s="1"/>
      <c r="C4" s="1"/>
      <c r="D4" s="1"/>
      <c r="E4" s="1"/>
      <c r="F4" s="1"/>
      <c r="G4" s="1"/>
      <c r="H4" s="1"/>
      <c r="I4" s="1"/>
      <c r="J4" s="1"/>
      <c r="K4" s="1"/>
      <c r="L4" s="1"/>
      <c r="M4" s="1"/>
      <c r="N4" s="1"/>
    </row>
    <row r="5" spans="1:14" ht="16.5" x14ac:dyDescent="0.3">
      <c r="A5" s="489" t="s">
        <v>3</v>
      </c>
      <c r="B5" s="489"/>
      <c r="C5" s="489"/>
      <c r="D5" s="489"/>
      <c r="E5" s="489"/>
      <c r="F5" s="489"/>
      <c r="G5" s="489"/>
      <c r="H5" s="489"/>
      <c r="I5" s="489"/>
      <c r="J5" s="489"/>
      <c r="K5" s="489"/>
      <c r="L5" s="489"/>
      <c r="M5" s="489"/>
      <c r="N5" s="489"/>
    </row>
    <row r="6" spans="1:14" ht="115.5" customHeight="1" x14ac:dyDescent="0.25">
      <c r="A6" s="563" t="s">
        <v>1124</v>
      </c>
      <c r="B6" s="563"/>
      <c r="C6" s="563"/>
      <c r="D6" s="563"/>
      <c r="E6" s="563"/>
      <c r="F6" s="563"/>
      <c r="G6" s="563"/>
      <c r="H6" s="563"/>
      <c r="I6" s="563"/>
      <c r="J6" s="563"/>
      <c r="K6" s="563"/>
      <c r="L6" s="563"/>
      <c r="M6" s="563"/>
      <c r="N6" s="563"/>
    </row>
    <row r="7" spans="1:14" ht="16.5" x14ac:dyDescent="0.3">
      <c r="A7" s="226"/>
      <c r="B7" s="226"/>
      <c r="C7" s="226"/>
      <c r="D7" s="226"/>
      <c r="E7" s="226"/>
      <c r="F7" s="226"/>
      <c r="G7" s="226"/>
      <c r="H7" s="226"/>
      <c r="I7" s="226"/>
      <c r="J7" s="226"/>
      <c r="K7" s="268"/>
      <c r="L7" s="268"/>
      <c r="M7" s="268"/>
      <c r="N7" s="226"/>
    </row>
    <row r="8" spans="1:14" x14ac:dyDescent="0.25">
      <c r="A8" s="560" t="s">
        <v>1134</v>
      </c>
      <c r="B8" s="560" t="s">
        <v>1125</v>
      </c>
      <c r="C8" s="560" t="s">
        <v>1129</v>
      </c>
      <c r="D8" s="560" t="s">
        <v>1136</v>
      </c>
      <c r="E8" s="560" t="s">
        <v>1130</v>
      </c>
      <c r="F8" s="560" t="s">
        <v>1199</v>
      </c>
      <c r="G8" s="560" t="s">
        <v>1147</v>
      </c>
      <c r="H8" s="560" t="s">
        <v>1131</v>
      </c>
      <c r="I8" s="560" t="s">
        <v>1210</v>
      </c>
      <c r="J8" s="560" t="s">
        <v>1133</v>
      </c>
      <c r="K8" s="560" t="s">
        <v>1126</v>
      </c>
      <c r="L8" s="560" t="s">
        <v>1135</v>
      </c>
      <c r="M8" s="560" t="s">
        <v>1127</v>
      </c>
      <c r="N8" s="560" t="s">
        <v>1128</v>
      </c>
    </row>
    <row r="9" spans="1:14" x14ac:dyDescent="0.25">
      <c r="A9" s="561"/>
      <c r="B9" s="561"/>
      <c r="C9" s="561"/>
      <c r="D9" s="561"/>
      <c r="E9" s="561"/>
      <c r="F9" s="561"/>
      <c r="G9" s="561"/>
      <c r="H9" s="561"/>
      <c r="I9" s="561"/>
      <c r="J9" s="561"/>
      <c r="K9" s="561"/>
      <c r="L9" s="561"/>
      <c r="M9" s="561"/>
      <c r="N9" s="561"/>
    </row>
    <row r="10" spans="1:14" ht="75" customHeight="1" x14ac:dyDescent="0.25">
      <c r="A10" s="562"/>
      <c r="B10" s="562"/>
      <c r="C10" s="562"/>
      <c r="D10" s="562"/>
      <c r="E10" s="562"/>
      <c r="F10" s="562"/>
      <c r="G10" s="562"/>
      <c r="H10" s="562"/>
      <c r="I10" s="562"/>
      <c r="J10" s="562"/>
      <c r="K10" s="562"/>
      <c r="L10" s="562"/>
      <c r="M10" s="562"/>
      <c r="N10" s="562"/>
    </row>
    <row r="11" spans="1:14" ht="24" customHeight="1" x14ac:dyDescent="0.25">
      <c r="A11" s="92">
        <v>1</v>
      </c>
      <c r="B11" s="269">
        <v>2</v>
      </c>
      <c r="C11" s="269">
        <v>3</v>
      </c>
      <c r="D11" s="92">
        <v>4</v>
      </c>
      <c r="E11" s="269">
        <v>5</v>
      </c>
      <c r="F11" s="269">
        <v>6</v>
      </c>
      <c r="G11" s="92">
        <v>7</v>
      </c>
      <c r="H11" s="269">
        <v>8</v>
      </c>
      <c r="I11" s="269">
        <v>9</v>
      </c>
      <c r="J11" s="92">
        <v>10</v>
      </c>
      <c r="K11" s="269">
        <v>11</v>
      </c>
      <c r="L11" s="269">
        <v>12</v>
      </c>
      <c r="M11" s="92">
        <v>13</v>
      </c>
      <c r="N11" s="269">
        <v>14</v>
      </c>
    </row>
    <row r="12" spans="1:14" ht="21.75" customHeight="1" x14ac:dyDescent="0.25">
      <c r="A12" s="543"/>
      <c r="B12" s="531" t="s">
        <v>1190</v>
      </c>
      <c r="C12" s="295" t="s">
        <v>1137</v>
      </c>
      <c r="D12" s="297">
        <v>1961</v>
      </c>
      <c r="E12" s="297">
        <v>1961</v>
      </c>
      <c r="F12" s="297" t="s">
        <v>1200</v>
      </c>
      <c r="G12" s="280">
        <v>220</v>
      </c>
      <c r="H12" s="307">
        <v>44</v>
      </c>
      <c r="I12" s="280">
        <v>176</v>
      </c>
      <c r="J12" s="280">
        <v>176</v>
      </c>
      <c r="K12" s="297" t="s">
        <v>1170</v>
      </c>
      <c r="L12" s="564"/>
      <c r="M12" s="566"/>
      <c r="N12" s="306"/>
    </row>
    <row r="13" spans="1:14" ht="33" x14ac:dyDescent="0.25">
      <c r="A13" s="543"/>
      <c r="B13" s="548"/>
      <c r="C13" s="292" t="s">
        <v>1138</v>
      </c>
      <c r="D13" s="296">
        <v>1961</v>
      </c>
      <c r="E13" s="296">
        <v>1961</v>
      </c>
      <c r="F13" s="297" t="s">
        <v>1200</v>
      </c>
      <c r="G13" s="280">
        <v>70</v>
      </c>
      <c r="H13" s="296">
        <v>17.5</v>
      </c>
      <c r="I13" s="280">
        <v>52.5</v>
      </c>
      <c r="J13" s="279">
        <v>52.5</v>
      </c>
      <c r="K13" s="297" t="s">
        <v>1171</v>
      </c>
      <c r="L13" s="564"/>
      <c r="M13" s="566"/>
      <c r="N13" s="283"/>
    </row>
    <row r="14" spans="1:14" ht="21.75" customHeight="1" x14ac:dyDescent="0.3">
      <c r="A14" s="543"/>
      <c r="B14" s="548"/>
      <c r="C14" s="286" t="s">
        <v>1139</v>
      </c>
      <c r="D14" s="296">
        <v>1961</v>
      </c>
      <c r="E14" s="296">
        <v>1961</v>
      </c>
      <c r="F14" s="297" t="s">
        <v>1200</v>
      </c>
      <c r="G14" s="280">
        <v>130</v>
      </c>
      <c r="H14" s="308">
        <v>26</v>
      </c>
      <c r="I14" s="280">
        <v>104</v>
      </c>
      <c r="J14" s="280">
        <v>104</v>
      </c>
      <c r="K14" s="297" t="s">
        <v>1172</v>
      </c>
      <c r="L14" s="564"/>
      <c r="M14" s="566"/>
      <c r="N14" s="309"/>
    </row>
    <row r="15" spans="1:14" ht="37.5" customHeight="1" x14ac:dyDescent="0.3">
      <c r="A15" s="543"/>
      <c r="B15" s="548"/>
      <c r="C15" s="286" t="s">
        <v>1140</v>
      </c>
      <c r="D15" s="296">
        <v>1961</v>
      </c>
      <c r="E15" s="296">
        <v>1961</v>
      </c>
      <c r="F15" s="283" t="s">
        <v>1201</v>
      </c>
      <c r="G15" s="280">
        <v>6</v>
      </c>
      <c r="H15" s="309">
        <v>1.5</v>
      </c>
      <c r="I15" s="280">
        <v>4.5</v>
      </c>
      <c r="J15" s="280">
        <v>4.5</v>
      </c>
      <c r="K15" s="297" t="s">
        <v>1173</v>
      </c>
      <c r="L15" s="564"/>
      <c r="M15" s="566"/>
      <c r="N15" s="309"/>
    </row>
    <row r="16" spans="1:14" ht="33" x14ac:dyDescent="0.3">
      <c r="A16" s="543"/>
      <c r="B16" s="548"/>
      <c r="C16" s="286" t="s">
        <v>1141</v>
      </c>
      <c r="D16" s="296">
        <v>1961</v>
      </c>
      <c r="E16" s="296">
        <v>1961</v>
      </c>
      <c r="F16" s="283" t="s">
        <v>1202</v>
      </c>
      <c r="G16" s="280">
        <v>180</v>
      </c>
      <c r="H16" s="308">
        <v>36</v>
      </c>
      <c r="I16" s="280">
        <v>144</v>
      </c>
      <c r="J16" s="280">
        <v>144</v>
      </c>
      <c r="K16" s="297" t="s">
        <v>1174</v>
      </c>
      <c r="L16" s="564"/>
      <c r="M16" s="566"/>
      <c r="N16" s="309"/>
    </row>
    <row r="17" spans="1:14" ht="21.75" customHeight="1" x14ac:dyDescent="0.3">
      <c r="A17" s="544"/>
      <c r="B17" s="532"/>
      <c r="C17" s="286" t="s">
        <v>1146</v>
      </c>
      <c r="D17" s="296">
        <v>1961</v>
      </c>
      <c r="E17" s="296">
        <v>1961</v>
      </c>
      <c r="F17" s="283" t="s">
        <v>1203</v>
      </c>
      <c r="G17" s="280">
        <v>7</v>
      </c>
      <c r="H17" s="309">
        <v>2.8</v>
      </c>
      <c r="I17" s="280">
        <v>4.2</v>
      </c>
      <c r="J17" s="280">
        <v>4.2</v>
      </c>
      <c r="K17" s="297" t="s">
        <v>1175</v>
      </c>
      <c r="L17" s="565"/>
      <c r="M17" s="528"/>
      <c r="N17" s="309"/>
    </row>
    <row r="18" spans="1:14" s="272" customFormat="1" ht="27" customHeight="1" x14ac:dyDescent="0.25">
      <c r="A18" s="271"/>
      <c r="B18" s="559" t="s">
        <v>39</v>
      </c>
      <c r="C18" s="559"/>
      <c r="D18" s="310"/>
      <c r="E18" s="310"/>
      <c r="F18" s="299"/>
      <c r="G18" s="284">
        <f>SUM(G12:G17)</f>
        <v>613</v>
      </c>
      <c r="H18" s="284">
        <f>SUM(H12:H17)</f>
        <v>127.8</v>
      </c>
      <c r="I18" s="284">
        <f>SUM(I12:I17)</f>
        <v>485.2</v>
      </c>
      <c r="J18" s="284">
        <f>SUM(J12:J17)</f>
        <v>485.2</v>
      </c>
      <c r="K18" s="284"/>
      <c r="L18" s="284"/>
      <c r="M18" s="284"/>
      <c r="N18" s="284"/>
    </row>
  </sheetData>
  <mergeCells count="24">
    <mergeCell ref="L12:L17"/>
    <mergeCell ref="L8:L10"/>
    <mergeCell ref="M8:M10"/>
    <mergeCell ref="N8:N10"/>
    <mergeCell ref="H8:H10"/>
    <mergeCell ref="I8:I10"/>
    <mergeCell ref="J8:J10"/>
    <mergeCell ref="K8:K10"/>
    <mergeCell ref="M12:M17"/>
    <mergeCell ref="M1:N1"/>
    <mergeCell ref="K2:N2"/>
    <mergeCell ref="K3:N3"/>
    <mergeCell ref="A5:N5"/>
    <mergeCell ref="A6:N6"/>
    <mergeCell ref="B18:C18"/>
    <mergeCell ref="A12:A17"/>
    <mergeCell ref="F8:F10"/>
    <mergeCell ref="G8:G10"/>
    <mergeCell ref="A8:A10"/>
    <mergeCell ref="B8:B10"/>
    <mergeCell ref="C8:C10"/>
    <mergeCell ref="D8:D10"/>
    <mergeCell ref="E8:E10"/>
    <mergeCell ref="B12:B17"/>
  </mergeCells>
  <pageMargins left="0" right="0" top="0" bottom="0" header="0" footer="0"/>
  <pageSetup paperSize="9" scale="85" orientation="landscape" verticalDpi="0"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9"/>
  <sheetViews>
    <sheetView workbookViewId="0">
      <selection activeCell="M1" sqref="M1:N1"/>
    </sheetView>
  </sheetViews>
  <sheetFormatPr defaultRowHeight="15" x14ac:dyDescent="0.25"/>
  <cols>
    <col min="1" max="1" width="5.28515625" customWidth="1"/>
    <col min="2" max="2" width="12" customWidth="1"/>
    <col min="3" max="3" width="17.5703125" customWidth="1"/>
    <col min="6" max="6" width="14" customWidth="1"/>
    <col min="7" max="7" width="12.28515625" customWidth="1"/>
    <col min="8" max="8" width="13.7109375" customWidth="1"/>
    <col min="9" max="9" width="12.5703125" customWidth="1"/>
    <col min="10" max="11" width="14" customWidth="1"/>
    <col min="12" max="12" width="13.42578125" customWidth="1"/>
    <col min="13" max="13" width="11.140625" customWidth="1"/>
    <col min="14" max="14" width="12.42578125" customWidth="1"/>
  </cols>
  <sheetData>
    <row r="1" spans="1:14" ht="17.25" x14ac:dyDescent="0.3">
      <c r="A1" s="1"/>
      <c r="B1" s="1"/>
      <c r="C1" s="1"/>
      <c r="D1" s="1"/>
      <c r="E1" s="1"/>
      <c r="F1" s="1"/>
      <c r="G1" s="1"/>
      <c r="H1" s="1"/>
      <c r="I1" s="1"/>
      <c r="J1" s="1"/>
      <c r="K1" s="262"/>
      <c r="L1" s="262"/>
      <c r="M1" s="465" t="s">
        <v>906</v>
      </c>
      <c r="N1" s="465"/>
    </row>
    <row r="2" spans="1:14" ht="17.25" x14ac:dyDescent="0.3">
      <c r="A2" s="1"/>
      <c r="B2" s="1"/>
      <c r="C2" s="1"/>
      <c r="D2" s="1"/>
      <c r="E2" s="1"/>
      <c r="F2" s="1"/>
      <c r="G2" s="1"/>
      <c r="H2" s="1"/>
      <c r="I2" s="1"/>
      <c r="J2" s="1"/>
      <c r="K2" s="465" t="s">
        <v>1</v>
      </c>
      <c r="L2" s="465"/>
      <c r="M2" s="465"/>
      <c r="N2" s="465"/>
    </row>
    <row r="3" spans="1:14" ht="17.25" x14ac:dyDescent="0.3">
      <c r="A3" s="1"/>
      <c r="B3" s="1"/>
      <c r="C3" s="1"/>
      <c r="D3" s="1"/>
      <c r="E3" s="1"/>
      <c r="F3" s="1"/>
      <c r="G3" s="1"/>
      <c r="H3" s="1"/>
      <c r="I3" s="1"/>
      <c r="J3" s="1"/>
      <c r="K3" s="465" t="s">
        <v>2</v>
      </c>
      <c r="L3" s="465"/>
      <c r="M3" s="465"/>
      <c r="N3" s="465"/>
    </row>
    <row r="4" spans="1:14" ht="17.25" x14ac:dyDescent="0.3">
      <c r="A4" s="1"/>
      <c r="B4" s="1"/>
      <c r="C4" s="1"/>
      <c r="D4" s="1"/>
      <c r="E4" s="1"/>
      <c r="F4" s="1"/>
      <c r="G4" s="1"/>
      <c r="H4" s="1"/>
      <c r="I4" s="1"/>
      <c r="J4" s="1"/>
      <c r="K4" s="1"/>
      <c r="L4" s="1"/>
      <c r="M4" s="1"/>
      <c r="N4" s="1"/>
    </row>
    <row r="5" spans="1:14" ht="16.5" x14ac:dyDescent="0.3">
      <c r="A5" s="489" t="s">
        <v>3</v>
      </c>
      <c r="B5" s="489"/>
      <c r="C5" s="489"/>
      <c r="D5" s="489"/>
      <c r="E5" s="489"/>
      <c r="F5" s="489"/>
      <c r="G5" s="489"/>
      <c r="H5" s="489"/>
      <c r="I5" s="489"/>
      <c r="J5" s="489"/>
      <c r="K5" s="489"/>
      <c r="L5" s="489"/>
      <c r="M5" s="489"/>
      <c r="N5" s="489"/>
    </row>
    <row r="6" spans="1:14" ht="115.5" customHeight="1" x14ac:dyDescent="0.25">
      <c r="A6" s="563" t="s">
        <v>1148</v>
      </c>
      <c r="B6" s="563"/>
      <c r="C6" s="563"/>
      <c r="D6" s="563"/>
      <c r="E6" s="563"/>
      <c r="F6" s="563"/>
      <c r="G6" s="563"/>
      <c r="H6" s="563"/>
      <c r="I6" s="563"/>
      <c r="J6" s="563"/>
      <c r="K6" s="563"/>
      <c r="L6" s="563"/>
      <c r="M6" s="563"/>
      <c r="N6" s="563"/>
    </row>
    <row r="7" spans="1:14" ht="16.5" x14ac:dyDescent="0.3">
      <c r="A7" s="226"/>
      <c r="B7" s="226"/>
      <c r="C7" s="226"/>
      <c r="D7" s="226"/>
      <c r="E7" s="226"/>
      <c r="F7" s="226"/>
      <c r="G7" s="226"/>
      <c r="H7" s="226"/>
      <c r="I7" s="226"/>
      <c r="J7" s="226"/>
      <c r="K7" s="268"/>
      <c r="L7" s="268"/>
      <c r="M7" s="268"/>
      <c r="N7" s="226"/>
    </row>
    <row r="8" spans="1:14" x14ac:dyDescent="0.25">
      <c r="A8" s="560" t="s">
        <v>1134</v>
      </c>
      <c r="B8" s="560" t="s">
        <v>1125</v>
      </c>
      <c r="C8" s="560" t="s">
        <v>1129</v>
      </c>
      <c r="D8" s="560" t="s">
        <v>1136</v>
      </c>
      <c r="E8" s="560" t="s">
        <v>1130</v>
      </c>
      <c r="F8" s="560" t="s">
        <v>1204</v>
      </c>
      <c r="G8" s="560" t="s">
        <v>1147</v>
      </c>
      <c r="H8" s="560" t="s">
        <v>1131</v>
      </c>
      <c r="I8" s="560" t="s">
        <v>1132</v>
      </c>
      <c r="J8" s="560" t="s">
        <v>1133</v>
      </c>
      <c r="K8" s="560" t="s">
        <v>1126</v>
      </c>
      <c r="L8" s="560" t="s">
        <v>1135</v>
      </c>
      <c r="M8" s="560" t="s">
        <v>1127</v>
      </c>
      <c r="N8" s="560" t="s">
        <v>1128</v>
      </c>
    </row>
    <row r="9" spans="1:14" x14ac:dyDescent="0.25">
      <c r="A9" s="561"/>
      <c r="B9" s="561"/>
      <c r="C9" s="561"/>
      <c r="D9" s="561"/>
      <c r="E9" s="561"/>
      <c r="F9" s="561"/>
      <c r="G9" s="561"/>
      <c r="H9" s="561"/>
      <c r="I9" s="561"/>
      <c r="J9" s="561"/>
      <c r="K9" s="561"/>
      <c r="L9" s="561"/>
      <c r="M9" s="561"/>
      <c r="N9" s="561"/>
    </row>
    <row r="10" spans="1:14" ht="156.75" customHeight="1" x14ac:dyDescent="0.25">
      <c r="A10" s="562"/>
      <c r="B10" s="562"/>
      <c r="C10" s="562"/>
      <c r="D10" s="562"/>
      <c r="E10" s="562"/>
      <c r="F10" s="562"/>
      <c r="G10" s="562"/>
      <c r="H10" s="562"/>
      <c r="I10" s="562"/>
      <c r="J10" s="562"/>
      <c r="K10" s="562"/>
      <c r="L10" s="562"/>
      <c r="M10" s="562"/>
      <c r="N10" s="562"/>
    </row>
    <row r="11" spans="1:14" ht="16.5" x14ac:dyDescent="0.25">
      <c r="A11" s="92">
        <v>1</v>
      </c>
      <c r="B11" s="269">
        <v>2</v>
      </c>
      <c r="C11" s="269">
        <v>3</v>
      </c>
      <c r="D11" s="92">
        <v>4</v>
      </c>
      <c r="E11" s="269">
        <v>5</v>
      </c>
      <c r="F11" s="269">
        <v>6</v>
      </c>
      <c r="G11" s="92">
        <v>7</v>
      </c>
      <c r="H11" s="269">
        <v>8</v>
      </c>
      <c r="I11" s="269">
        <v>9</v>
      </c>
      <c r="J11" s="92">
        <v>10</v>
      </c>
      <c r="K11" s="269">
        <v>11</v>
      </c>
      <c r="L11" s="269">
        <v>12</v>
      </c>
      <c r="M11" s="92">
        <v>13</v>
      </c>
      <c r="N11" s="269">
        <v>14</v>
      </c>
    </row>
    <row r="12" spans="1:14" ht="33" customHeight="1" x14ac:dyDescent="0.25">
      <c r="A12" s="542">
        <v>1</v>
      </c>
      <c r="B12" s="531" t="s">
        <v>1191</v>
      </c>
      <c r="C12" s="298" t="s">
        <v>1149</v>
      </c>
      <c r="D12" s="329">
        <v>2007</v>
      </c>
      <c r="E12" s="297">
        <v>2007</v>
      </c>
      <c r="F12" s="297" t="s">
        <v>1208</v>
      </c>
      <c r="G12" s="280">
        <v>4382</v>
      </c>
      <c r="H12" s="313">
        <f>G12-J12</f>
        <v>2804.5</v>
      </c>
      <c r="I12" s="280">
        <f>J12</f>
        <v>1577.5</v>
      </c>
      <c r="J12" s="280">
        <v>1577.5</v>
      </c>
      <c r="K12" s="567" t="s">
        <v>1192</v>
      </c>
      <c r="L12" s="567" t="s">
        <v>1192</v>
      </c>
      <c r="M12" s="527" t="s">
        <v>1178</v>
      </c>
      <c r="N12" s="270"/>
    </row>
    <row r="13" spans="1:14" ht="16.5" x14ac:dyDescent="0.25">
      <c r="A13" s="543"/>
      <c r="B13" s="548"/>
      <c r="C13" s="295" t="s">
        <v>1150</v>
      </c>
      <c r="D13" s="297">
        <v>1957</v>
      </c>
      <c r="E13" s="297">
        <v>1957</v>
      </c>
      <c r="F13" s="297" t="s">
        <v>1207</v>
      </c>
      <c r="G13" s="280">
        <v>42.8</v>
      </c>
      <c r="H13" s="313">
        <f t="shared" ref="H13:H18" si="0">G13-J13</f>
        <v>42.8</v>
      </c>
      <c r="I13" s="280">
        <f t="shared" ref="I13:I18" si="1">J13</f>
        <v>0</v>
      </c>
      <c r="J13" s="280">
        <v>0</v>
      </c>
      <c r="K13" s="568"/>
      <c r="L13" s="568"/>
      <c r="M13" s="566"/>
      <c r="N13" s="329"/>
    </row>
    <row r="14" spans="1:14" ht="33" x14ac:dyDescent="0.3">
      <c r="A14" s="543"/>
      <c r="B14" s="548"/>
      <c r="C14" s="274" t="s">
        <v>1151</v>
      </c>
      <c r="D14" s="296">
        <v>2006</v>
      </c>
      <c r="E14" s="296">
        <v>2006</v>
      </c>
      <c r="F14" s="163" t="s">
        <v>1206</v>
      </c>
      <c r="G14" s="280">
        <v>894</v>
      </c>
      <c r="H14" s="313">
        <f t="shared" si="0"/>
        <v>634.70000000000005</v>
      </c>
      <c r="I14" s="280">
        <f t="shared" si="1"/>
        <v>259.3</v>
      </c>
      <c r="J14" s="279">
        <v>259.3</v>
      </c>
      <c r="K14" s="568"/>
      <c r="L14" s="568"/>
      <c r="M14" s="566"/>
      <c r="N14" s="283"/>
    </row>
    <row r="15" spans="1:14" ht="33" x14ac:dyDescent="0.3">
      <c r="A15" s="543"/>
      <c r="B15" s="548"/>
      <c r="C15" s="274" t="s">
        <v>1152</v>
      </c>
      <c r="D15" s="283">
        <v>2006</v>
      </c>
      <c r="E15" s="283">
        <v>2006</v>
      </c>
      <c r="F15" s="163" t="s">
        <v>1206</v>
      </c>
      <c r="G15" s="280">
        <v>821</v>
      </c>
      <c r="H15" s="313">
        <f t="shared" si="0"/>
        <v>582.95000000000005</v>
      </c>
      <c r="I15" s="280">
        <f t="shared" si="1"/>
        <v>238.05</v>
      </c>
      <c r="J15" s="280">
        <v>238.05</v>
      </c>
      <c r="K15" s="568"/>
      <c r="L15" s="568"/>
      <c r="M15" s="566"/>
      <c r="N15" s="283"/>
    </row>
    <row r="16" spans="1:14" ht="33" x14ac:dyDescent="0.3">
      <c r="A16" s="543"/>
      <c r="B16" s="548"/>
      <c r="C16" s="274" t="s">
        <v>1153</v>
      </c>
      <c r="D16" s="283">
        <v>2006</v>
      </c>
      <c r="E16" s="283">
        <v>2006</v>
      </c>
      <c r="F16" s="163" t="s">
        <v>1206</v>
      </c>
      <c r="G16" s="280">
        <v>1301</v>
      </c>
      <c r="H16" s="313">
        <f t="shared" si="0"/>
        <v>923.75</v>
      </c>
      <c r="I16" s="280">
        <f t="shared" si="1"/>
        <v>377.25</v>
      </c>
      <c r="J16" s="280">
        <v>377.25</v>
      </c>
      <c r="K16" s="568"/>
      <c r="L16" s="568"/>
      <c r="M16" s="566"/>
      <c r="N16" s="283"/>
    </row>
    <row r="17" spans="1:14" ht="33" x14ac:dyDescent="0.3">
      <c r="A17" s="543"/>
      <c r="B17" s="548"/>
      <c r="C17" s="274" t="s">
        <v>1154</v>
      </c>
      <c r="D17" s="283">
        <v>2007</v>
      </c>
      <c r="E17" s="283">
        <v>2007</v>
      </c>
      <c r="F17" s="163" t="s">
        <v>1206</v>
      </c>
      <c r="G17" s="280">
        <v>146</v>
      </c>
      <c r="H17" s="313">
        <f t="shared" si="0"/>
        <v>93.4</v>
      </c>
      <c r="I17" s="280">
        <f t="shared" si="1"/>
        <v>52.6</v>
      </c>
      <c r="J17" s="280">
        <v>52.6</v>
      </c>
      <c r="K17" s="568"/>
      <c r="L17" s="568"/>
      <c r="M17" s="566"/>
      <c r="N17" s="283"/>
    </row>
    <row r="18" spans="1:14" ht="49.5" x14ac:dyDescent="0.3">
      <c r="A18" s="544"/>
      <c r="B18" s="532"/>
      <c r="C18" s="274" t="s">
        <v>1155</v>
      </c>
      <c r="D18" s="332">
        <v>2007</v>
      </c>
      <c r="E18" s="283">
        <v>2007</v>
      </c>
      <c r="F18" s="283" t="s">
        <v>1205</v>
      </c>
      <c r="G18" s="280">
        <v>266</v>
      </c>
      <c r="H18" s="313">
        <f t="shared" si="0"/>
        <v>180.9</v>
      </c>
      <c r="I18" s="280">
        <f t="shared" si="1"/>
        <v>85.1</v>
      </c>
      <c r="J18" s="280">
        <v>85.1</v>
      </c>
      <c r="K18" s="569"/>
      <c r="L18" s="569"/>
      <c r="M18" s="528"/>
      <c r="N18" s="283"/>
    </row>
    <row r="19" spans="1:14" s="272" customFormat="1" ht="27" customHeight="1" x14ac:dyDescent="0.25">
      <c r="A19" s="271"/>
      <c r="B19" s="559" t="s">
        <v>39</v>
      </c>
      <c r="C19" s="559"/>
      <c r="D19" s="333"/>
      <c r="E19" s="333"/>
      <c r="F19" s="299"/>
      <c r="G19" s="284">
        <f>SUM(G12:G18)</f>
        <v>7852.8</v>
      </c>
      <c r="H19" s="284">
        <f t="shared" ref="H19:I19" si="2">SUM(H12:H18)</f>
        <v>5262.9999999999991</v>
      </c>
      <c r="I19" s="284">
        <f t="shared" si="2"/>
        <v>2589.7999999999997</v>
      </c>
      <c r="J19" s="284">
        <f>SUM(J12:J18)</f>
        <v>2589.7999999999997</v>
      </c>
      <c r="K19" s="284"/>
      <c r="L19" s="284"/>
      <c r="M19" s="284"/>
      <c r="N19" s="284"/>
    </row>
  </sheetData>
  <mergeCells count="25">
    <mergeCell ref="M1:N1"/>
    <mergeCell ref="K2:N2"/>
    <mergeCell ref="K3:N3"/>
    <mergeCell ref="A5:N5"/>
    <mergeCell ref="A6:N6"/>
    <mergeCell ref="B19:C19"/>
    <mergeCell ref="F8:F10"/>
    <mergeCell ref="G8:G10"/>
    <mergeCell ref="H8:H10"/>
    <mergeCell ref="I8:I10"/>
    <mergeCell ref="B8:B10"/>
    <mergeCell ref="C8:C10"/>
    <mergeCell ref="D8:D10"/>
    <mergeCell ref="E8:E10"/>
    <mergeCell ref="L8:L10"/>
    <mergeCell ref="M8:M10"/>
    <mergeCell ref="N8:N10"/>
    <mergeCell ref="A12:A18"/>
    <mergeCell ref="B12:B18"/>
    <mergeCell ref="J8:J10"/>
    <mergeCell ref="K8:K10"/>
    <mergeCell ref="A8:A10"/>
    <mergeCell ref="K12:K18"/>
    <mergeCell ref="L12:L18"/>
    <mergeCell ref="M12:M18"/>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
  <sheetViews>
    <sheetView workbookViewId="0">
      <selection activeCell="F1" sqref="F1:G1"/>
    </sheetView>
  </sheetViews>
  <sheetFormatPr defaultRowHeight="17.25" x14ac:dyDescent="0.3"/>
  <cols>
    <col min="1" max="1" width="4.28515625" style="1" customWidth="1"/>
    <col min="2" max="2" width="23.5703125" style="1" customWidth="1"/>
    <col min="3" max="3" width="13" style="1" customWidth="1"/>
    <col min="4" max="4" width="10.7109375" style="1" customWidth="1"/>
    <col min="5" max="5" width="15.85546875" style="1" customWidth="1"/>
    <col min="6" max="7" width="17.140625" style="1" customWidth="1"/>
    <col min="8" max="16384" width="9.140625" style="1"/>
  </cols>
  <sheetData>
    <row r="1" spans="1:7" x14ac:dyDescent="0.3">
      <c r="D1" s="262"/>
      <c r="E1" s="262"/>
      <c r="F1" s="465" t="s">
        <v>908</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217.5" customHeight="1" x14ac:dyDescent="0.3">
      <c r="A6" s="516" t="s">
        <v>1143</v>
      </c>
      <c r="B6" s="516"/>
      <c r="C6" s="516"/>
      <c r="D6" s="516"/>
      <c r="E6" s="516"/>
      <c r="F6" s="516"/>
      <c r="G6" s="516"/>
    </row>
    <row r="7" spans="1:7" x14ac:dyDescent="0.3">
      <c r="C7" s="3"/>
      <c r="D7" s="262"/>
      <c r="E7" s="262"/>
      <c r="F7" s="262"/>
    </row>
    <row r="8" spans="1:7" ht="69" x14ac:dyDescent="0.3">
      <c r="A8" s="461" t="s">
        <v>4</v>
      </c>
      <c r="B8" s="461" t="s">
        <v>5</v>
      </c>
      <c r="C8" s="461" t="s">
        <v>6</v>
      </c>
      <c r="D8" s="461" t="s">
        <v>7</v>
      </c>
      <c r="E8" s="5" t="s">
        <v>8</v>
      </c>
      <c r="F8" s="264" t="s">
        <v>9</v>
      </c>
      <c r="G8" s="264" t="s">
        <v>10</v>
      </c>
    </row>
    <row r="9" spans="1:7" ht="25.5" customHeight="1" x14ac:dyDescent="0.3">
      <c r="A9" s="503"/>
      <c r="B9" s="462"/>
      <c r="C9" s="462"/>
      <c r="D9" s="468"/>
      <c r="E9" s="264" t="s">
        <v>12</v>
      </c>
      <c r="F9" s="31" t="s">
        <v>12</v>
      </c>
      <c r="G9" s="31" t="s">
        <v>12</v>
      </c>
    </row>
    <row r="10" spans="1:7" ht="27.75" customHeight="1" x14ac:dyDescent="0.3">
      <c r="A10" s="31">
        <v>1</v>
      </c>
      <c r="B10" s="31">
        <v>2</v>
      </c>
      <c r="C10" s="31">
        <v>3</v>
      </c>
      <c r="D10" s="31">
        <v>4</v>
      </c>
      <c r="E10" s="31">
        <v>5</v>
      </c>
      <c r="F10" s="31">
        <v>6</v>
      </c>
      <c r="G10" s="31">
        <v>7</v>
      </c>
    </row>
    <row r="11" spans="1:7" s="122" customFormat="1" ht="26.25" customHeight="1" x14ac:dyDescent="0.25">
      <c r="A11" s="266">
        <v>1</v>
      </c>
      <c r="B11" s="231" t="s">
        <v>1144</v>
      </c>
      <c r="C11" s="266" t="s">
        <v>14</v>
      </c>
      <c r="D11" s="266">
        <v>45</v>
      </c>
      <c r="E11" s="15">
        <f>F11/D11</f>
        <v>1287.4666666666667</v>
      </c>
      <c r="F11" s="91">
        <v>57936</v>
      </c>
      <c r="G11" s="91">
        <v>7527.22</v>
      </c>
    </row>
    <row r="12" spans="1:7" s="122" customFormat="1" ht="26.25" customHeight="1" x14ac:dyDescent="0.25">
      <c r="A12" s="72">
        <v>2</v>
      </c>
      <c r="B12" s="231" t="s">
        <v>1145</v>
      </c>
      <c r="C12" s="266" t="s">
        <v>14</v>
      </c>
      <c r="D12" s="266">
        <v>4</v>
      </c>
      <c r="E12" s="15">
        <f>F12/D12</f>
        <v>2000</v>
      </c>
      <c r="F12" s="91">
        <v>8000</v>
      </c>
      <c r="G12" s="91">
        <v>3301.75</v>
      </c>
    </row>
    <row r="13" spans="1:7" s="122" customFormat="1" ht="26.25" customHeight="1" x14ac:dyDescent="0.25">
      <c r="A13" s="72">
        <v>3</v>
      </c>
      <c r="B13" s="231" t="s">
        <v>1142</v>
      </c>
      <c r="C13" s="406" t="s">
        <v>1324</v>
      </c>
      <c r="D13" s="406">
        <v>1</v>
      </c>
      <c r="E13" s="280">
        <v>9855430</v>
      </c>
      <c r="F13" s="280">
        <v>9855430</v>
      </c>
      <c r="G13" s="280">
        <v>4927730</v>
      </c>
    </row>
    <row r="14" spans="1:7" s="69" customFormat="1" ht="26.25" customHeight="1" x14ac:dyDescent="0.25">
      <c r="A14" s="68"/>
      <c r="B14" s="230" t="s">
        <v>39</v>
      </c>
      <c r="C14" s="265"/>
      <c r="D14" s="263">
        <v>50</v>
      </c>
      <c r="E14" s="325"/>
      <c r="F14" s="284">
        <f>SUM(F11:F13)</f>
        <v>9921366</v>
      </c>
      <c r="G14" s="284">
        <f>SUM(G11:G13)</f>
        <v>4938558.97</v>
      </c>
    </row>
  </sheetData>
  <mergeCells count="9">
    <mergeCell ref="A8:A9"/>
    <mergeCell ref="B8:B9"/>
    <mergeCell ref="C8:C9"/>
    <mergeCell ref="D8:D9"/>
    <mergeCell ref="F1:G1"/>
    <mergeCell ref="D2:G2"/>
    <mergeCell ref="D3:G3"/>
    <mergeCell ref="A5:G5"/>
    <mergeCell ref="A6:G6"/>
  </mergeCells>
  <pageMargins left="0.7" right="0.7" top="0.75" bottom="0.75" header="0.3" footer="0.3"/>
  <pageSetup paperSize="9" orientation="portrait" verticalDpi="0"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 sqref="F1:G1"/>
    </sheetView>
  </sheetViews>
  <sheetFormatPr defaultRowHeight="17.25" x14ac:dyDescent="0.3"/>
  <cols>
    <col min="1" max="1" width="4.28515625" style="1" customWidth="1"/>
    <col min="2" max="2" width="23.5703125" style="1" customWidth="1"/>
    <col min="3" max="3" width="11.42578125" style="1" customWidth="1"/>
    <col min="4" max="4" width="10.7109375" style="1" customWidth="1"/>
    <col min="5" max="5" width="14" style="1" customWidth="1"/>
    <col min="6" max="7" width="17.140625" style="1" customWidth="1"/>
    <col min="8" max="16384" width="9.140625" style="1"/>
  </cols>
  <sheetData>
    <row r="1" spans="1:7" x14ac:dyDescent="0.3">
      <c r="D1" s="262"/>
      <c r="E1" s="262"/>
      <c r="F1" s="465" t="s">
        <v>910</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218.25" customHeight="1" x14ac:dyDescent="0.3">
      <c r="A6" s="516" t="s">
        <v>1156</v>
      </c>
      <c r="B6" s="516"/>
      <c r="C6" s="516"/>
      <c r="D6" s="516"/>
      <c r="E6" s="516"/>
      <c r="F6" s="516"/>
      <c r="G6" s="516"/>
    </row>
    <row r="7" spans="1:7" x14ac:dyDescent="0.3">
      <c r="C7" s="3"/>
      <c r="D7" s="262"/>
      <c r="E7" s="262"/>
      <c r="F7" s="262"/>
    </row>
    <row r="8" spans="1:7" ht="69" x14ac:dyDescent="0.3">
      <c r="A8" s="461" t="s">
        <v>4</v>
      </c>
      <c r="B8" s="461" t="s">
        <v>5</v>
      </c>
      <c r="C8" s="461" t="s">
        <v>6</v>
      </c>
      <c r="D8" s="461" t="s">
        <v>7</v>
      </c>
      <c r="E8" s="5" t="s">
        <v>8</v>
      </c>
      <c r="F8" s="264" t="s">
        <v>9</v>
      </c>
      <c r="G8" s="264" t="s">
        <v>10</v>
      </c>
    </row>
    <row r="9" spans="1:7" ht="25.5" customHeight="1" x14ac:dyDescent="0.3">
      <c r="A9" s="503"/>
      <c r="B9" s="462"/>
      <c r="C9" s="462"/>
      <c r="D9" s="468"/>
      <c r="E9" s="264" t="s">
        <v>12</v>
      </c>
      <c r="F9" s="31" t="s">
        <v>12</v>
      </c>
      <c r="G9" s="31" t="s">
        <v>12</v>
      </c>
    </row>
    <row r="10" spans="1:7" ht="27.75" customHeight="1" x14ac:dyDescent="0.3">
      <c r="A10" s="31">
        <v>1</v>
      </c>
      <c r="B10" s="31">
        <v>2</v>
      </c>
      <c r="C10" s="31">
        <v>3</v>
      </c>
      <c r="D10" s="31">
        <v>4</v>
      </c>
      <c r="E10" s="31">
        <v>5</v>
      </c>
      <c r="F10" s="31">
        <v>6</v>
      </c>
      <c r="G10" s="31">
        <v>7</v>
      </c>
    </row>
    <row r="11" spans="1:7" s="122" customFormat="1" ht="55.5" customHeight="1" x14ac:dyDescent="0.25">
      <c r="A11" s="266">
        <v>1</v>
      </c>
      <c r="B11" s="33" t="s">
        <v>1157</v>
      </c>
      <c r="C11" s="141" t="s">
        <v>14</v>
      </c>
      <c r="D11" s="275">
        <v>1</v>
      </c>
      <c r="E11" s="276">
        <f t="shared" ref="E11" si="0">F11/D11</f>
        <v>92000</v>
      </c>
      <c r="F11" s="128">
        <v>92000</v>
      </c>
      <c r="G11" s="277">
        <v>1920</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N22"/>
  <sheetViews>
    <sheetView topLeftCell="A4" workbookViewId="0">
      <selection activeCell="M1" sqref="M1:N1"/>
    </sheetView>
  </sheetViews>
  <sheetFormatPr defaultRowHeight="15" x14ac:dyDescent="0.25"/>
  <cols>
    <col min="1" max="1" width="5.28515625" customWidth="1"/>
    <col min="2" max="2" width="12" customWidth="1"/>
    <col min="3" max="3" width="17.5703125" customWidth="1"/>
    <col min="6" max="6" width="12.140625" customWidth="1"/>
    <col min="7" max="7" width="12.28515625" customWidth="1"/>
    <col min="8" max="8" width="13.7109375" customWidth="1"/>
    <col min="9" max="9" width="12.5703125" customWidth="1"/>
    <col min="10" max="10" width="14" customWidth="1"/>
    <col min="11" max="11" width="10.5703125" customWidth="1"/>
    <col min="12" max="12" width="13.42578125" customWidth="1"/>
    <col min="13" max="13" width="16.42578125" customWidth="1"/>
    <col min="14" max="14" width="12.42578125" customWidth="1"/>
  </cols>
  <sheetData>
    <row r="1" spans="1:14" ht="17.25" x14ac:dyDescent="0.3">
      <c r="A1" s="1"/>
      <c r="B1" s="1"/>
      <c r="C1" s="1"/>
      <c r="D1" s="1"/>
      <c r="E1" s="1"/>
      <c r="F1" s="1"/>
      <c r="G1" s="1"/>
      <c r="H1" s="1"/>
      <c r="I1" s="1"/>
      <c r="J1" s="1"/>
      <c r="K1" s="262"/>
      <c r="L1" s="262"/>
      <c r="M1" s="465" t="s">
        <v>912</v>
      </c>
      <c r="N1" s="465"/>
    </row>
    <row r="2" spans="1:14" ht="17.25" x14ac:dyDescent="0.3">
      <c r="A2" s="1"/>
      <c r="B2" s="1"/>
      <c r="C2" s="1"/>
      <c r="D2" s="1"/>
      <c r="E2" s="1"/>
      <c r="F2" s="1"/>
      <c r="G2" s="1"/>
      <c r="H2" s="1"/>
      <c r="I2" s="1"/>
      <c r="J2" s="1"/>
      <c r="K2" s="465" t="s">
        <v>1</v>
      </c>
      <c r="L2" s="465"/>
      <c r="M2" s="465"/>
      <c r="N2" s="465"/>
    </row>
    <row r="3" spans="1:14" ht="17.25" x14ac:dyDescent="0.3">
      <c r="A3" s="1"/>
      <c r="B3" s="1"/>
      <c r="C3" s="1"/>
      <c r="D3" s="1"/>
      <c r="E3" s="1"/>
      <c r="F3" s="1"/>
      <c r="G3" s="1"/>
      <c r="H3" s="1"/>
      <c r="I3" s="1"/>
      <c r="J3" s="1"/>
      <c r="K3" s="465" t="s">
        <v>2</v>
      </c>
      <c r="L3" s="465"/>
      <c r="M3" s="465"/>
      <c r="N3" s="465"/>
    </row>
    <row r="4" spans="1:14" ht="17.25" x14ac:dyDescent="0.3">
      <c r="A4" s="1"/>
      <c r="B4" s="1"/>
      <c r="C4" s="1"/>
      <c r="D4" s="1"/>
      <c r="E4" s="1"/>
      <c r="F4" s="1"/>
      <c r="G4" s="1"/>
      <c r="H4" s="1"/>
      <c r="I4" s="1"/>
      <c r="J4" s="1"/>
      <c r="K4" s="1"/>
      <c r="L4" s="1"/>
      <c r="M4" s="1"/>
      <c r="N4" s="1"/>
    </row>
    <row r="5" spans="1:14" ht="16.5" x14ac:dyDescent="0.3">
      <c r="A5" s="489" t="s">
        <v>3</v>
      </c>
      <c r="B5" s="489"/>
      <c r="C5" s="489"/>
      <c r="D5" s="489"/>
      <c r="E5" s="489"/>
      <c r="F5" s="489"/>
      <c r="G5" s="489"/>
      <c r="H5" s="489"/>
      <c r="I5" s="489"/>
      <c r="J5" s="489"/>
      <c r="K5" s="489"/>
      <c r="L5" s="489"/>
      <c r="M5" s="489"/>
      <c r="N5" s="489"/>
    </row>
    <row r="6" spans="1:14" ht="93" customHeight="1" x14ac:dyDescent="0.25">
      <c r="A6" s="563" t="s">
        <v>1158</v>
      </c>
      <c r="B6" s="563"/>
      <c r="C6" s="563"/>
      <c r="D6" s="563"/>
      <c r="E6" s="563"/>
      <c r="F6" s="563"/>
      <c r="G6" s="563"/>
      <c r="H6" s="563"/>
      <c r="I6" s="563"/>
      <c r="J6" s="563"/>
      <c r="K6" s="563"/>
      <c r="L6" s="563"/>
      <c r="M6" s="563"/>
      <c r="N6" s="563"/>
    </row>
    <row r="7" spans="1:14" ht="16.5" x14ac:dyDescent="0.3">
      <c r="A7" s="226"/>
      <c r="B7" s="226"/>
      <c r="C7" s="226"/>
      <c r="D7" s="226"/>
      <c r="E7" s="226"/>
      <c r="F7" s="226"/>
      <c r="G7" s="226"/>
      <c r="H7" s="226"/>
      <c r="I7" s="226"/>
      <c r="J7" s="226"/>
      <c r="K7" s="268"/>
      <c r="L7" s="268"/>
      <c r="M7" s="268"/>
      <c r="N7" s="226"/>
    </row>
    <row r="8" spans="1:14" x14ac:dyDescent="0.25">
      <c r="A8" s="560" t="s">
        <v>1134</v>
      </c>
      <c r="B8" s="560" t="s">
        <v>1125</v>
      </c>
      <c r="C8" s="560" t="s">
        <v>1129</v>
      </c>
      <c r="D8" s="560" t="s">
        <v>1136</v>
      </c>
      <c r="E8" s="560" t="s">
        <v>1130</v>
      </c>
      <c r="F8" s="560" t="s">
        <v>1209</v>
      </c>
      <c r="G8" s="560" t="s">
        <v>1147</v>
      </c>
      <c r="H8" s="560" t="s">
        <v>1131</v>
      </c>
      <c r="I8" s="560" t="s">
        <v>1132</v>
      </c>
      <c r="J8" s="560" t="s">
        <v>1133</v>
      </c>
      <c r="K8" s="560" t="s">
        <v>1126</v>
      </c>
      <c r="L8" s="560" t="s">
        <v>1135</v>
      </c>
      <c r="M8" s="560" t="s">
        <v>1127</v>
      </c>
      <c r="N8" s="560" t="s">
        <v>1128</v>
      </c>
    </row>
    <row r="9" spans="1:14" x14ac:dyDescent="0.25">
      <c r="A9" s="561"/>
      <c r="B9" s="561"/>
      <c r="C9" s="561"/>
      <c r="D9" s="561"/>
      <c r="E9" s="561"/>
      <c r="F9" s="561"/>
      <c r="G9" s="561"/>
      <c r="H9" s="561"/>
      <c r="I9" s="561"/>
      <c r="J9" s="561"/>
      <c r="K9" s="561"/>
      <c r="L9" s="561"/>
      <c r="M9" s="561"/>
      <c r="N9" s="561"/>
    </row>
    <row r="10" spans="1:14" ht="156.75" customHeight="1" x14ac:dyDescent="0.25">
      <c r="A10" s="562"/>
      <c r="B10" s="562"/>
      <c r="C10" s="562"/>
      <c r="D10" s="562"/>
      <c r="E10" s="562"/>
      <c r="F10" s="562"/>
      <c r="G10" s="562"/>
      <c r="H10" s="562"/>
      <c r="I10" s="562"/>
      <c r="J10" s="562"/>
      <c r="K10" s="562"/>
      <c r="L10" s="562"/>
      <c r="M10" s="562"/>
      <c r="N10" s="562"/>
    </row>
    <row r="11" spans="1:14" ht="16.5" x14ac:dyDescent="0.25">
      <c r="A11" s="92">
        <v>1</v>
      </c>
      <c r="B11" s="269">
        <v>2</v>
      </c>
      <c r="C11" s="269">
        <v>3</v>
      </c>
      <c r="D11" s="92">
        <v>4</v>
      </c>
      <c r="E11" s="269">
        <v>5</v>
      </c>
      <c r="F11" s="269">
        <v>6</v>
      </c>
      <c r="G11" s="92">
        <v>7</v>
      </c>
      <c r="H11" s="269">
        <v>8</v>
      </c>
      <c r="I11" s="269">
        <v>9</v>
      </c>
      <c r="J11" s="92">
        <v>10</v>
      </c>
      <c r="K11" s="269">
        <v>11</v>
      </c>
      <c r="L11" s="269">
        <v>12</v>
      </c>
      <c r="M11" s="92">
        <v>13</v>
      </c>
      <c r="N11" s="269">
        <v>14</v>
      </c>
    </row>
    <row r="12" spans="1:14" ht="29.25" customHeight="1" x14ac:dyDescent="0.25">
      <c r="A12" s="542">
        <v>1</v>
      </c>
      <c r="B12" s="531" t="s">
        <v>1189</v>
      </c>
      <c r="C12" s="278" t="s">
        <v>1159</v>
      </c>
      <c r="D12" s="330">
        <v>2010</v>
      </c>
      <c r="E12" s="297">
        <v>2010</v>
      </c>
      <c r="F12" s="297" t="s">
        <v>1176</v>
      </c>
      <c r="G12" s="289">
        <v>880</v>
      </c>
      <c r="H12" s="313">
        <f>+(G12-J12)+(J12-I12)</f>
        <v>405.8</v>
      </c>
      <c r="I12" s="280">
        <v>474.2</v>
      </c>
      <c r="J12" s="288">
        <v>492.8</v>
      </c>
      <c r="K12" s="297" t="s">
        <v>1177</v>
      </c>
      <c r="L12" s="297"/>
      <c r="M12" s="330" t="s">
        <v>1178</v>
      </c>
      <c r="N12" s="297"/>
    </row>
    <row r="13" spans="1:14" ht="29.25" customHeight="1" x14ac:dyDescent="0.25">
      <c r="A13" s="543"/>
      <c r="B13" s="548"/>
      <c r="C13" s="278" t="s">
        <v>1160</v>
      </c>
      <c r="D13" s="297">
        <v>2005</v>
      </c>
      <c r="E13" s="297">
        <v>2005</v>
      </c>
      <c r="F13" s="297" t="s">
        <v>1179</v>
      </c>
      <c r="G13" s="289">
        <v>7359.4</v>
      </c>
      <c r="H13" s="313">
        <f>+(G13-J13)+(J13-I13)</f>
        <v>2064.16</v>
      </c>
      <c r="I13" s="280">
        <v>5295.24</v>
      </c>
      <c r="J13" s="288">
        <v>5593.14</v>
      </c>
      <c r="K13" s="297" t="s">
        <v>1177</v>
      </c>
      <c r="L13" s="311"/>
      <c r="M13" s="330" t="s">
        <v>1178</v>
      </c>
      <c r="N13" s="330"/>
    </row>
    <row r="14" spans="1:14" ht="37.5" customHeight="1" x14ac:dyDescent="0.25">
      <c r="A14" s="543"/>
      <c r="B14" s="548"/>
      <c r="C14" s="278" t="s">
        <v>1161</v>
      </c>
      <c r="D14" s="296">
        <v>2005</v>
      </c>
      <c r="E14" s="296">
        <v>2005</v>
      </c>
      <c r="F14" s="296" t="s">
        <v>1180</v>
      </c>
      <c r="G14" s="288">
        <v>3004.5</v>
      </c>
      <c r="H14" s="313">
        <f t="shared" ref="H14:H15" si="0">+(G14-J14)+(J14-I14)</f>
        <v>2407.1600000000003</v>
      </c>
      <c r="I14" s="279">
        <v>597.34</v>
      </c>
      <c r="J14" s="288">
        <v>630.95000000000005</v>
      </c>
      <c r="K14" s="297" t="s">
        <v>1177</v>
      </c>
      <c r="L14" s="312"/>
      <c r="M14" s="330" t="s">
        <v>1178</v>
      </c>
      <c r="N14" s="283"/>
    </row>
    <row r="15" spans="1:14" ht="37.5" customHeight="1" x14ac:dyDescent="0.25">
      <c r="A15" s="543"/>
      <c r="B15" s="548"/>
      <c r="C15" s="278" t="s">
        <v>1161</v>
      </c>
      <c r="D15" s="296">
        <v>1999</v>
      </c>
      <c r="E15" s="296">
        <v>1999</v>
      </c>
      <c r="F15" s="296" t="s">
        <v>1181</v>
      </c>
      <c r="G15" s="288">
        <v>5320.2</v>
      </c>
      <c r="H15" s="313">
        <f t="shared" si="0"/>
        <v>2127.79</v>
      </c>
      <c r="I15" s="279">
        <v>3192.41</v>
      </c>
      <c r="J15" s="288">
        <v>3404.93</v>
      </c>
      <c r="K15" s="297" t="s">
        <v>1177</v>
      </c>
      <c r="L15" s="312"/>
      <c r="M15" s="330" t="s">
        <v>1178</v>
      </c>
      <c r="N15" s="283"/>
    </row>
    <row r="16" spans="1:14" ht="23.25" customHeight="1" x14ac:dyDescent="0.25">
      <c r="A16" s="543"/>
      <c r="B16" s="548"/>
      <c r="C16" s="278" t="s">
        <v>1162</v>
      </c>
      <c r="D16" s="296">
        <v>2002</v>
      </c>
      <c r="E16" s="296">
        <v>2002</v>
      </c>
      <c r="F16" s="296" t="s">
        <v>1182</v>
      </c>
      <c r="G16" s="288">
        <v>200</v>
      </c>
      <c r="H16" s="313">
        <f>+(G16-J16)+(J16-I16)</f>
        <v>200</v>
      </c>
      <c r="I16" s="279">
        <v>0</v>
      </c>
      <c r="J16" s="288">
        <v>1.5</v>
      </c>
      <c r="K16" s="297" t="s">
        <v>1177</v>
      </c>
      <c r="L16" s="312"/>
      <c r="M16" s="330" t="s">
        <v>1178</v>
      </c>
      <c r="N16" s="283"/>
    </row>
    <row r="17" spans="1:14" ht="23.25" customHeight="1" x14ac:dyDescent="0.25">
      <c r="A17" s="543"/>
      <c r="B17" s="548"/>
      <c r="C17" s="278" t="s">
        <v>1162</v>
      </c>
      <c r="D17" s="296">
        <v>2011</v>
      </c>
      <c r="E17" s="296">
        <v>2011</v>
      </c>
      <c r="F17" s="296" t="s">
        <v>1183</v>
      </c>
      <c r="G17" s="288">
        <v>3067.6</v>
      </c>
      <c r="H17" s="313">
        <f t="shared" ref="H17:H21" si="1">+(G17-J17)+(J17-I17)</f>
        <v>1391.83</v>
      </c>
      <c r="I17" s="279">
        <v>1675.77</v>
      </c>
      <c r="J17" s="288">
        <v>1740.86</v>
      </c>
      <c r="K17" s="297" t="s">
        <v>1177</v>
      </c>
      <c r="L17" s="312"/>
      <c r="M17" s="330" t="s">
        <v>1178</v>
      </c>
      <c r="N17" s="283"/>
    </row>
    <row r="18" spans="1:14" ht="38.25" customHeight="1" x14ac:dyDescent="0.25">
      <c r="A18" s="543"/>
      <c r="B18" s="548"/>
      <c r="C18" s="278" t="s">
        <v>1163</v>
      </c>
      <c r="D18" s="283">
        <v>2000</v>
      </c>
      <c r="E18" s="283">
        <v>2000</v>
      </c>
      <c r="F18" s="283" t="s">
        <v>1184</v>
      </c>
      <c r="G18" s="289">
        <v>7029</v>
      </c>
      <c r="H18" s="313">
        <f t="shared" si="1"/>
        <v>7024.51</v>
      </c>
      <c r="I18" s="280">
        <v>4.49</v>
      </c>
      <c r="J18" s="288">
        <v>769.33</v>
      </c>
      <c r="K18" s="297" t="s">
        <v>1177</v>
      </c>
      <c r="L18" s="334"/>
      <c r="M18" s="331" t="s">
        <v>1185</v>
      </c>
      <c r="N18" s="283"/>
    </row>
    <row r="19" spans="1:14" ht="39" customHeight="1" x14ac:dyDescent="0.25">
      <c r="A19" s="543"/>
      <c r="B19" s="548"/>
      <c r="C19" s="278" t="s">
        <v>1164</v>
      </c>
      <c r="D19" s="283">
        <v>2011</v>
      </c>
      <c r="E19" s="283">
        <v>2011</v>
      </c>
      <c r="F19" s="283" t="s">
        <v>1186</v>
      </c>
      <c r="G19" s="289">
        <v>8808</v>
      </c>
      <c r="H19" s="313">
        <f t="shared" si="1"/>
        <v>4169.8900000000003</v>
      </c>
      <c r="I19" s="280">
        <v>4638.1099999999997</v>
      </c>
      <c r="J19" s="288">
        <v>4817.9799999999996</v>
      </c>
      <c r="K19" s="297" t="s">
        <v>1177</v>
      </c>
      <c r="L19" s="283"/>
      <c r="M19" s="330" t="s">
        <v>1178</v>
      </c>
      <c r="N19" s="283"/>
    </row>
    <row r="20" spans="1:14" ht="36.75" customHeight="1" x14ac:dyDescent="0.25">
      <c r="A20" s="543"/>
      <c r="B20" s="548"/>
      <c r="C20" s="278" t="s">
        <v>1165</v>
      </c>
      <c r="D20" s="283">
        <v>2010</v>
      </c>
      <c r="E20" s="283">
        <v>2010</v>
      </c>
      <c r="F20" s="283" t="s">
        <v>1187</v>
      </c>
      <c r="G20" s="288">
        <v>963.35</v>
      </c>
      <c r="H20" s="313">
        <f t="shared" si="1"/>
        <v>456.26000000000005</v>
      </c>
      <c r="I20" s="280">
        <v>507.09</v>
      </c>
      <c r="J20" s="288">
        <v>526.95000000000005</v>
      </c>
      <c r="K20" s="297" t="s">
        <v>1177</v>
      </c>
      <c r="L20" s="283"/>
      <c r="M20" s="330" t="s">
        <v>1178</v>
      </c>
      <c r="N20" s="283"/>
    </row>
    <row r="21" spans="1:14" ht="35.25" customHeight="1" x14ac:dyDescent="0.25">
      <c r="A21" s="544"/>
      <c r="B21" s="532"/>
      <c r="C21" s="278" t="s">
        <v>1166</v>
      </c>
      <c r="D21" s="283">
        <v>1999</v>
      </c>
      <c r="E21" s="283">
        <v>1999</v>
      </c>
      <c r="F21" s="283" t="s">
        <v>1188</v>
      </c>
      <c r="G21" s="288">
        <v>185.5</v>
      </c>
      <c r="H21" s="313">
        <f t="shared" si="1"/>
        <v>185.5</v>
      </c>
      <c r="I21" s="280">
        <v>0</v>
      </c>
      <c r="J21" s="288">
        <v>0.16</v>
      </c>
      <c r="K21" s="297"/>
      <c r="L21" s="283"/>
      <c r="M21" s="330" t="s">
        <v>1178</v>
      </c>
      <c r="N21" s="283"/>
    </row>
    <row r="22" spans="1:14" s="272" customFormat="1" ht="27" customHeight="1" x14ac:dyDescent="0.25">
      <c r="A22" s="271"/>
      <c r="B22" s="559" t="s">
        <v>39</v>
      </c>
      <c r="C22" s="559"/>
      <c r="D22" s="271"/>
      <c r="E22" s="271"/>
      <c r="F22" s="273"/>
      <c r="G22" s="95">
        <f>SUM(G12:G21)</f>
        <v>36817.549999999996</v>
      </c>
      <c r="H22" s="284">
        <f t="shared" ref="H22:J22" si="2">SUM(H12:H21)</f>
        <v>20432.900000000001</v>
      </c>
      <c r="I22" s="284">
        <f t="shared" si="2"/>
        <v>16384.649999999998</v>
      </c>
      <c r="J22" s="284">
        <f t="shared" si="2"/>
        <v>17978.599999999999</v>
      </c>
      <c r="K22" s="95"/>
      <c r="L22" s="95"/>
      <c r="M22" s="95"/>
      <c r="N22" s="95"/>
    </row>
  </sheetData>
  <mergeCells count="22">
    <mergeCell ref="M1:N1"/>
    <mergeCell ref="K2:N2"/>
    <mergeCell ref="K3:N3"/>
    <mergeCell ref="A5:N5"/>
    <mergeCell ref="A6:N6"/>
    <mergeCell ref="B22:C22"/>
    <mergeCell ref="F8:F10"/>
    <mergeCell ref="G8:G10"/>
    <mergeCell ref="H8:H10"/>
    <mergeCell ref="I8:I10"/>
    <mergeCell ref="B8:B10"/>
    <mergeCell ref="C8:C10"/>
    <mergeCell ref="D8:D10"/>
    <mergeCell ref="E8:E10"/>
    <mergeCell ref="L8:L10"/>
    <mergeCell ref="M8:M10"/>
    <mergeCell ref="N8:N10"/>
    <mergeCell ref="A12:A21"/>
    <mergeCell ref="B12:B21"/>
    <mergeCell ref="J8:J10"/>
    <mergeCell ref="K8:K10"/>
    <mergeCell ref="A8:A10"/>
  </mergeCells>
  <pageMargins left="0.7" right="0.7" top="0.75" bottom="0.75" header="0.3" footer="0.3"/>
  <legacy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9"/>
  <sheetViews>
    <sheetView topLeftCell="A13" workbookViewId="0">
      <selection activeCell="F1" sqref="F1:G1"/>
    </sheetView>
  </sheetViews>
  <sheetFormatPr defaultRowHeight="17.25" x14ac:dyDescent="0.3"/>
  <cols>
    <col min="1" max="1" width="4.28515625" style="1" customWidth="1"/>
    <col min="2" max="2" width="23.5703125" style="1" customWidth="1"/>
    <col min="3" max="3" width="11.42578125" style="1" customWidth="1"/>
    <col min="4" max="4" width="10.7109375" style="1" customWidth="1"/>
    <col min="5" max="5" width="14" style="1" customWidth="1"/>
    <col min="6" max="7" width="17.140625" style="1" customWidth="1"/>
    <col min="8" max="16384" width="9.140625" style="1"/>
  </cols>
  <sheetData>
    <row r="1" spans="1:7" x14ac:dyDescent="0.3">
      <c r="D1" s="262"/>
      <c r="E1" s="262"/>
      <c r="F1" s="465" t="s">
        <v>1398</v>
      </c>
      <c r="G1" s="465"/>
    </row>
    <row r="2" spans="1:7" x14ac:dyDescent="0.3">
      <c r="D2" s="465" t="s">
        <v>1</v>
      </c>
      <c r="E2" s="465"/>
      <c r="F2" s="465"/>
      <c r="G2" s="465"/>
    </row>
    <row r="3" spans="1:7" x14ac:dyDescent="0.3">
      <c r="D3" s="465" t="s">
        <v>2</v>
      </c>
      <c r="E3" s="465"/>
      <c r="F3" s="465"/>
      <c r="G3" s="465"/>
    </row>
    <row r="5" spans="1:7" x14ac:dyDescent="0.3">
      <c r="A5" s="466" t="s">
        <v>3</v>
      </c>
      <c r="B5" s="466"/>
      <c r="C5" s="466"/>
      <c r="D5" s="466"/>
      <c r="E5" s="466"/>
      <c r="F5" s="466"/>
      <c r="G5" s="466"/>
    </row>
    <row r="6" spans="1:7" ht="188.25" customHeight="1" x14ac:dyDescent="0.3">
      <c r="A6" s="516" t="s">
        <v>1167</v>
      </c>
      <c r="B6" s="516"/>
      <c r="C6" s="516"/>
      <c r="D6" s="516"/>
      <c r="E6" s="516"/>
      <c r="F6" s="516"/>
      <c r="G6" s="516"/>
    </row>
    <row r="7" spans="1:7" x14ac:dyDescent="0.3">
      <c r="C7" s="3"/>
      <c r="D7" s="262"/>
      <c r="E7" s="262"/>
      <c r="F7" s="262"/>
    </row>
    <row r="8" spans="1:7" ht="69" x14ac:dyDescent="0.3">
      <c r="A8" s="461" t="s">
        <v>4</v>
      </c>
      <c r="B8" s="461" t="s">
        <v>5</v>
      </c>
      <c r="C8" s="461" t="s">
        <v>6</v>
      </c>
      <c r="D8" s="461" t="s">
        <v>7</v>
      </c>
      <c r="E8" s="5" t="s">
        <v>8</v>
      </c>
      <c r="F8" s="264" t="s">
        <v>9</v>
      </c>
      <c r="G8" s="264" t="s">
        <v>10</v>
      </c>
    </row>
    <row r="9" spans="1:7" ht="25.5" customHeight="1" x14ac:dyDescent="0.3">
      <c r="A9" s="503"/>
      <c r="B9" s="462"/>
      <c r="C9" s="462"/>
      <c r="D9" s="468"/>
      <c r="E9" s="264" t="s">
        <v>12</v>
      </c>
      <c r="F9" s="31" t="s">
        <v>12</v>
      </c>
      <c r="G9" s="31" t="s">
        <v>12</v>
      </c>
    </row>
    <row r="10" spans="1:7" ht="27.75" customHeight="1" x14ac:dyDescent="0.3">
      <c r="A10" s="31">
        <v>1</v>
      </c>
      <c r="B10" s="31">
        <v>2</v>
      </c>
      <c r="C10" s="31">
        <v>3</v>
      </c>
      <c r="D10" s="31">
        <v>4</v>
      </c>
      <c r="E10" s="31">
        <v>5</v>
      </c>
      <c r="F10" s="31">
        <v>6</v>
      </c>
      <c r="G10" s="31">
        <v>7</v>
      </c>
    </row>
    <row r="11" spans="1:7" s="122" customFormat="1" ht="39" customHeight="1" x14ac:dyDescent="0.25">
      <c r="A11" s="290">
        <v>1</v>
      </c>
      <c r="B11" s="300" t="s">
        <v>1071</v>
      </c>
      <c r="C11" s="291" t="s">
        <v>14</v>
      </c>
      <c r="D11" s="301" t="s">
        <v>553</v>
      </c>
      <c r="E11" s="302">
        <v>1</v>
      </c>
      <c r="F11" s="302">
        <f t="shared" ref="F11:F19" si="0">+D11*E11</f>
        <v>1</v>
      </c>
      <c r="G11" s="302">
        <v>0.75</v>
      </c>
    </row>
    <row r="12" spans="1:7" s="122" customFormat="1" ht="39.75" customHeight="1" x14ac:dyDescent="0.25">
      <c r="A12" s="290">
        <v>2</v>
      </c>
      <c r="B12" s="300" t="s">
        <v>1071</v>
      </c>
      <c r="C12" s="291" t="s">
        <v>14</v>
      </c>
      <c r="D12" s="301" t="s">
        <v>553</v>
      </c>
      <c r="E12" s="302">
        <v>1</v>
      </c>
      <c r="F12" s="302">
        <f t="shared" si="0"/>
        <v>1</v>
      </c>
      <c r="G12" s="302">
        <v>0.75</v>
      </c>
    </row>
    <row r="13" spans="1:7" s="69" customFormat="1" ht="35.25" customHeight="1" x14ac:dyDescent="0.25">
      <c r="A13" s="290">
        <v>3</v>
      </c>
      <c r="B13" s="300" t="s">
        <v>1071</v>
      </c>
      <c r="C13" s="291" t="s">
        <v>14</v>
      </c>
      <c r="D13" s="301" t="s">
        <v>553</v>
      </c>
      <c r="E13" s="302">
        <v>1</v>
      </c>
      <c r="F13" s="302">
        <f t="shared" si="0"/>
        <v>1</v>
      </c>
      <c r="G13" s="302">
        <v>0.75</v>
      </c>
    </row>
    <row r="14" spans="1:7" x14ac:dyDescent="0.3">
      <c r="A14" s="290">
        <v>4</v>
      </c>
      <c r="B14" s="300" t="s">
        <v>984</v>
      </c>
      <c r="C14" s="291" t="s">
        <v>14</v>
      </c>
      <c r="D14" s="301" t="s">
        <v>553</v>
      </c>
      <c r="E14" s="302">
        <v>1</v>
      </c>
      <c r="F14" s="302">
        <f t="shared" si="0"/>
        <v>1</v>
      </c>
      <c r="G14" s="302">
        <v>0</v>
      </c>
    </row>
    <row r="15" spans="1:7" x14ac:dyDescent="0.3">
      <c r="A15" s="290">
        <v>5</v>
      </c>
      <c r="B15" s="285" t="s">
        <v>935</v>
      </c>
      <c r="C15" s="283" t="s">
        <v>14</v>
      </c>
      <c r="D15" s="287" t="s">
        <v>553</v>
      </c>
      <c r="E15" s="288">
        <v>1</v>
      </c>
      <c r="F15" s="288">
        <f t="shared" si="0"/>
        <v>1</v>
      </c>
      <c r="G15" s="288">
        <v>0</v>
      </c>
    </row>
    <row r="16" spans="1:7" x14ac:dyDescent="0.3">
      <c r="A16" s="290">
        <v>6</v>
      </c>
      <c r="B16" s="285" t="s">
        <v>936</v>
      </c>
      <c r="C16" s="283" t="s">
        <v>14</v>
      </c>
      <c r="D16" s="287" t="s">
        <v>553</v>
      </c>
      <c r="E16" s="288">
        <v>1</v>
      </c>
      <c r="F16" s="288">
        <f t="shared" si="0"/>
        <v>1</v>
      </c>
      <c r="G16" s="288">
        <v>0</v>
      </c>
    </row>
    <row r="17" spans="1:7" ht="33" x14ac:dyDescent="0.3">
      <c r="A17" s="290">
        <v>7</v>
      </c>
      <c r="B17" s="285" t="s">
        <v>937</v>
      </c>
      <c r="C17" s="283" t="s">
        <v>14</v>
      </c>
      <c r="D17" s="287" t="s">
        <v>553</v>
      </c>
      <c r="E17" s="288">
        <v>1</v>
      </c>
      <c r="F17" s="288">
        <f t="shared" si="0"/>
        <v>1</v>
      </c>
      <c r="G17" s="288">
        <v>0</v>
      </c>
    </row>
    <row r="18" spans="1:7" ht="33" x14ac:dyDescent="0.3">
      <c r="A18" s="290">
        <v>8</v>
      </c>
      <c r="B18" s="285" t="s">
        <v>937</v>
      </c>
      <c r="C18" s="283" t="s">
        <v>14</v>
      </c>
      <c r="D18" s="287" t="s">
        <v>553</v>
      </c>
      <c r="E18" s="288">
        <v>1050</v>
      </c>
      <c r="F18" s="288">
        <f t="shared" si="0"/>
        <v>1050</v>
      </c>
      <c r="G18" s="288">
        <v>0</v>
      </c>
    </row>
    <row r="19" spans="1:7" ht="33" x14ac:dyDescent="0.3">
      <c r="A19" s="290">
        <v>9</v>
      </c>
      <c r="B19" s="285" t="s">
        <v>938</v>
      </c>
      <c r="C19" s="283" t="s">
        <v>14</v>
      </c>
      <c r="D19" s="287" t="s">
        <v>553</v>
      </c>
      <c r="E19" s="288">
        <v>41600</v>
      </c>
      <c r="F19" s="288">
        <f t="shared" si="0"/>
        <v>41600</v>
      </c>
      <c r="G19" s="288">
        <v>26718.53</v>
      </c>
    </row>
    <row r="20" spans="1:7" ht="33" x14ac:dyDescent="0.3">
      <c r="A20" s="290">
        <v>10</v>
      </c>
      <c r="B20" s="285" t="s">
        <v>1084</v>
      </c>
      <c r="C20" s="294" t="s">
        <v>314</v>
      </c>
      <c r="D20" s="293">
        <v>10</v>
      </c>
      <c r="E20" s="293">
        <f t="shared" ref="E20:E28" si="1">+F20/D20</f>
        <v>20341</v>
      </c>
      <c r="F20" s="303">
        <v>203410</v>
      </c>
      <c r="G20" s="282">
        <v>0</v>
      </c>
    </row>
    <row r="21" spans="1:7" ht="49.5" x14ac:dyDescent="0.3">
      <c r="A21" s="290">
        <v>11</v>
      </c>
      <c r="B21" s="285" t="s">
        <v>1085</v>
      </c>
      <c r="C21" s="294" t="s">
        <v>314</v>
      </c>
      <c r="D21" s="293">
        <v>1</v>
      </c>
      <c r="E21" s="293">
        <f t="shared" si="1"/>
        <v>9500</v>
      </c>
      <c r="F21" s="303">
        <v>9500</v>
      </c>
      <c r="G21" s="282">
        <v>0</v>
      </c>
    </row>
    <row r="22" spans="1:7" ht="33" x14ac:dyDescent="0.3">
      <c r="A22" s="290">
        <v>12</v>
      </c>
      <c r="B22" s="285" t="s">
        <v>1086</v>
      </c>
      <c r="C22" s="294" t="s">
        <v>314</v>
      </c>
      <c r="D22" s="293">
        <v>1</v>
      </c>
      <c r="E22" s="293">
        <f t="shared" si="1"/>
        <v>15000</v>
      </c>
      <c r="F22" s="303">
        <v>15000</v>
      </c>
      <c r="G22" s="282">
        <v>0</v>
      </c>
    </row>
    <row r="23" spans="1:7" ht="49.5" x14ac:dyDescent="0.3">
      <c r="A23" s="290">
        <v>13</v>
      </c>
      <c r="B23" s="285" t="s">
        <v>1087</v>
      </c>
      <c r="C23" s="294" t="s">
        <v>314</v>
      </c>
      <c r="D23" s="293">
        <v>1</v>
      </c>
      <c r="E23" s="293">
        <f t="shared" si="1"/>
        <v>69600</v>
      </c>
      <c r="F23" s="303">
        <v>69600</v>
      </c>
      <c r="G23" s="282">
        <v>0</v>
      </c>
    </row>
    <row r="24" spans="1:7" ht="33" x14ac:dyDescent="0.3">
      <c r="A24" s="290">
        <v>14</v>
      </c>
      <c r="B24" s="285" t="s">
        <v>1088</v>
      </c>
      <c r="C24" s="294" t="s">
        <v>314</v>
      </c>
      <c r="D24" s="293">
        <v>1</v>
      </c>
      <c r="E24" s="293">
        <f t="shared" si="1"/>
        <v>68400</v>
      </c>
      <c r="F24" s="303">
        <v>68400</v>
      </c>
      <c r="G24" s="282">
        <v>0</v>
      </c>
    </row>
    <row r="25" spans="1:7" ht="33" x14ac:dyDescent="0.3">
      <c r="A25" s="290">
        <v>15</v>
      </c>
      <c r="B25" s="285" t="s">
        <v>1089</v>
      </c>
      <c r="C25" s="294" t="s">
        <v>314</v>
      </c>
      <c r="D25" s="293">
        <v>1</v>
      </c>
      <c r="E25" s="293">
        <f t="shared" si="1"/>
        <v>46000</v>
      </c>
      <c r="F25" s="303">
        <v>46000</v>
      </c>
      <c r="G25" s="282">
        <v>0</v>
      </c>
    </row>
    <row r="26" spans="1:7" x14ac:dyDescent="0.3">
      <c r="A26" s="290">
        <v>16</v>
      </c>
      <c r="B26" s="285" t="s">
        <v>1091</v>
      </c>
      <c r="C26" s="294" t="s">
        <v>314</v>
      </c>
      <c r="D26" s="293">
        <v>20</v>
      </c>
      <c r="E26" s="293">
        <f t="shared" si="1"/>
        <v>6250</v>
      </c>
      <c r="F26" s="303">
        <v>125000</v>
      </c>
      <c r="G26" s="282">
        <v>0</v>
      </c>
    </row>
    <row r="27" spans="1:7" x14ac:dyDescent="0.3">
      <c r="A27" s="290">
        <v>17</v>
      </c>
      <c r="B27" s="285" t="s">
        <v>1117</v>
      </c>
      <c r="C27" s="294" t="s">
        <v>314</v>
      </c>
      <c r="D27" s="293">
        <v>2</v>
      </c>
      <c r="E27" s="293">
        <f t="shared" si="1"/>
        <v>25000</v>
      </c>
      <c r="F27" s="303">
        <v>50000</v>
      </c>
      <c r="G27" s="282">
        <v>0</v>
      </c>
    </row>
    <row r="28" spans="1:7" x14ac:dyDescent="0.3">
      <c r="A28" s="290">
        <v>18</v>
      </c>
      <c r="B28" s="285" t="s">
        <v>1118</v>
      </c>
      <c r="C28" s="294" t="s">
        <v>314</v>
      </c>
      <c r="D28" s="293">
        <v>1</v>
      </c>
      <c r="E28" s="293">
        <f t="shared" si="1"/>
        <v>15000</v>
      </c>
      <c r="F28" s="303">
        <v>15000</v>
      </c>
      <c r="G28" s="282">
        <v>0</v>
      </c>
    </row>
    <row r="29" spans="1:7" x14ac:dyDescent="0.3">
      <c r="A29" s="281"/>
      <c r="B29" s="281" t="s">
        <v>39</v>
      </c>
      <c r="C29" s="281"/>
      <c r="D29" s="304">
        <f>SUM(D20:D28)</f>
        <v>38</v>
      </c>
      <c r="E29" s="304"/>
      <c r="F29" s="305">
        <f>SUM(F11:F28)</f>
        <v>644567</v>
      </c>
      <c r="G29" s="305">
        <f>SUM(G11:G28)</f>
        <v>26720.78</v>
      </c>
    </row>
  </sheetData>
  <mergeCells count="9">
    <mergeCell ref="A8:A9"/>
    <mergeCell ref="B8:B9"/>
    <mergeCell ref="C8:C9"/>
    <mergeCell ref="D8:D9"/>
    <mergeCell ref="F1:G1"/>
    <mergeCell ref="D2:G2"/>
    <mergeCell ref="D3:G3"/>
    <mergeCell ref="A5:G5"/>
    <mergeCell ref="A6: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65</vt:i4>
      </vt:variant>
    </vt:vector>
  </HeadingPairs>
  <TitlesOfParts>
    <vt:vector size="65" baseType="lpstr">
      <vt:lpstr>1</vt:lpstr>
      <vt:lpstr>2</vt:lpstr>
      <vt:lpstr>3</vt:lpstr>
      <vt:lpstr>4</vt:lpstr>
      <vt:lpstr>5</vt:lpstr>
      <vt:lpstr>6</vt:lpstr>
      <vt:lpstr>7</vt:lpstr>
      <vt:lpstr>h8</vt:lpstr>
      <vt:lpstr>h9</vt:lpstr>
      <vt:lpstr>h10</vt:lpstr>
      <vt:lpstr>h11</vt:lpstr>
      <vt:lpstr>h12</vt:lpstr>
      <vt:lpstr>h13</vt:lpstr>
      <vt:lpstr>h14</vt:lpstr>
      <vt:lpstr>h15</vt:lpstr>
      <vt:lpstr>h16</vt:lpstr>
      <vt:lpstr>h17</vt:lpstr>
      <vt:lpstr>h18</vt:lpstr>
      <vt:lpstr>h19</vt:lpstr>
      <vt:lpstr>h20</vt:lpstr>
      <vt:lpstr>h21</vt:lpstr>
      <vt:lpstr>h22</vt:lpstr>
      <vt:lpstr>h23</vt:lpstr>
      <vt:lpstr>h24</vt:lpstr>
      <vt:lpstr>h25</vt:lpstr>
      <vt:lpstr>h26</vt:lpstr>
      <vt:lpstr>h27</vt:lpstr>
      <vt:lpstr>h28</vt:lpstr>
      <vt:lpstr>h29</vt:lpstr>
      <vt:lpstr>h30</vt:lpstr>
      <vt:lpstr>h31</vt:lpstr>
      <vt:lpstr>h32</vt:lpstr>
      <vt:lpstr>h33</vt:lpstr>
      <vt:lpstr>h34</vt:lpstr>
      <vt:lpstr>h35</vt:lpstr>
      <vt:lpstr>h36</vt:lpstr>
      <vt:lpstr>h37</vt:lpstr>
      <vt:lpstr>h39</vt:lpstr>
      <vt:lpstr>38</vt:lpstr>
      <vt:lpstr>h40</vt:lpstr>
      <vt:lpstr>h41</vt:lpstr>
      <vt:lpstr>h42</vt:lpstr>
      <vt:lpstr>h43</vt:lpstr>
      <vt:lpstr>h44</vt:lpstr>
      <vt:lpstr>h45</vt:lpstr>
      <vt:lpstr>h46</vt:lpstr>
      <vt:lpstr>h47</vt:lpstr>
      <vt:lpstr>h48</vt:lpstr>
      <vt:lpstr>h49</vt:lpstr>
      <vt:lpstr>h50</vt:lpstr>
      <vt:lpstr>h51</vt:lpstr>
      <vt:lpstr>h52</vt:lpstr>
      <vt:lpstr>h53</vt:lpstr>
      <vt:lpstr>h54</vt:lpstr>
      <vt:lpstr>h55</vt:lpstr>
      <vt:lpstr>h56</vt:lpstr>
      <vt:lpstr>h57</vt:lpstr>
      <vt:lpstr>h58</vt:lpstr>
      <vt:lpstr>h59</vt:lpstr>
      <vt:lpstr>h60</vt:lpstr>
      <vt:lpstr>h61</vt:lpstr>
      <vt:lpstr>h62</vt:lpstr>
      <vt:lpstr>h63</vt:lpstr>
      <vt:lpstr>h64</vt:lpstr>
      <vt:lpstr>h65</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keywords>https://mul2.gov.am/tasks/536671/oneclick/Havelvacner NN 1-65.xlsx?token=ed4a95eeea864bca5f6ecb547d57c5ff</cp:keywords>
  <cp:lastModifiedBy/>
  <dcterms:created xsi:type="dcterms:W3CDTF">2006-09-16T00:00:00Z</dcterms:created>
  <dcterms:modified xsi:type="dcterms:W3CDTF">2021-12-09T14:14:39Z</dcterms:modified>
</cp:coreProperties>
</file>