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showInkAnnotation="0"/>
  <bookViews>
    <workbookView xWindow="-120" yWindow="-120" windowWidth="20370" windowHeight="12810"/>
  </bookViews>
  <sheets>
    <sheet name="SM_2021_arachnahert" sheetId="23" r:id="rId1"/>
  </sheets>
  <definedNames>
    <definedName name="_xlnm._FilterDatabase" localSheetId="0" hidden="1">SM_2021_arachnahert!$A$3:$O$135</definedName>
    <definedName name="_xlnm.Print_Area" localSheetId="0">SM_2021_arachnahert!$B$1:$J$135</definedName>
  </definedNames>
  <calcPr calcId="145621"/>
</workbook>
</file>

<file path=xl/calcChain.xml><?xml version="1.0" encoding="utf-8"?>
<calcChain xmlns="http://schemas.openxmlformats.org/spreadsheetml/2006/main">
  <c r="G88" i="23" l="1"/>
  <c r="H88" i="23" s="1"/>
  <c r="I88" i="23" s="1"/>
  <c r="H125" i="23"/>
  <c r="I125" i="23" s="1"/>
  <c r="H115" i="23"/>
  <c r="I115" i="23" s="1"/>
  <c r="H129" i="23"/>
  <c r="I129" i="23" s="1"/>
  <c r="H124" i="23"/>
  <c r="I124" i="23" s="1"/>
  <c r="H118" i="23"/>
  <c r="I118" i="23" s="1"/>
  <c r="H133" i="23"/>
  <c r="I133" i="23" s="1"/>
  <c r="H132" i="23"/>
  <c r="I132" i="23" s="1"/>
  <c r="H131" i="23"/>
  <c r="I131" i="23" s="1"/>
  <c r="H130" i="23"/>
  <c r="I130" i="23" s="1"/>
  <c r="H123" i="23"/>
  <c r="I123" i="23" s="1"/>
  <c r="H122" i="23"/>
  <c r="I122" i="23" s="1"/>
  <c r="H121" i="23"/>
  <c r="I121" i="23" s="1"/>
  <c r="H120" i="23"/>
  <c r="I120" i="23" s="1"/>
  <c r="H119" i="23"/>
  <c r="I119" i="23" s="1"/>
  <c r="H117" i="23"/>
  <c r="I117" i="23" s="1"/>
  <c r="H126" i="23"/>
  <c r="I126" i="23" s="1"/>
  <c r="H128" i="23"/>
  <c r="I128" i="23" s="1"/>
  <c r="H127" i="23"/>
  <c r="I127" i="23" s="1"/>
  <c r="H116" i="23"/>
  <c r="I116" i="23" s="1"/>
  <c r="H114" i="23"/>
  <c r="G113" i="23"/>
  <c r="E113" i="23"/>
  <c r="G111" i="23"/>
  <c r="H111" i="23" s="1"/>
  <c r="I111" i="23" s="1"/>
  <c r="G110" i="23"/>
  <c r="H110" i="23" s="1"/>
  <c r="I110" i="23" s="1"/>
  <c r="G109" i="23"/>
  <c r="H109" i="23" s="1"/>
  <c r="I109" i="23" s="1"/>
  <c r="G108" i="23"/>
  <c r="H108" i="23" s="1"/>
  <c r="I108" i="23" s="1"/>
  <c r="G107" i="23"/>
  <c r="H107" i="23" s="1"/>
  <c r="I107" i="23" s="1"/>
  <c r="G106" i="23"/>
  <c r="H106" i="23" s="1"/>
  <c r="I106" i="23" s="1"/>
  <c r="G105" i="23"/>
  <c r="H105" i="23" s="1"/>
  <c r="I105" i="23" s="1"/>
  <c r="G104" i="23"/>
  <c r="H104" i="23" s="1"/>
  <c r="I104" i="23" s="1"/>
  <c r="G103" i="23"/>
  <c r="H103" i="23" s="1"/>
  <c r="I103" i="23" s="1"/>
  <c r="G102" i="23"/>
  <c r="H102" i="23" s="1"/>
  <c r="I102" i="23" s="1"/>
  <c r="G101" i="23"/>
  <c r="H101" i="23" s="1"/>
  <c r="I101" i="23" s="1"/>
  <c r="G100" i="23"/>
  <c r="H100" i="23" s="1"/>
  <c r="I100" i="23" s="1"/>
  <c r="G99" i="23"/>
  <c r="H99" i="23" s="1"/>
  <c r="I99" i="23" s="1"/>
  <c r="G98" i="23"/>
  <c r="H98" i="23" s="1"/>
  <c r="I98" i="23" s="1"/>
  <c r="G97" i="23"/>
  <c r="H97" i="23" s="1"/>
  <c r="I97" i="23" s="1"/>
  <c r="G96" i="23"/>
  <c r="H96" i="23" s="1"/>
  <c r="I96" i="23" s="1"/>
  <c r="G95" i="23"/>
  <c r="H95" i="23" s="1"/>
  <c r="I95" i="23" s="1"/>
  <c r="G94" i="23"/>
  <c r="H94" i="23" s="1"/>
  <c r="I94" i="23" s="1"/>
  <c r="G93" i="23"/>
  <c r="H93" i="23" s="1"/>
  <c r="I93" i="23" s="1"/>
  <c r="G92" i="23"/>
  <c r="H92" i="23" s="1"/>
  <c r="I92" i="23" s="1"/>
  <c r="G91" i="23"/>
  <c r="H91" i="23" s="1"/>
  <c r="I91" i="23" s="1"/>
  <c r="G90" i="23"/>
  <c r="H90" i="23" s="1"/>
  <c r="I90" i="23" s="1"/>
  <c r="G89" i="23"/>
  <c r="H89" i="23" s="1"/>
  <c r="I89" i="23" s="1"/>
  <c r="G87" i="23"/>
  <c r="H87" i="23" s="1"/>
  <c r="I87" i="23" s="1"/>
  <c r="G86" i="23"/>
  <c r="H86" i="23" s="1"/>
  <c r="I86" i="23" s="1"/>
  <c r="G85" i="23"/>
  <c r="H85" i="23" s="1"/>
  <c r="I85" i="23" s="1"/>
  <c r="G84" i="23"/>
  <c r="H84" i="23" s="1"/>
  <c r="I84" i="23" s="1"/>
  <c r="G83" i="23"/>
  <c r="H83" i="23" s="1"/>
  <c r="I83" i="23" s="1"/>
  <c r="G82" i="23"/>
  <c r="H82" i="23" s="1"/>
  <c r="I82" i="23" s="1"/>
  <c r="G81" i="23"/>
  <c r="H81" i="23" s="1"/>
  <c r="I81" i="23" s="1"/>
  <c r="G80" i="23"/>
  <c r="H80" i="23" s="1"/>
  <c r="I80" i="23" s="1"/>
  <c r="G79" i="23"/>
  <c r="H79" i="23" s="1"/>
  <c r="I79" i="23" s="1"/>
  <c r="G78" i="23"/>
  <c r="H78" i="23" s="1"/>
  <c r="I78" i="23" s="1"/>
  <c r="G77" i="23"/>
  <c r="H77" i="23" s="1"/>
  <c r="I77" i="23" s="1"/>
  <c r="G76" i="23"/>
  <c r="H76" i="23" s="1"/>
  <c r="I76" i="23" s="1"/>
  <c r="G75" i="23"/>
  <c r="H75" i="23" s="1"/>
  <c r="I75" i="23" s="1"/>
  <c r="G74" i="23"/>
  <c r="H74" i="23" s="1"/>
  <c r="I74" i="23" s="1"/>
  <c r="G73" i="23"/>
  <c r="E72" i="23"/>
  <c r="G70" i="23"/>
  <c r="H70" i="23" s="1"/>
  <c r="I70" i="23" s="1"/>
  <c r="G69" i="23"/>
  <c r="H69" i="23" s="1"/>
  <c r="I69" i="23" s="1"/>
  <c r="G68" i="23"/>
  <c r="H68" i="23" s="1"/>
  <c r="I68" i="23" s="1"/>
  <c r="G67" i="23"/>
  <c r="H67" i="23" s="1"/>
  <c r="I67" i="23" s="1"/>
  <c r="G66" i="23"/>
  <c r="H66" i="23" s="1"/>
  <c r="I66" i="23" s="1"/>
  <c r="G65" i="23"/>
  <c r="H65" i="23" s="1"/>
  <c r="I65" i="23" s="1"/>
  <c r="H64" i="23"/>
  <c r="I64" i="23" s="1"/>
  <c r="H63" i="23"/>
  <c r="I63" i="23" s="1"/>
  <c r="H62" i="23"/>
  <c r="I62" i="23" s="1"/>
  <c r="G61" i="23"/>
  <c r="H61" i="23" s="1"/>
  <c r="I61" i="23" s="1"/>
  <c r="G60" i="23"/>
  <c r="H60" i="23" s="1"/>
  <c r="I60" i="23" s="1"/>
  <c r="G59" i="23"/>
  <c r="H59" i="23" s="1"/>
  <c r="I59" i="23" s="1"/>
  <c r="G58" i="23"/>
  <c r="H58" i="23" s="1"/>
  <c r="I58" i="23" s="1"/>
  <c r="G57" i="23"/>
  <c r="H57" i="23" s="1"/>
  <c r="I57" i="23" s="1"/>
  <c r="G56" i="23"/>
  <c r="H56" i="23" s="1"/>
  <c r="I56" i="23" s="1"/>
  <c r="G55" i="23"/>
  <c r="H55" i="23" s="1"/>
  <c r="I55" i="23" s="1"/>
  <c r="G54" i="23"/>
  <c r="H54" i="23" s="1"/>
  <c r="I54" i="23" s="1"/>
  <c r="G53" i="23"/>
  <c r="H53" i="23" s="1"/>
  <c r="I53" i="23" s="1"/>
  <c r="G52" i="23"/>
  <c r="H52" i="23" s="1"/>
  <c r="I52" i="23" s="1"/>
  <c r="H51" i="23"/>
  <c r="I51" i="23" s="1"/>
  <c r="G50" i="23"/>
  <c r="H50" i="23" s="1"/>
  <c r="I50" i="23" s="1"/>
  <c r="G49" i="23"/>
  <c r="H49" i="23" s="1"/>
  <c r="I49" i="23" s="1"/>
  <c r="G48" i="23"/>
  <c r="H48" i="23" s="1"/>
  <c r="I48" i="23" s="1"/>
  <c r="G47" i="23"/>
  <c r="H47" i="23" s="1"/>
  <c r="I47" i="23" s="1"/>
  <c r="G46" i="23"/>
  <c r="H46" i="23" s="1"/>
  <c r="I46" i="23" s="1"/>
  <c r="G45" i="23"/>
  <c r="H45" i="23" s="1"/>
  <c r="I45" i="23" s="1"/>
  <c r="G44" i="23"/>
  <c r="H44" i="23" s="1"/>
  <c r="I44" i="23" s="1"/>
  <c r="G43" i="23"/>
  <c r="H43" i="23" s="1"/>
  <c r="I43" i="23" s="1"/>
  <c r="G42" i="23"/>
  <c r="H42" i="23" s="1"/>
  <c r="I42" i="23" s="1"/>
  <c r="G41" i="23"/>
  <c r="H41" i="23" s="1"/>
  <c r="I41" i="23" s="1"/>
  <c r="G40" i="23"/>
  <c r="H40" i="23" s="1"/>
  <c r="I40" i="23" s="1"/>
  <c r="G39" i="23"/>
  <c r="H39" i="23" s="1"/>
  <c r="I39" i="23" s="1"/>
  <c r="G38" i="23"/>
  <c r="H38" i="23" s="1"/>
  <c r="I38" i="23" s="1"/>
  <c r="G37" i="23"/>
  <c r="H37" i="23" s="1"/>
  <c r="I37" i="23" s="1"/>
  <c r="G36" i="23"/>
  <c r="H36" i="23" s="1"/>
  <c r="I36" i="23" s="1"/>
  <c r="G35" i="23"/>
  <c r="H35" i="23" s="1"/>
  <c r="E34" i="23"/>
  <c r="G32" i="23"/>
  <c r="H32" i="23" s="1"/>
  <c r="G31" i="23"/>
  <c r="H31" i="23" s="1"/>
  <c r="I31" i="23" s="1"/>
  <c r="G30" i="23"/>
  <c r="H30" i="23" s="1"/>
  <c r="I30" i="23" s="1"/>
  <c r="G29" i="23"/>
  <c r="H29" i="23" s="1"/>
  <c r="G28" i="23"/>
  <c r="H28" i="23" s="1"/>
  <c r="G27" i="23"/>
  <c r="H27" i="23" s="1"/>
  <c r="H26" i="23"/>
  <c r="I26" i="23" s="1"/>
  <c r="H25" i="23"/>
  <c r="I25" i="23" s="1"/>
  <c r="G24" i="23"/>
  <c r="H24" i="23" s="1"/>
  <c r="I24" i="23" s="1"/>
  <c r="G23" i="23"/>
  <c r="H23" i="23" s="1"/>
  <c r="G22" i="23"/>
  <c r="H22" i="23" s="1"/>
  <c r="I22" i="23" s="1"/>
  <c r="H21" i="23"/>
  <c r="I21" i="23" s="1"/>
  <c r="E20" i="23"/>
  <c r="H19" i="23"/>
  <c r="I19" i="23" s="1"/>
  <c r="G18" i="23"/>
  <c r="H18" i="23" s="1"/>
  <c r="I18" i="23" s="1"/>
  <c r="G17" i="23"/>
  <c r="H17" i="23" s="1"/>
  <c r="I17" i="23" s="1"/>
  <c r="G16" i="23"/>
  <c r="H16" i="23" s="1"/>
  <c r="G15" i="23"/>
  <c r="H15" i="23" s="1"/>
  <c r="I15" i="23" s="1"/>
  <c r="G14" i="23"/>
  <c r="H14" i="23" s="1"/>
  <c r="I14" i="23" s="1"/>
  <c r="G13" i="23"/>
  <c r="H13" i="23" s="1"/>
  <c r="I13" i="23" s="1"/>
  <c r="G12" i="23"/>
  <c r="H12" i="23" s="1"/>
  <c r="I12" i="23" s="1"/>
  <c r="G11" i="23"/>
  <c r="H11" i="23" s="1"/>
  <c r="I11" i="23" s="1"/>
  <c r="G10" i="23"/>
  <c r="H10" i="23" s="1"/>
  <c r="I10" i="23" s="1"/>
  <c r="E9" i="23"/>
  <c r="G9" i="23" s="1"/>
  <c r="G8" i="23"/>
  <c r="G7" i="23"/>
  <c r="H113" i="23" l="1"/>
  <c r="G72" i="23"/>
  <c r="E6" i="23"/>
  <c r="E5" i="23" s="1"/>
  <c r="I35" i="23"/>
  <c r="I34" i="23" s="1"/>
  <c r="H34" i="23"/>
  <c r="I16" i="23"/>
  <c r="I23" i="23"/>
  <c r="H9" i="23"/>
  <c r="I9" i="23" s="1"/>
  <c r="I27" i="23"/>
  <c r="I29" i="23"/>
  <c r="I28" i="23"/>
  <c r="I32" i="23"/>
  <c r="H8" i="23"/>
  <c r="H7" i="23"/>
  <c r="G34" i="23"/>
  <c r="H73" i="23"/>
  <c r="I114" i="23"/>
  <c r="I113" i="23" s="1"/>
  <c r="G20" i="23"/>
  <c r="G6" i="23" s="1"/>
  <c r="I7" i="23" l="1"/>
  <c r="H20" i="23"/>
  <c r="H6" i="23" s="1"/>
  <c r="G5" i="23"/>
  <c r="I8" i="23"/>
  <c r="H72" i="23"/>
  <c r="I73" i="23"/>
  <c r="I72" i="23" s="1"/>
  <c r="H5" i="23" l="1"/>
  <c r="I20" i="23"/>
  <c r="I6" i="23" s="1"/>
  <c r="I5" i="23" l="1"/>
</calcChain>
</file>

<file path=xl/sharedStrings.xml><?xml version="1.0" encoding="utf-8"?>
<sst xmlns="http://schemas.openxmlformats.org/spreadsheetml/2006/main" count="779" uniqueCount="229">
  <si>
    <t>հ/հ</t>
  </si>
  <si>
    <t>Նախարարության, պատվիրատուի, օբյեկտի անվանումը</t>
  </si>
  <si>
    <t>Միջպետական նշանակության ավտոճանապարհներ, այդ թվում</t>
  </si>
  <si>
    <t>Երկարութունը, կմ</t>
  </si>
  <si>
    <t>Հանրապետական նշանակության ավտոճանապարհների հիմնանորոգում, այդ թվում</t>
  </si>
  <si>
    <t>Տրանսպորտային օբյեկտների հիմնանորոգում, այդ թվում</t>
  </si>
  <si>
    <t>Մարզային նշանակության ավտոճանապարհների հիմնանորոգում, այդ թվում</t>
  </si>
  <si>
    <t>Դիլիջանի թունելի հիմնանորոգում</t>
  </si>
  <si>
    <t>Հ-7, /Հ-5/ - Կարենիս - Չարենցավան - Ֆանտան հանրապետական նշանակության ավտոճանապարհի Չարենցավան - Ֆանտան հատվածի (Երևան -Սևան երկաթգծի և հրազդանի ջրանցքի վրայով անցնող) կամրջի հիմնանորոգում</t>
  </si>
  <si>
    <t>ՀՀ Շիրակի մարզի Ամասիա - Երիզակ ավտոճանապարհի կմ9+300 հատվածի հավաքովի ե/բետոնե ուղղանկյուն խողովակի հիմնանորոգում</t>
  </si>
  <si>
    <t>Հ-60, Մ-3 - Մեծավան - Ձյունաշող հանրապետական նշանակության ավտոճանապարհի կմ5+000 հատվածի կամրջի հիմնանորոգում</t>
  </si>
  <si>
    <t>2021 Պետական բյուջե</t>
  </si>
  <si>
    <t>Տեղեկանք</t>
  </si>
  <si>
    <t>Հ-5, /Հ-6/-Նոր Գեղի-Արգել-Արզական-Հրազդան հանրապետական նշանակության ավտոճանապարհի կմ 25+200 - կմ36+000 հատվածի հիմնանորոգում</t>
  </si>
  <si>
    <t>Մարզ</t>
  </si>
  <si>
    <t>Շիրակ</t>
  </si>
  <si>
    <t>Վայոց Ձոր</t>
  </si>
  <si>
    <t>Սյունիք</t>
  </si>
  <si>
    <t>Արագածոտն</t>
  </si>
  <si>
    <t>Լոռի</t>
  </si>
  <si>
    <t>Կոտայք</t>
  </si>
  <si>
    <t>Գեղարքունիք</t>
  </si>
  <si>
    <t>Արարատ</t>
  </si>
  <si>
    <t>Տավուշ</t>
  </si>
  <si>
    <t>Գեղարքունիք Տավուշ</t>
  </si>
  <si>
    <t>Տ-7-9, Կրասար (Տ-7-6) - Մեծ Սեպասար - /Հ-66/ մարզային նշանակության ավտոճանապարհի կամրջի հիմնանորոգում</t>
  </si>
  <si>
    <t>Տ-7-2, Ողջի - Մեղրաշատ - Բյուրական ավտոճանապարհի կմ7+700 հատվածի կամրջի հիմնանորոգում</t>
  </si>
  <si>
    <t>Հ-6, /Հ-2/ –Նոր Գեղի - Եղվարդի տրանսպորտային հանգույց - /Մ-1/ ավտոճանապարհի Հրազդան գետի վրայի կամրջի վերանորոգում</t>
  </si>
  <si>
    <t>Արմավիր</t>
  </si>
  <si>
    <t>Ծանոթություն</t>
  </si>
  <si>
    <t>Գնահատված շինարարության արժեք</t>
  </si>
  <si>
    <t>Հաշվարկված նախագծման արժեք</t>
  </si>
  <si>
    <t>Արարատի կամրջից մինչև Երասխ, 2019-ի արվածի սկիզբ</t>
  </si>
  <si>
    <t>Դեպի զանգեր բարձրացող հատված, ընդգրկում է նաև սողանք</t>
  </si>
  <si>
    <t>Չհասած 2019 թվակինին իրականացված հատվածի սկիզբ</t>
  </si>
  <si>
    <t>2019 և 2020 թվականներին իրականացվող հատվածների միջնամասում բաց մնացած հատված</t>
  </si>
  <si>
    <t>Մրցույթը չի կայացել 2019 թ․, հայտ չեն ներկայացրել</t>
  </si>
  <si>
    <t>2019 և 2020 թթ․ իրականացվող հատվածների միջնամասում մնացող միակ բաց հատված</t>
  </si>
  <si>
    <t>Երևանի շրջանցիկ ճանապարհ</t>
  </si>
  <si>
    <t>Միակ բաց հատվածը, որը 2019 թ․ շատ լավ վիճակում էր, սական տարևերջին արդեն շարքից դուրս էկավ, հիմնանորոգվել է 2000 ականների սկզբին</t>
  </si>
  <si>
    <t>Ռազմավարական նշանակության ճանապարհ</t>
  </si>
  <si>
    <t>Համայնքի և մարզպետի գրությունները՝ կապված ճանապարհի անմխիթար վիճակի մասին</t>
  </si>
  <si>
    <t>Համայնքի և մարզպետի գրությունները՝ կապված ճանապարհի ծածկի անմխիթար վիճակի մասին</t>
  </si>
  <si>
    <t xml:space="preserve">Զբոսաշրջության զարգացման համար ընտրված և ծածկի անմխիթար վիճակ ունեցող ճանապարահատված </t>
  </si>
  <si>
    <t>Համայնքի և մարզպետի գրությունները՝ կապված ճանապարհի ծածկի անմխիթար վիճակի մասին, ինչպես նաև Մասիս համայնք մտնող հիմական ճանապարհ</t>
  </si>
  <si>
    <t>Համայնքի և մարզպետի գրությունները՝ կապված ճանապարհի ծածկի անմխիթար վիճակի մասին, ինչպես նաև Երևան քաղաքը շրջանցող ճանապարհ</t>
  </si>
  <si>
    <t>Ամասիա համայքը միջպետական ճանապարհին կապող ճանապարհ</t>
  </si>
  <si>
    <t>Համայնքը միջպետական ճանապարհին կապող միակ ճանապարհ։</t>
  </si>
  <si>
    <t>Երթևեկության անվտանգության ապահովում</t>
  </si>
  <si>
    <t>Մի քանի համայնքներ միջպետական ճանապարհին կապող անմխիթար վիճակում գտնվող ճանապարհատված</t>
  </si>
  <si>
    <t>Համայնքի և մարզպետի գրությունները՝ կապված ճանապարհի ծածկի անմխիթար վիճակի մասին, ինչպես նաև Մ-1 միջպետական ճանապարհին շրջանցող ճանապարհահատված</t>
  </si>
  <si>
    <t>Համայնքի,մարզպետի և ԱԺ պատգամավորի գրությունները՝ կապված ճանապարհի ծածկի անմխիթար վիճակի մասին</t>
  </si>
  <si>
    <t>ՀԲ ծրագրով 2018թ իրականացված ծրագրի շարունակություն</t>
  </si>
  <si>
    <t>Եղվարդ համայնքը շրջանցող ճանապարհ</t>
  </si>
  <si>
    <t>Համայնքը Հանրապետական ճանապարհին կապող ճանապարհահատված, ծածկի անմխիթար վիճակ</t>
  </si>
  <si>
    <t>Համայնքի և մարզպետի գրությունները՝ կապված ճանապարհի ծածկի անմխիթար վիճակի մասին և Մ-10 միջպետական ճանապարհ բեռնաթափող հատված</t>
  </si>
  <si>
    <t>2019թ իրականացված հատվածի շարունակություն, ծածկի անմխիթար վիճակ</t>
  </si>
  <si>
    <t>Միջպետական ճանապարհային ցանցի բարելավում</t>
  </si>
  <si>
    <t>Դիլիջանի ոլորաններ</t>
  </si>
  <si>
    <t>Հաշվարկված փորձաքննության արժեք</t>
  </si>
  <si>
    <t xml:space="preserve"> Շիրակ</t>
  </si>
  <si>
    <t>2019թ. միջին նորգման հատված, որը բողոքարկման պատճառով չիրականացվեց շինարարությունը</t>
  </si>
  <si>
    <t>Երթևեկության անվտանգության ապահովում, նոր նորոգված հատվածների միացում, այս հատվածի վրա գտնվում է վթարային կամուրջ</t>
  </si>
  <si>
    <t>Միջպետական ճանապարհային ցանցի բարելավում, այս հատվածի վրա գոյություն ունի սև կետեր, արանց նախագծով պետք է լուծում տրվի</t>
  </si>
  <si>
    <t>Ծածկը ունի բազմաթիվ ցանցային ճաքեր, որոնց լուծումը հնարավոր չէր տավ միջին նորոգումով</t>
  </si>
  <si>
    <t>2019 թվականին իրականացված հատվածների միջև, ընդգրկում է նաև Եղեգնաձոր քաղաքը</t>
  </si>
  <si>
    <t>Տ-7-42, /Մ-7/ (Գյումրի) – Հացիկ – Կարմրաքար (Տ-7-45) ավտոճանապարհի կմ0+000-կմ 4+000 հատվածի հիմնանորոգում</t>
  </si>
  <si>
    <t>Տ-7-52, /Հ-21/ (Արթիկ) – Անուշավան – Փանիկ (Տ-7-53) ավտոճանապարհի կմ0+000 - կմ3+000 հատվածի հիմնանորոգում</t>
  </si>
  <si>
    <t>Տ-7-53, Հ-21/ (Նոր Կյանք) – Փանիկ - Արևշատ - /Հ-21/ (Մեծ Մանթաշ) ավտոճանապարհի կմ0+000 - կմ12+800 հատվածի հիմնանորոգում</t>
  </si>
  <si>
    <t>Վանաձոր քաղաքային համայնքի Կ. Դեմիրճյան փողոցի հիմնանորոգում</t>
  </si>
  <si>
    <t>Վանաձոր քաղաքային համայնքի Գրիգոր Լուսավորիչ փողոցի հիմնանորոգում</t>
  </si>
  <si>
    <t>Վանաձոր քաղաքային համայնքի Նարեկացի փողոց-Կոմիտաս վարդապետ Հրապարակ էստակադայի հիմնանորոգում</t>
  </si>
  <si>
    <t>Հ-39, /Մ-10/ - Գավառ - /Մ-10/ հանրապետական նշանակության ավտոճանապարհի կմ4+300-կմ6+800 հատվածի հիմնանորոգում</t>
  </si>
  <si>
    <t>ԱԺ Պատգամավոր Ս. Հովսեփյանի գրությունը՝ կապված ճանապարհի ծածկի անմխիթար վիճակի մասին</t>
  </si>
  <si>
    <t>Վանաձորի զարգացման ծրագրով</t>
  </si>
  <si>
    <t xml:space="preserve">Վանաձոր քաղաքային համայնքի Խորենացի փողոցի (երկու երթևեկելի գոիտիներ /0.4կմ+0.4կմ/) հիմնանորոգում </t>
  </si>
  <si>
    <t>Հ-4, Երևան - եղվարդ - Արագյուղ - Հարթավան - /Մ-3/ հանրապետական նշանակության ավտոճանապարհի կմ33+500 - կմ34+800 հատվածի (Երնջատափ գյուղը շրջանցող հատված) հիմնանորոգում</t>
  </si>
  <si>
    <t>Հ-64, Բերդ - Արծվաբերդ - Չինարի հանրապետական նշանակության ավտոճանապարհի 18-րդ կիլոմետրում փլուզված հողային պաստառի վերականգնում</t>
  </si>
  <si>
    <t>Հ-69, /Հ-21/-Հառիճ ավտոճանապարհի հանրապետական նշանակության կմ1+100-ում երթևեկային մասի ջրահեռացման կարգավորում և 200 գծ.մ ասֆալտապատում</t>
  </si>
  <si>
    <t>Հ-13, /Մ-3/ (Վաղարշապատ) - Մասիս - /Մ-2/ հանրապետական նշանակության ավտոճանապարհի կմ10+300 - կմ15+300 հատվածի հիմնանորոգում</t>
  </si>
  <si>
    <t>Հ-12, Մասիսի տրանսպորտային հանգույց - Մասիս - Ռանչպար - Արաքս - Ջրառատ - /Մ-3/ հանրապետական նշանակության ավտոճանապարհի կմ0+000 - կմ9+500 հատվածի հիմնանորոգում</t>
  </si>
  <si>
    <t>Տ-6-3, /Հ-4/ (Արագյուղ) - /Հ-5/ ավտոճանապարհի 3.7 կմ երկարությամբ հատվածի հիմնանորոգում</t>
  </si>
  <si>
    <t>Տ-2-31, /Տ-2-30/ - Բերդիկ - /Հ-9/ (Այգեստան) ավտոճանապարհի կմ0+000-կմ2+100 հատվածի հիմնանորոգում</t>
  </si>
  <si>
    <t>Տ-2-48, /Հ-10/ (Վանաշեն) - /Հ-8/ (Այգավան) ավտոճանապարհի կմ0+000-կմ4+500 հատվածի հիմնանորոգում</t>
  </si>
  <si>
    <t>Հ-1, Վ. Պտղնու տրանսպորտային հանգույց - Ջրաբեր-Հրազդան -Հրազդանի քրեակատարողական հիմնարկ հանրապետական նշանակության ավտոճանապարհի կմ33+500 - կմ37+700 հատվածի հիմնանորոգում</t>
  </si>
  <si>
    <t>Հ-3, Երևան (Ջրաշխարհ, Մ-4-ի հետ հատման տեղ) - Գառնի -Գեղարդի վանք հանրապետական նշանակության ավտոճանապարհի կմ27+500-կմ33+500 հատվածի հիմնանորոգում</t>
  </si>
  <si>
    <t>Հ-4, Երևան - Եղվարդ - Արագյուղ - Հարթավան - /Մ-3/ հանրապետական նշանակության ավտոճանապարհի կմ0+000-կմ15+600 հատվածի հիմնանորոգում</t>
  </si>
  <si>
    <t>Հ-8, /Մ-2/-Այնթապ-Մխչյան-Արտաշատ-Այգևան-/Մ-2/ հանրապետական նշանակության ավտոճանապարհի կմ21+200-կմ 26+400 և կմ30+000-կմ33+500 հատվածների հիմնանորոգում</t>
  </si>
  <si>
    <t>Հ-11, Մոտեցում Խոր Վիրապին հանրապետական նշանակության ավտոճանապարհի կմ0+000 - կմ1+700 հատվածի հիմնանորոգում</t>
  </si>
  <si>
    <t>Հ-15, /Մ-5/(Նորապատ) -Արգավանդ –/Մ-3/ (Վարդանաշեն) հանրապետական նշանակության ավտոճանապարհի կմ0+000 - կմ3+000 և կմ 13+000-կմ 20+000 հատվածների հիմնանորոգում</t>
  </si>
  <si>
    <t>Հ-41, /Մ-2/ - Նորավանքի պատմական հուշարձան հանրապետական նշանակության ավտոճանապարհի կմ0+000-կմ8+100 հատվածի հիմնանորոգում</t>
  </si>
  <si>
    <t>Հ-46, /Մ-2/-Տաթև-Աղվանի-/Մ-2/(Սյունիք) հանրապետական նշանակության ավտոճանապարհի կմ37+500-կմ55+000 հատվածի հիմնանորոգում</t>
  </si>
  <si>
    <t>Հ-55, Հրազդանի տրանսպորտային հանգույց-Ծաղկաձորի մարզահամալիր հանրապետական նշանակության ավտոճանապարհի կմ0+00 - կմ10+500 հատվածի հիմնանորոգում</t>
  </si>
  <si>
    <t>Հ-83, /Հ-21/ (Արթիկ)–Պեմզաշեն- /Մ-1/ հանրապետական նշանակության ավտոճանապարհի կմ0+000-կմ8+900 հատվածի հիմնանորոգում</t>
  </si>
  <si>
    <t>Տ-6-19, /Հ5/-Աղբյուրակ (Վերին Աղբյուրակ) ավտոճանապարհի կմ0+000 - կմ3+676 հատվածի հիմնանորոգում</t>
  </si>
  <si>
    <t>Տ-2-62, /Հ-8/ (Այգավան) - /Հ-11/ (Եղեգնավան) ավտոճանապարհի կմ0+100 - կմ3+000 հատվածի հիմնանորոգում</t>
  </si>
  <si>
    <t>Տ-10-16, /Հ-64/ - Քոլագիրի ճամբար ավտոճանապարհի կմ0+000 - կմ1+700 հատվածի հիմնանորոգում</t>
  </si>
  <si>
    <t>Տ-10-9, /Հ-36/ - Չինչին (Տ-10-38) ավտոճանապարհի կմ5+500 - կմ10+000 հատվածի հիմնանորոգում</t>
  </si>
  <si>
    <t>Տ-1-60, /Մ-1/ - Ներքին Բազմաբերդ - Կաքավաձոր - Օթևան ավտոճանապարհի կմ1+300 - կմ6+000 հատվածի հիմնանորոգում</t>
  </si>
  <si>
    <t>Հ-45, /Մ-2/-Շաքի-Սիսան-Դաստակերտ-Ցողունի հանրապետական նշանակության ավտոճանապարհի կմ14+590-կմ25+900 հատվածի հիմնանորոգում</t>
  </si>
  <si>
    <t>Համայնքի,մարզպետի և ԱԺ պատգամավորի գրությունները Կարեն Համբարձումյան</t>
  </si>
  <si>
    <t>Իջևան քաղաքի Սարիբեկ-Օհանյան փողոցի կմ0+000-կմ1+145 հատվածի հիմնանորոգում</t>
  </si>
  <si>
    <t>Հրատապ լուծում պահանջող օբյեկտ</t>
  </si>
  <si>
    <t>Հ-30, Մ-4 – Ճամբարակ-Դրախտիկ կմ 35+050-ում գտնվող կամուրջի հիմնանորոգում</t>
  </si>
  <si>
    <t>ՀՀ Շիրակի մարզի Ողջի - Մեղրաշատ - Բյուրակն ավտոճանապարհի կմ7+700 հատվածի կամրջի հիմնանորոգում</t>
  </si>
  <si>
    <t xml:space="preserve"> Մ-3 միջպետական ճանապարհ բեռնաթափող հատված</t>
  </si>
  <si>
    <t>Հրազդանի զարգացման ծրագիր</t>
  </si>
  <si>
    <t>Հ-87, /Մ-16/ Մակարավանքի պատմական հուշարձան հանրապետական նշանակության ավտոճանապարհի կմ4+300-կմ7+800 հատվածի հիմնանորոգում</t>
  </si>
  <si>
    <t>Հ-2, /Հ-1/ Աբովյան- Արզնի-/Հ-6/ (Նոր Գեղի) հանրապետական նշանակության ավտոճանապարհի կմ0+000-կմ1+400 հատվածի հիմնանորոգում</t>
  </si>
  <si>
    <t>Տ-2-13 Արգավանդ – Հայանիստ – Հովտաշատ - Արմավիրի մարզի սահման մարզային նշանակության ավտոճանապարհի կմ4+000 կամրջի հիմնանորոգում</t>
  </si>
  <si>
    <t>Տ-2-24 /Հ-8/ (Մխչյան) - Բյուրավան (Տ-2-25) մարզային նշանակության ավտոճանապարհի կմ4+200 կամրջի հիմնանորոգում</t>
  </si>
  <si>
    <t>Տ-2-25 /Հ-8/ (Բուրաստան) - Բյուրավան - Արևշատ - Բարձրաշեն մարզային նշանակության ավտոճանապարհի կմ3+700 կամրջի հիմնանորոգում</t>
  </si>
  <si>
    <t>Համայնքը Միջպետական ճանապարհին կապող ճանապարհահատված, ծածկի անմխիթար վիճակ</t>
  </si>
  <si>
    <t>Հրազդան քաղաքի հարավային թաղամաս 1069 գծ.մ ( Նոյեմբերյան փողոց 627 գծ.մ, Մյասնիկյան փողոց 442 գծ.մ ) հատվածների հիմնանորոգում</t>
  </si>
  <si>
    <t>Հ-75, Մ-9-Իսահակյան-Գյումրի-Մ-7 հանրապետական նշանակության ավտոճանապարհի կմ23+250 - կմ37+500 և կմ45+300 - կմ60+200 հատվածների հիմնանորոգում</t>
  </si>
  <si>
    <t>Հ-36, /Մ-4/ (Իջևան) - Նավուր - Բերդ - Այգեպար հանրապետական նշանակության ավտոճանապարհի կմ 5+600-կմ 42+100 հատվածի հիմնանորոգում</t>
  </si>
  <si>
    <t>Տ-3-16 Արևիկ (Տ-3-50) – /Հ-15/ (գ.Արմավիր) ավտոճանապարհի կմ0+000-կմ3+600 հատվածի հիմնանորոգում</t>
  </si>
  <si>
    <t>Տ-3-11 /Հ-15/ (Արմավիր գ.) – Նալբանդյան – Գետաշեն – Նոր Կեսարիա – /Մ-5/ ավտոճանապարհի կմ6+000-կմ10+000 հատվածի հիմնանորոգում</t>
  </si>
  <si>
    <t>Տ-8-7, /Մ-2/ - Զորամաս - Նորավան - (Տ-8-51) 3.8կմ երկարությամբ ավտոճանապարհի 3.8կմ երկարությամբ հատվածի հիմնանորոգում</t>
  </si>
  <si>
    <t>Տավուշի մարզի Բերդի հոսպիտալ տանող ճանապարհի 300գծմ հատվածի հիմնանորոգում</t>
  </si>
  <si>
    <t>Մ-2, Երևան-Երասխ-Գորիս-Մեղրի-Իրանի սահման միջպետական նշանակության ավտոճանապարհի կմ108+400 - կմ126+100 հատվածի հիմնանորոգում</t>
  </si>
  <si>
    <t>Հ-75, Մ-9-Իսահակյան-Գյումրի-Մ-7 հանրապետական նշանակության ավտոճանապարհի կմ68+300 - կմ70+800 հատվածի հիմնանորոգում</t>
  </si>
  <si>
    <t>Հ-32, /Մ-1/ (Գյումրի) - Կապս - Ամասիա - /Մ-1/ հանրապետական նշանակության ավտոճանապարհի կմ 20+900-կմ 22+700 և կմ 23+000-կմ 31+200 հատվածների հիմնանորոգում</t>
  </si>
  <si>
    <t>Տ-7-48, Գյումրի (Տ-7-58) - Արևիկ – Այգեբաց - Վարդաքար - /Հ-21/ մարզային նշանակության ավտոճանապարհի կմ10+900 - կմ16+200 հատվածի հիմնանորոգում</t>
  </si>
  <si>
    <t>Հրազդան քաղաքի Վանատուր թաղամասի միջթաղամասային փողոցների 3384 գծ.մ ( 626 գծ.մ, 310 գծ.մ, 176 գծ.մ, 1235 գծ.մ, 950 գծ.մ և 87 գծ.մ ) հատվածների հիմնանորոգում</t>
  </si>
  <si>
    <t>Հրազդան քաղաքի Ջրառատ թաղամասեր 2572 գծ.մ (դեպի Հրազդանի Ջեկ 1264 գծ.մ, 3-րդ փողոց 670 գծ.մ, Պուրակյան փողոց 638 գծ.մ ) հատվածների հիմնանորոգում</t>
  </si>
  <si>
    <t>Մ-1, Երևան-Գյումրի-Վրաստանի սահման կմ 152+600-կմ 156+700 հատվածի հիմնանորոգում</t>
  </si>
  <si>
    <t>Մ-7, Մ-3-Սպիտակ-Գյումրի-Թուրքիայի սահման կմ48+000 - կմ52+000 հատվածի հիմնանորոգում</t>
  </si>
  <si>
    <t>Հ-21, /Հ-75/ - Հոռոմ-Արթիկ-Ալագյազ հանրապետական նշանակության ավտոճանապարհի կմ19+000 - կմ23+900 հատվածի հիմնանորոգում</t>
  </si>
  <si>
    <t>Մ-2, Երևան-Երասխ-Գորիս-Մեղրի-Իրանի սահման կմ 53+150 -կմ 65+350 հատվածի հիմնանորոգում</t>
  </si>
  <si>
    <t>Մ-2, Երևան-Երասխ-Գորիս-Մեղրի-Իրանի սահման կմ98+000 - կմ101+400 հատվածի հիմնանորոգում</t>
  </si>
  <si>
    <t>Տ-1-24 /Մ-3/ Մելիքգյուղ կմ0+000-կմ6+000 հատվածի հիմնանորոգում</t>
  </si>
  <si>
    <t>Մ-2, Երևան-Երասխ-Գորիս-Մեղրի-Իրանի սահման կմ196+000- կմ202+200հատվածի հիմնանորոգում</t>
  </si>
  <si>
    <t>Մ-2, Երևան-Երասխ-Գորիս-Մեղրի-Իրանի սահման կմ374+000 - կմ384+300 հատվածի հիմնանորոգում</t>
  </si>
  <si>
    <t>Հ-49, /Մ-17/-Նռնաձոր-ԱՀ սահման հանրապետական նշանակության ավտոճանապարհի կմ0+000 – կմ8+600 հատվածի հիմնանորոգում</t>
  </si>
  <si>
    <t>Տ-8-86, Հ-49-Նռնաձոր կմ0+000-կմ2+200 հատվածի հիմնանորոգում</t>
  </si>
  <si>
    <t>Մ- 3, Թուրքիայի սահման-Մարգարա-Վանաձոր-Տաշիր-Վրաստանի սահման միջպետական նշանակության ավտոճանապարհի կմ130+400-կմ135+200 հատվածի հիմնանորոգում</t>
  </si>
  <si>
    <t>Հ-70, Մ-6 – Աթան հանրապետական նշանակության ավտոճանապարհի կմ0+000 - կմ27+500 հատվածի հիմնանորոգում</t>
  </si>
  <si>
    <t>/Հ-70/ – Քարինջ մարզային նշանակության ավտոճանապարհի կմ0+000 - կմ3+500 հատվածի հիմնանորոգում</t>
  </si>
  <si>
    <t>Տ-5-93, /Հ-70/ - Մարց մարզային նշանակության ավտոճանապարհի կմ0+000 - կմ0+800 հատվածի հիմնանորոգում</t>
  </si>
  <si>
    <t>Տ-5-69, /Հ-70/ - Ահնիձոր մարզային նշանակության ավտոճանապարհի կմ0+000 - կմ4+000 հատվածի հիմնանորոգում</t>
  </si>
  <si>
    <t>Տ-5-82, /Հ-70/ – Լորուտ մարզային նշանակության ավտոճանապարհի կմ0+000 - կմ1+600 հատվածի հիմնանորոգում</t>
  </si>
  <si>
    <t>Մ- 3, Թուրքիայի սահման-Մարգարա-Վանաձոր-Տաշիր-Վրաստանի սահման միջպետական նշանակության ավտոճանապարհի կմ2+000 - կմ10+500 հատվածի հիմնանորոգում</t>
  </si>
  <si>
    <t xml:space="preserve">Մ-10, Սևան-Մարտունի-Գետափ միջպետական նշանակության ավտոճանապարհի կմ122+000 - կմ124+000 հատվածում հողային պաստառի փլուզված հատվածների, պաշտպանիչ հենապատերի և կառուցվածքների վերակագնում </t>
  </si>
  <si>
    <t>Հ-30, /Մ-4/ - Ճամբարակ - /Մ-14/ հանրապետական նշանակության ավտոճանապարհի կմ0+000-կմ11+000 հատվածի հիմնանորոգում</t>
  </si>
  <si>
    <t xml:space="preserve">Հ-63, /Մ-16/ - Կոթի - Բարեկամավան հանրապետական նշանակության ավտոճանապարհի կմ8+500 հատվածում փլուզված հողային պաստառի շեպի և կողնակի վերականգնում </t>
  </si>
  <si>
    <t xml:space="preserve">Մարտունի քաղաքի Սայաթ Նովա փողոցի (Մ-10-ի շրջանց) ավտոճանապարհի հիմնանորոգում </t>
  </si>
  <si>
    <t>Մ-2, Երևան-Երասխ-Գորիս-Մեղրի-Իրանի սահման միջպետական նշանակության ավտոճանապարհի կմ150+700 - կմ167+600 հատվածի հիմնանորոգում</t>
  </si>
  <si>
    <t xml:space="preserve">Մ-4, Երևան-Սևան-Իջևան-Ադրբեջանի սահման միջպետական նշանակության ավտոճանապարհի կմ67+500 փլուզված հատվածի վերականգնում </t>
  </si>
  <si>
    <t>Հ-5, /Հ-6/-Նոր Գեղի-Արգել-Արզական-Հրազդան հանրապետական նշանակության ավտոճանապարհի կմ0+000 - կմ10+000 հատվածի հիմնանորոգում</t>
  </si>
  <si>
    <t>Տ-9-19, /Մ-2/ - Հերհեր -Կարմրաշեն մարզային նշանակության ավտոճանապարհի կմ10+000 - կմ18+700 հատվածի հիմնանորոգում</t>
  </si>
  <si>
    <t>Մ-2, Երևան-Երասխ-Գորիս-Մեղրի-Իրանի սահման կմ254+000 - կմ265+000 հատվածի հիմնանորոգում</t>
  </si>
  <si>
    <t>Մ-11, Մարտունի - Վարդենիս - ԼՂՀ սահման միջպետական նշանակության ավտոճանապարհի կմ0+000-կմ5+900 հատվածի հիմնանորոգում</t>
  </si>
  <si>
    <t>Մ-14, Մ-4-Շորժա-Վարդենիս միջպետական նշանակության ավտոճանապարհի կմ39+400 - կմ60+300 հատվածի հիմնանորոգում</t>
  </si>
  <si>
    <t>Առաջնահերթ</t>
  </si>
  <si>
    <t>v</t>
  </si>
  <si>
    <t>Հ-46, /Մ-2/-Տաթև-Աղվանի-/Մ-2/(Սյունիք) հանրապետական նշանակության ավտոճանապարհի կմ55+000-կմ68+000 հատվածի հիմնանորոգում</t>
  </si>
  <si>
    <t>Հ-22, /Մ-6/-Դսեղ-/Հ-70/ հանրապետական նշանակության ավտոճանապարհի առաջին կիլոմետրում գտնվող կամրջի հիմնանորոգում</t>
  </si>
  <si>
    <t xml:space="preserve"> ՀՀ պետական բյուջեով 2021թ. նախատեսվող պետական նշանակության ավտոճանապարհների և տրանսպորտային օբյեկտների հիմնանորոգման ծրագրեր</t>
  </si>
  <si>
    <t>Տ-3-52 /Մ-5/ – Ամասիա – Նալբանդյան (Տ-3-11) – Ջանֆիդա – Փշատավան – /Հ-15/ (Արգավանդ) ավտոճանապարհի կմ14+200-կմ18+400 հատվածի հիմնանորոգում</t>
  </si>
  <si>
    <t>2019թ իրականացված հատվածի շարունակություն, ծածկի անմխիթար վիճակ (սակայն, նոր իրադարձություններով պայմանավորված՝ առանձին հատվածներ մտնում են թշնամու վերահսկողության տակ)</t>
  </si>
  <si>
    <t>ՀՀ-Ի և ԻՀ կապող միջպետական ճանապարհի անմխիթար վիճակ</t>
  </si>
  <si>
    <t xml:space="preserve"> </t>
  </si>
  <si>
    <t>new?</t>
  </si>
  <si>
    <t>ճ</t>
  </si>
  <si>
    <t>new</t>
  </si>
  <si>
    <t>Մ- 3, Թուրքիայի սահման-Մարգարա-Վանաձոր-Տաշիր-Վրաստանի սահման միջպետական նշանակության ավտոճանապարհի կմ97+020-կմ104+700 հատվածի հիմնանորոգում</t>
  </si>
  <si>
    <t>Մ- 3, Թուրքիայի սահման-Մարգարա-Վանաձոր-Տաշիր-Վրաստանի սահման միջպետական նշանակության ավտոճանապարհի կմ154+000-կմ176+900 հատվածի հիմնանորոգում</t>
  </si>
  <si>
    <t>Մ-4, Երևան-Սևան-Իջևան-Ադրբեջանի սահման միջպետական նշանակության ավտոճանապարհի կմ83+200-կմ91+176 հատվածի հիմնանորոգում և ոլորանների պարամետրերի բարելավում</t>
  </si>
  <si>
    <t>Մ-4, Երևան-Սևան-Իջևան-Ադրբեջանի սահման միջպետական նշանակության ավտոճանապարհի կմ105+000 և կմ106+300 - կմ106+700 հատվածներում բացակայող պարապետերի վերականգնում և կմ105+700 հատվածի փլուզված հողային պաստառի շեպի և կողնակի վերականգնում</t>
  </si>
  <si>
    <t>Մ-5, Երևան - Արմավիր - Թուրքիայի սահման միջպետական նշանակության ավտոճանապարհի կմ17+530-կմ44+130 աջ և ձախ երթևեկելի հատվածներ հիմնանորոգում, (բացառությամբ 2020թ. անվտանգության բալերավման ծրագրով իրականացվող հատվածների)</t>
  </si>
  <si>
    <t xml:space="preserve">Մ-10, Սևան-Մարտունի-Գետափ միջպետական նշանակության ավտոճանապարհի կմ1+000-կմ17+000 հատվածի հիմնանորոգում (բացառությամբ կմ5+750-կմ5+886 և կմ6+850-կմ7+034 հատվածների) </t>
  </si>
  <si>
    <t>Մ-10, Սևան-Մարտունի-Գետափ միջպետական նշանակության ավտոճանապարհի կմ57+450-կմ59+450 հատվածի մայթերի կառուցում</t>
  </si>
  <si>
    <t>Մ-13, /Մ-2/ - Անգեղակոթ - Նախիջևանի սահման միջպետական նշանակության ավտոճանապարհի կմ0+000-կմ8+000 հատվածի հիմնանորոգում</t>
  </si>
  <si>
    <t xml:space="preserve">Մ-15, /Մ-4/ (Վերին Պտղնի) - Մասիսի տրանսպորտային հանգույց (Երևանի շրջանց) միջպետական նշանակության ավտոճանապարհի կմ0+000-կմ8+200 հատվածի հիմնանորոգում </t>
  </si>
  <si>
    <t xml:space="preserve">Մ-15, /Մ-4/ (Վերին Պտղնի) - Մասիսի տրանսպորտային հանգույց (Երևանի շրջանց) միջպետական նշանակության ավտոճանապարհի կմ19+900-կմ29+400 հատվածի հիմնանորոգում </t>
  </si>
  <si>
    <t>Մ-16, /Մ-4/ - Ոսկեպար - Նոյեմբերյան - /Մ-6/ միջպետական նշանակության ավտոճանապարհի կմ0+070-կմ7+000 հատվածի հիմնանորոգում</t>
  </si>
  <si>
    <t>Հ-30, Մոտեցում Գոշավանքին հանրապետական նշանակության ավտոճանապարհի կմ0+000-կմ 3+900 հատվածի հիմնանորոգում</t>
  </si>
  <si>
    <t>Հ-30, /Մ-4/ - Ճամբարակ - /Մ-14/ հանրապետական նշանակության ավտոճանապարհի կմ 32+000-կմ 35+000 հատվածի հիմնանորոգում</t>
  </si>
  <si>
    <t xml:space="preserve">Հ-30, Մ4-Ճամբարակ-Դրախտիկ-Մ14 հանրապետական նշանակության ավտոճանապարհի հարկադիր քարաթափման աշխատանքներ (Ձորավանք-Մարտունի համայնքների տարածք) </t>
  </si>
  <si>
    <t>Հ-33, /Մ-3 /Ստեփանավան-Ագարակ-Յաղդան-/Հ-35/ հանրապետական նշանակության ավտոճանապարհի կմ0+000-կմ8+100 հատվածի հիմնանորոգում</t>
  </si>
  <si>
    <t>Հ-93, /Հ-75/ - Երերույքի տաճար հանրապետական նշանակության ավտոճանապարհի կմ 0+000-կմ 2+700 հատվածի հիմնանորոգում</t>
  </si>
  <si>
    <t>Տ-3-15 /Հ-15/ - Ալաշկերտ (Տ-3-14) ավտոճանապարհի կմ0+000-կմ1+000 հատվածի հիմնանորոգում</t>
  </si>
  <si>
    <t>ՀՀ Լոռու մարզի Ստեփանավան քաղաքի Չարենցի փողոցի 1.725կմ հատվածի և Ավետիսյան փողոցի 0.120 կմ հատվածի հիմնանորոգում</t>
  </si>
  <si>
    <t>ՀՀ Լոռու մարզի Ստեփանավան քաղաքի Սուրբ Վարդան փողոցի 1.6կմ հատվածի հիմնանորոգում</t>
  </si>
  <si>
    <t>Վանաձոր քաղաքային համայնքի Մոսկավյան փողոցի հիմնանորոգում</t>
  </si>
  <si>
    <t>Հրազդան քաղաքի Տիգրան Մեծ փողոցի 290 գծ.մ հատվածի հիմնանորոգում</t>
  </si>
  <si>
    <t>Մ-2, Երևան-Երասխ-Գորիս-Մեղրի-Իրանի սահման կմ 27+349 հատվածում վերգետնյա ուղեանցի կառուցում</t>
  </si>
  <si>
    <t xml:space="preserve">Մ-2, Երևան-Երասխ-Գորիս-Մեղրի-Իրանի սահման կմ202+985-ում d=1.0մ ե/բ խողովակի վերանորոգում </t>
  </si>
  <si>
    <t xml:space="preserve">Մ-2, Երևան-Երասխ-Գորիս-Մեղրի-Իրանի սահման կմ178+000-կմ178+060 հատվածի ստորին հենապատի վերանորոգում </t>
  </si>
  <si>
    <t>Մ- 3, Թուրքիայի սահման-Մարգարա-Վանաձոր-Տաշիր-Վրաստանի սահման կմ144+020-ում գտնվող կամրջի հիմնանորոգում</t>
  </si>
  <si>
    <t>Մ- 4, Երևան - Սևան - Իջևան - Ադրբեջանի սահման կմ 14+796 հատվածում գտնվող կամրջի վերանորոգում</t>
  </si>
  <si>
    <t>Մ- 4, Երևան - Սևան - Իջևան - Ադրբեջանի սահման կմ 104+300 հատվածում գտնվող կամուրջի վերանորոգում</t>
  </si>
  <si>
    <t>Մ10, Սևան-Մարտունի-Գետափ Կմ 123+500 (Գետափ բնակավայրի դպրոցի մոտ) վերգետնյա հետիոտնային անցման կառուցում</t>
  </si>
  <si>
    <t>1.10</t>
  </si>
  <si>
    <t>1.14</t>
  </si>
  <si>
    <t>1.11</t>
  </si>
  <si>
    <t>1.12</t>
  </si>
  <si>
    <t>1.13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</si>
  <si>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</si>
  <si>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</si>
  <si>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</si>
  <si>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</si>
  <si>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</si>
  <si>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</si>
  <si>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</si>
  <si>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</si>
  <si>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</si>
  <si>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</si>
  <si>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</si>
  <si>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</si>
  <si>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</si>
  <si>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</si>
  <si>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</si>
  <si>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</si>
  <si>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</si>
  <si>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</si>
  <si>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</si>
  <si>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</si>
  <si>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</si>
  <si>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</si>
  <si>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տ</t>
  </si>
  <si>
    <t>1.26</t>
  </si>
  <si>
    <t>3.30</t>
  </si>
  <si>
    <t>3.39</t>
  </si>
  <si>
    <t>Տ-8-22, /Մ-2/ - Վարդավանք – Խդրանց - Ագարակ ավտոճանապարհի կմ0+000 - կմ13+100 հատվածի հիմնանորոգում</t>
  </si>
  <si>
    <t>2.10</t>
  </si>
  <si>
    <t>3.10</t>
  </si>
  <si>
    <t>3.20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</si>
</sst>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  <numFmt numFmtId="165" formatCode="#,##0.0"/>
    <numFmt numFmtId="166" formatCode="00"/>
    <numFmt numFmtId="167" formatCode="0.000"/>
    <numFmt numFmtId="168" formatCode="_(* #,##0_);_(* \(#,##0\);_(* &quot;-&quot;??_);_(@_)"/>
  </numFmts>
  <fonts count="33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0"/>
      <name val="Helv"/>
      <charset val="204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9"/>
      <name val="Arial Armenian"/>
      <family val="2"/>
    </font>
    <font>
      <sz val="10"/>
      <name val="Times LatArm"/>
    </font>
    <font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GHEA Grapalat"/>
      <family val="3"/>
    </font>
    <font>
      <sz val="12"/>
      <name val="GHEA Grapalat"/>
      <family val="3"/>
    </font>
    <font>
      <sz val="11"/>
      <color rgb="FFFF0000"/>
      <name val="GHEA Grapalat"/>
      <family val="3"/>
    </font>
    <font>
      <sz val="8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94">
    <xf numFmtId="0" fontId="0" fillId="0" borderId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18" fillId="7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23" fillId="0" borderId="3" applyFill="0" applyBorder="0" applyAlignment="0">
      <alignment horizontal="right" vertical="center"/>
    </xf>
    <xf numFmtId="0" fontId="17" fillId="11" borderId="0" applyNumberFormat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27" fillId="0" borderId="0"/>
    <xf numFmtId="0" fontId="27" fillId="0" borderId="0"/>
    <xf numFmtId="0" fontId="3" fillId="0" borderId="0"/>
    <xf numFmtId="0" fontId="27" fillId="0" borderId="0"/>
    <xf numFmtId="0" fontId="5" fillId="0" borderId="0"/>
    <xf numFmtId="0" fontId="24" fillId="0" borderId="0"/>
    <xf numFmtId="0" fontId="3" fillId="0" borderId="0"/>
    <xf numFmtId="0" fontId="3" fillId="0" borderId="0"/>
    <xf numFmtId="0" fontId="5" fillId="0" borderId="0"/>
    <xf numFmtId="0" fontId="28" fillId="0" borderId="0"/>
    <xf numFmtId="0" fontId="28" fillId="0" borderId="0"/>
    <xf numFmtId="0" fontId="3" fillId="0" borderId="0"/>
    <xf numFmtId="0" fontId="5" fillId="0" borderId="0"/>
    <xf numFmtId="0" fontId="5" fillId="0" borderId="0"/>
    <xf numFmtId="0" fontId="2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8" fillId="0" borderId="0"/>
    <xf numFmtId="0" fontId="28" fillId="0" borderId="0"/>
    <xf numFmtId="0" fontId="3" fillId="0" borderId="0"/>
    <xf numFmtId="0" fontId="2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/>
    <xf numFmtId="0" fontId="27" fillId="0" borderId="0"/>
    <xf numFmtId="0" fontId="27" fillId="0" borderId="0"/>
    <xf numFmtId="0" fontId="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" fillId="0" borderId="0"/>
    <xf numFmtId="0" fontId="1" fillId="0" borderId="0"/>
    <xf numFmtId="9" fontId="5" fillId="0" borderId="0" applyFont="0" applyFill="0" applyBorder="0" applyAlignment="0" applyProtection="0"/>
    <xf numFmtId="0" fontId="7" fillId="0" borderId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16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8" fillId="3" borderId="1" applyNumberFormat="0" applyAlignment="0" applyProtection="0"/>
    <xf numFmtId="0" fontId="9" fillId="10" borderId="6" applyNumberFormat="0" applyAlignment="0" applyProtection="0"/>
    <xf numFmtId="0" fontId="10" fillId="10" borderId="1" applyNumberFormat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10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5" fillId="0" borderId="0"/>
    <xf numFmtId="0" fontId="4" fillId="0" borderId="0"/>
    <xf numFmtId="0" fontId="3" fillId="0" borderId="0"/>
    <xf numFmtId="0" fontId="4" fillId="0" borderId="0"/>
    <xf numFmtId="0" fontId="19" fillId="0" borderId="0" applyNumberFormat="0" applyFill="0" applyBorder="0" applyAlignment="0" applyProtection="0"/>
    <xf numFmtId="0" fontId="5" fillId="4" borderId="5" applyNumberFormat="0" applyFont="0" applyAlignment="0" applyProtection="0"/>
    <xf numFmtId="0" fontId="20" fillId="0" borderId="4" applyNumberFormat="0" applyFill="0" applyAlignment="0" applyProtection="0"/>
    <xf numFmtId="0" fontId="21" fillId="0" borderId="0" applyNumberFormat="0" applyFill="0" applyBorder="0" applyAlignment="0" applyProtection="0"/>
    <xf numFmtId="43" fontId="5" fillId="0" borderId="0" applyFont="0" applyFill="0" applyBorder="0" applyAlignment="0" applyProtection="0"/>
    <xf numFmtId="0" fontId="22" fillId="6" borderId="0" applyNumberFormat="0" applyBorder="0" applyAlignment="0" applyProtection="0"/>
  </cellStyleXfs>
  <cellXfs count="66">
    <xf numFmtId="0" fontId="0" fillId="0" borderId="0" xfId="0"/>
    <xf numFmtId="0" fontId="25" fillId="24" borderId="3" xfId="47" applyNumberFormat="1" applyFont="1" applyFill="1" applyBorder="1" applyAlignment="1">
      <alignment horizontal="left" vertical="center" wrapText="1"/>
    </xf>
    <xf numFmtId="0" fontId="25" fillId="24" borderId="3" xfId="0" applyFont="1" applyFill="1" applyBorder="1" applyAlignment="1">
      <alignment vertical="center" wrapText="1"/>
    </xf>
    <xf numFmtId="0" fontId="25" fillId="24" borderId="0" xfId="0" applyFont="1" applyFill="1"/>
    <xf numFmtId="49" fontId="26" fillId="24" borderId="3" xfId="165" applyNumberFormat="1" applyFont="1" applyFill="1" applyBorder="1" applyAlignment="1">
      <alignment horizontal="center" vertical="center" wrapText="1"/>
    </xf>
    <xf numFmtId="0" fontId="26" fillId="24" borderId="3" xfId="165" applyFont="1" applyFill="1" applyBorder="1" applyAlignment="1">
      <alignment horizontal="center" vertical="center" wrapText="1"/>
    </xf>
    <xf numFmtId="164" fontId="26" fillId="24" borderId="12" xfId="165" applyNumberFormat="1" applyFont="1" applyFill="1" applyBorder="1" applyAlignment="1">
      <alignment horizontal="center" vertical="center" wrapText="1"/>
    </xf>
    <xf numFmtId="0" fontId="26" fillId="24" borderId="3" xfId="0" applyFont="1" applyFill="1" applyBorder="1" applyAlignment="1">
      <alignment horizontal="center" vertical="center" wrapText="1"/>
    </xf>
    <xf numFmtId="0" fontId="25" fillId="24" borderId="0" xfId="0" applyFont="1" applyFill="1" applyAlignment="1">
      <alignment wrapText="1"/>
    </xf>
    <xf numFmtId="0" fontId="25" fillId="25" borderId="3" xfId="0" applyFont="1" applyFill="1" applyBorder="1" applyAlignment="1">
      <alignment vertical="center" wrapText="1"/>
    </xf>
    <xf numFmtId="0" fontId="26" fillId="24" borderId="13" xfId="0" applyFont="1" applyFill="1" applyBorder="1" applyAlignment="1">
      <alignment vertical="center"/>
    </xf>
    <xf numFmtId="0" fontId="26" fillId="24" borderId="13" xfId="0" applyFont="1" applyFill="1" applyBorder="1" applyAlignment="1">
      <alignment vertical="center" wrapText="1"/>
    </xf>
    <xf numFmtId="2" fontId="25" fillId="24" borderId="3" xfId="0" applyNumberFormat="1" applyFont="1" applyFill="1" applyBorder="1" applyAlignment="1">
      <alignment horizontal="center" vertical="center"/>
    </xf>
    <xf numFmtId="3" fontId="25" fillId="24" borderId="0" xfId="0" applyNumberFormat="1" applyFont="1" applyFill="1"/>
    <xf numFmtId="0" fontId="29" fillId="24" borderId="3" xfId="0" applyFont="1" applyFill="1" applyBorder="1" applyAlignment="1">
      <alignment horizontal="center" vertical="center" wrapText="1"/>
    </xf>
    <xf numFmtId="0" fontId="31" fillId="24" borderId="0" xfId="0" applyFont="1" applyFill="1"/>
    <xf numFmtId="0" fontId="26" fillId="24" borderId="0" xfId="0" applyFont="1" applyFill="1" applyAlignment="1">
      <alignment vertical="center"/>
    </xf>
    <xf numFmtId="49" fontId="29" fillId="24" borderId="11" xfId="165" applyNumberFormat="1" applyFont="1" applyFill="1" applyBorder="1" applyAlignment="1">
      <alignment horizontal="center" vertical="top"/>
    </xf>
    <xf numFmtId="0" fontId="29" fillId="24" borderId="3" xfId="165" applyFont="1" applyFill="1" applyBorder="1" applyAlignment="1">
      <alignment horizontal="center" vertical="top"/>
    </xf>
    <xf numFmtId="3" fontId="29" fillId="24" borderId="3" xfId="165" applyNumberFormat="1" applyFont="1" applyFill="1" applyBorder="1" applyAlignment="1">
      <alignment horizontal="center" vertical="top"/>
    </xf>
    <xf numFmtId="164" fontId="29" fillId="24" borderId="12" xfId="37" applyNumberFormat="1" applyFont="1" applyFill="1" applyBorder="1" applyAlignment="1">
      <alignment horizontal="center" vertical="center"/>
    </xf>
    <xf numFmtId="0" fontId="30" fillId="24" borderId="3" xfId="0" applyFont="1" applyFill="1" applyBorder="1" applyAlignment="1">
      <alignment horizontal="center" vertical="center"/>
    </xf>
    <xf numFmtId="3" fontId="29" fillId="24" borderId="3" xfId="0" applyNumberFormat="1" applyFont="1" applyFill="1" applyBorder="1" applyAlignment="1">
      <alignment horizontal="center" vertical="center"/>
    </xf>
    <xf numFmtId="1" fontId="26" fillId="24" borderId="12" xfId="37" applyNumberFormat="1" applyFont="1" applyFill="1" applyBorder="1" applyAlignment="1">
      <alignment horizontal="center" vertical="center"/>
    </xf>
    <xf numFmtId="165" fontId="26" fillId="24" borderId="3" xfId="0" applyNumberFormat="1" applyFont="1" applyFill="1" applyBorder="1" applyAlignment="1">
      <alignment horizontal="center" vertical="center"/>
    </xf>
    <xf numFmtId="0" fontId="25" fillId="24" borderId="3" xfId="0" applyFont="1" applyFill="1" applyBorder="1" applyAlignment="1">
      <alignment horizontal="center" vertical="center"/>
    </xf>
    <xf numFmtId="3" fontId="26" fillId="24" borderId="3" xfId="0" applyNumberFormat="1" applyFont="1" applyFill="1" applyBorder="1" applyAlignment="1">
      <alignment horizontal="center" vertical="center"/>
    </xf>
    <xf numFmtId="2" fontId="26" fillId="24" borderId="12" xfId="37" applyNumberFormat="1" applyFont="1" applyFill="1" applyBorder="1" applyAlignment="1">
      <alignment horizontal="center" vertical="center"/>
    </xf>
    <xf numFmtId="2" fontId="25" fillId="25" borderId="12" xfId="37" applyNumberFormat="1" applyFont="1" applyFill="1" applyBorder="1" applyAlignment="1">
      <alignment horizontal="center" vertical="center"/>
    </xf>
    <xf numFmtId="2" fontId="25" fillId="0" borderId="12" xfId="37" applyNumberFormat="1" applyFont="1" applyFill="1" applyBorder="1" applyAlignment="1">
      <alignment horizontal="center" vertical="center"/>
    </xf>
    <xf numFmtId="2" fontId="25" fillId="24" borderId="12" xfId="37" applyNumberFormat="1" applyFont="1" applyFill="1" applyBorder="1" applyAlignment="1">
      <alignment horizontal="center" vertical="center"/>
    </xf>
    <xf numFmtId="3" fontId="25" fillId="24" borderId="3" xfId="0" applyNumberFormat="1" applyFont="1" applyFill="1" applyBorder="1" applyAlignment="1">
      <alignment horizontal="center" vertical="center"/>
    </xf>
    <xf numFmtId="0" fontId="26" fillId="24" borderId="12" xfId="37" applyNumberFormat="1" applyFont="1" applyFill="1" applyBorder="1" applyAlignment="1">
      <alignment horizontal="center" vertical="center"/>
    </xf>
    <xf numFmtId="0" fontId="25" fillId="24" borderId="12" xfId="37" applyNumberFormat="1" applyFont="1" applyFill="1" applyBorder="1" applyAlignment="1">
      <alignment horizontal="center" vertical="center"/>
    </xf>
    <xf numFmtId="0" fontId="25" fillId="25" borderId="12" xfId="37" applyNumberFormat="1" applyFont="1" applyFill="1" applyBorder="1" applyAlignment="1">
      <alignment horizontal="center" vertical="center"/>
    </xf>
    <xf numFmtId="0" fontId="25" fillId="24" borderId="12" xfId="0" applyFont="1" applyFill="1" applyBorder="1" applyAlignment="1">
      <alignment horizontal="center" vertical="center"/>
    </xf>
    <xf numFmtId="164" fontId="25" fillId="24" borderId="12" xfId="37" applyNumberFormat="1" applyFont="1" applyFill="1" applyBorder="1" applyAlignment="1">
      <alignment horizontal="center" vertical="center"/>
    </xf>
    <xf numFmtId="164" fontId="25" fillId="25" borderId="12" xfId="37" applyNumberFormat="1" applyFont="1" applyFill="1" applyBorder="1" applyAlignment="1">
      <alignment horizontal="center" vertical="center"/>
    </xf>
    <xf numFmtId="165" fontId="25" fillId="24" borderId="3" xfId="0" applyNumberFormat="1" applyFont="1" applyFill="1" applyBorder="1" applyAlignment="1">
      <alignment horizontal="center" vertical="center"/>
    </xf>
    <xf numFmtId="164" fontId="25" fillId="24" borderId="3" xfId="37" applyNumberFormat="1" applyFont="1" applyFill="1" applyBorder="1" applyAlignment="1">
      <alignment horizontal="center" vertical="center"/>
    </xf>
    <xf numFmtId="0" fontId="25" fillId="24" borderId="0" xfId="0" applyFont="1" applyFill="1" applyAlignment="1">
      <alignment vertical="center"/>
    </xf>
    <xf numFmtId="167" fontId="25" fillId="24" borderId="12" xfId="37" applyNumberFormat="1" applyFont="1" applyFill="1" applyBorder="1" applyAlignment="1">
      <alignment horizontal="center" vertical="center"/>
    </xf>
    <xf numFmtId="1" fontId="25" fillId="25" borderId="3" xfId="47" applyNumberFormat="1" applyFont="1" applyFill="1" applyBorder="1" applyAlignment="1">
      <alignment horizontal="center" vertical="center"/>
    </xf>
    <xf numFmtId="1" fontId="25" fillId="24" borderId="3" xfId="47" applyNumberFormat="1" applyFont="1" applyFill="1" applyBorder="1" applyAlignment="1">
      <alignment horizontal="center" vertical="center"/>
    </xf>
    <xf numFmtId="0" fontId="25" fillId="25" borderId="3" xfId="37" applyNumberFormat="1" applyFont="1" applyFill="1" applyBorder="1" applyAlignment="1">
      <alignment horizontal="center" vertical="center"/>
    </xf>
    <xf numFmtId="0" fontId="25" fillId="24" borderId="3" xfId="37" applyNumberFormat="1" applyFont="1" applyFill="1" applyBorder="1" applyAlignment="1">
      <alignment horizontal="center" vertical="center"/>
    </xf>
    <xf numFmtId="49" fontId="26" fillId="24" borderId="12" xfId="37" applyNumberFormat="1" applyFont="1" applyFill="1" applyBorder="1" applyAlignment="1">
      <alignment horizontal="center" vertical="center"/>
    </xf>
    <xf numFmtId="49" fontId="29" fillId="24" borderId="12" xfId="37" applyNumberFormat="1" applyFont="1" applyFill="1" applyBorder="1" applyAlignment="1">
      <alignment horizontal="center" vertical="center"/>
    </xf>
    <xf numFmtId="49" fontId="26" fillId="24" borderId="3" xfId="37" applyNumberFormat="1" applyFont="1" applyFill="1" applyBorder="1" applyAlignment="1">
      <alignment horizontal="center" vertical="center"/>
    </xf>
    <xf numFmtId="49" fontId="26" fillId="24" borderId="3" xfId="47" applyNumberFormat="1" applyFont="1" applyFill="1" applyBorder="1" applyAlignment="1">
      <alignment horizontal="center" vertical="center"/>
    </xf>
    <xf numFmtId="49" fontId="26" fillId="24" borderId="0" xfId="0" applyNumberFormat="1" applyFont="1" applyFill="1" applyAlignment="1">
      <alignment horizontal="center" vertical="center"/>
    </xf>
    <xf numFmtId="49" fontId="26" fillId="24" borderId="13" xfId="0" applyNumberFormat="1" applyFont="1" applyFill="1" applyBorder="1" applyAlignment="1">
      <alignment horizontal="center" vertical="center"/>
    </xf>
    <xf numFmtId="49" fontId="26" fillId="24" borderId="3" xfId="0" applyNumberFormat="1" applyFont="1" applyFill="1" applyBorder="1" applyAlignment="1">
      <alignment horizontal="center" vertical="center"/>
    </xf>
    <xf numFmtId="49" fontId="26" fillId="24" borderId="0" xfId="0" applyNumberFormat="1" applyFont="1" applyFill="1" applyAlignment="1">
      <alignment horizontal="center"/>
    </xf>
    <xf numFmtId="168" fontId="25" fillId="24" borderId="0" xfId="0" applyNumberFormat="1" applyFont="1" applyFill="1"/>
    <xf numFmtId="0" fontId="26" fillId="24" borderId="0" xfId="0" applyFont="1" applyFill="1" applyAlignment="1">
      <alignment vertical="center" wrapText="1"/>
    </xf>
    <xf numFmtId="0" fontId="29" fillId="24" borderId="3" xfId="165" applyFont="1" applyFill="1" applyBorder="1" applyAlignment="1">
      <alignment horizontal="center" vertical="top" wrapText="1"/>
    </xf>
    <xf numFmtId="0" fontId="26" fillId="24" borderId="3" xfId="0" applyFont="1" applyFill="1" applyBorder="1" applyAlignment="1">
      <alignment horizontal="left" vertical="center" wrapText="1"/>
    </xf>
    <xf numFmtId="0" fontId="31" fillId="24" borderId="3" xfId="0" applyFont="1" applyFill="1" applyBorder="1" applyAlignment="1">
      <alignment vertical="center" wrapText="1"/>
    </xf>
    <xf numFmtId="164" fontId="31" fillId="24" borderId="12" xfId="37" applyNumberFormat="1" applyFont="1" applyFill="1" applyBorder="1" applyAlignment="1">
      <alignment horizontal="center" vertical="center"/>
    </xf>
    <xf numFmtId="0" fontId="31" fillId="24" borderId="3" xfId="0" applyFont="1" applyFill="1" applyBorder="1" applyAlignment="1">
      <alignment horizontal="center" vertical="center"/>
    </xf>
    <xf numFmtId="3" fontId="31" fillId="24" borderId="3" xfId="0" applyNumberFormat="1" applyFont="1" applyFill="1" applyBorder="1" applyAlignment="1">
      <alignment horizontal="center" vertical="center"/>
    </xf>
    <xf numFmtId="0" fontId="29" fillId="24" borderId="3" xfId="165" applyFont="1" applyFill="1" applyBorder="1" applyAlignment="1">
      <alignment horizontal="center" vertical="center" wrapText="1"/>
    </xf>
    <xf numFmtId="167" fontId="30" fillId="24" borderId="3" xfId="0" applyNumberFormat="1" applyFont="1" applyFill="1" applyBorder="1" applyAlignment="1">
      <alignment vertical="center" wrapText="1"/>
    </xf>
    <xf numFmtId="0" fontId="25" fillId="24" borderId="3" xfId="0" applyFont="1" applyFill="1" applyBorder="1" applyAlignment="1">
      <alignment horizontal="left" vertical="center" wrapText="1"/>
    </xf>
    <xf numFmtId="0" fontId="25" fillId="24" borderId="0" xfId="0" applyFont="1" applyFill="1" applyAlignment="1">
      <alignment vertical="center" wrapText="1"/>
    </xf>
  </cellXfs>
  <cellStyles count="194">
    <cellStyle name="20% - Акцент1" xfId="1"/>
    <cellStyle name="20% — акцент1" xfId="2"/>
    <cellStyle name="20% - Акцент2" xfId="3"/>
    <cellStyle name="20% — акцент2" xfId="4"/>
    <cellStyle name="20% - Акцент3" xfId="5"/>
    <cellStyle name="20% — акцент3" xfId="6"/>
    <cellStyle name="20% - Акцент4" xfId="7"/>
    <cellStyle name="20% — акцент4" xfId="8"/>
    <cellStyle name="20% - Акцент5" xfId="9"/>
    <cellStyle name="20% — акцент5" xfId="10"/>
    <cellStyle name="20% - Акцент6" xfId="11"/>
    <cellStyle name="20% — акцент6" xfId="12"/>
    <cellStyle name="40% - Акцент1" xfId="13"/>
    <cellStyle name="40% — акцент1" xfId="14"/>
    <cellStyle name="40% - Акцент2" xfId="15"/>
    <cellStyle name="40% — акцент2" xfId="16"/>
    <cellStyle name="40% - Акцент3" xfId="17"/>
    <cellStyle name="40% — акцент3" xfId="18"/>
    <cellStyle name="40% - Акцент4" xfId="19"/>
    <cellStyle name="40% — акцент4" xfId="20"/>
    <cellStyle name="40% - Акцент5" xfId="21"/>
    <cellStyle name="40% — акцент5" xfId="22"/>
    <cellStyle name="40% - Акцент6" xfId="23"/>
    <cellStyle name="40% — акцент6" xfId="24"/>
    <cellStyle name="60% - Акцент1" xfId="25"/>
    <cellStyle name="60% — акцент1" xfId="26"/>
    <cellStyle name="60% - Акцент2" xfId="27"/>
    <cellStyle name="60% — акцент2" xfId="28"/>
    <cellStyle name="60% - Акцент3" xfId="29"/>
    <cellStyle name="60% — акцент3" xfId="30"/>
    <cellStyle name="60% - Акцент4" xfId="31"/>
    <cellStyle name="60% — акцент4" xfId="32"/>
    <cellStyle name="60% - Акцент5" xfId="33"/>
    <cellStyle name="60% — акцент5" xfId="34"/>
    <cellStyle name="60% - Акцент6" xfId="35"/>
    <cellStyle name="60% — акцент6" xfId="36"/>
    <cellStyle name="Bad" xfId="37" builtinId="27"/>
    <cellStyle name="Comma 2" xfId="38"/>
    <cellStyle name="Comma 2 2" xfId="39"/>
    <cellStyle name="Comma 3" xfId="40"/>
    <cellStyle name="Currency 2" xfId="41"/>
    <cellStyle name="Currency 3" xfId="42"/>
    <cellStyle name="Currency 3 2" xfId="43"/>
    <cellStyle name="Currency 3 3" xfId="44"/>
    <cellStyle name="Currency 4" xfId="45"/>
    <cellStyle name="edRascen" xfId="46"/>
    <cellStyle name="Neutral" xfId="47" builtinId="28"/>
    <cellStyle name="Normal" xfId="0" builtinId="0"/>
    <cellStyle name="Normal 10" xfId="48"/>
    <cellStyle name="Normal 10 10" xfId="49"/>
    <cellStyle name="Normal 10 11" xfId="50"/>
    <cellStyle name="Normal 10 12" xfId="51"/>
    <cellStyle name="Normal 10 13" xfId="52"/>
    <cellStyle name="Normal 10 2" xfId="53"/>
    <cellStyle name="Normal 10 2 2" xfId="54"/>
    <cellStyle name="Normal 10 3" xfId="55"/>
    <cellStyle name="Normal 10 4" xfId="56"/>
    <cellStyle name="Normal 10 5" xfId="57"/>
    <cellStyle name="Normal 10 6" xfId="58"/>
    <cellStyle name="Normal 10 7" xfId="59"/>
    <cellStyle name="Normal 10 8" xfId="60"/>
    <cellStyle name="Normal 10 9" xfId="61"/>
    <cellStyle name="Normal 11" xfId="62"/>
    <cellStyle name="Normal 11 2" xfId="63"/>
    <cellStyle name="Normal 11 3" xfId="64"/>
    <cellStyle name="Normal 11 4" xfId="65"/>
    <cellStyle name="Normal 11 5" xfId="66"/>
    <cellStyle name="Normal 11 6" xfId="67"/>
    <cellStyle name="Normal 11 7" xfId="68"/>
    <cellStyle name="Normal 11 8" xfId="69"/>
    <cellStyle name="Normal 12" xfId="70"/>
    <cellStyle name="Normal 12 10" xfId="71"/>
    <cellStyle name="Normal 12 10 2" xfId="72"/>
    <cellStyle name="Normal 12 10 2 2" xfId="73"/>
    <cellStyle name="Normal 12 10 3" xfId="74"/>
    <cellStyle name="Normal 12 10 3 2" xfId="75"/>
    <cellStyle name="Normal 12 10 3 2 2" xfId="76"/>
    <cellStyle name="Normal 12 10 4" xfId="77"/>
    <cellStyle name="Normal 12 10 5" xfId="78"/>
    <cellStyle name="Normal 12 10 5 2" xfId="79"/>
    <cellStyle name="Normal 12 11" xfId="80"/>
    <cellStyle name="Normal 12 12" xfId="81"/>
    <cellStyle name="Normal 12 13" xfId="82"/>
    <cellStyle name="Normal 12 14" xfId="83"/>
    <cellStyle name="Normal 12 2" xfId="84"/>
    <cellStyle name="Normal 12 2 2" xfId="85"/>
    <cellStyle name="Normal 12 3" xfId="86"/>
    <cellStyle name="Normal 12 4" xfId="87"/>
    <cellStyle name="Normal 12 5" xfId="88"/>
    <cellStyle name="Normal 12 6" xfId="89"/>
    <cellStyle name="Normal 12 7" xfId="90"/>
    <cellStyle name="Normal 12 8" xfId="91"/>
    <cellStyle name="Normal 12 9" xfId="92"/>
    <cellStyle name="Normal 13" xfId="93"/>
    <cellStyle name="Normal 13 2" xfId="94"/>
    <cellStyle name="Normal 14" xfId="95"/>
    <cellStyle name="Normal 14 2" xfId="96"/>
    <cellStyle name="Normal 15" xfId="97"/>
    <cellStyle name="Normal 16" xfId="98"/>
    <cellStyle name="Normal 17" xfId="99"/>
    <cellStyle name="Normal 18" xfId="100"/>
    <cellStyle name="Normal 2" xfId="101"/>
    <cellStyle name="Normal 2 2" xfId="102"/>
    <cellStyle name="Normal 2 2 2" xfId="103"/>
    <cellStyle name="Normal 2 3" xfId="104"/>
    <cellStyle name="Normal 2 3 2" xfId="105"/>
    <cellStyle name="Normal 2 3 3" xfId="106"/>
    <cellStyle name="Normal 2 4" xfId="107"/>
    <cellStyle name="Normal 2_2" xfId="108"/>
    <cellStyle name="Normal 3" xfId="109"/>
    <cellStyle name="Normal 3 2" xfId="110"/>
    <cellStyle name="Normal 3 3" xfId="111"/>
    <cellStyle name="Normal 4" xfId="112"/>
    <cellStyle name="Normal 4 2" xfId="113"/>
    <cellStyle name="Normal 4 3" xfId="114"/>
    <cellStyle name="Normal 4_2" xfId="115"/>
    <cellStyle name="Normal 5" xfId="116"/>
    <cellStyle name="Normal 5 2" xfId="117"/>
    <cellStyle name="Normal 6" xfId="118"/>
    <cellStyle name="Normal 6 2" xfId="119"/>
    <cellStyle name="Normal 7" xfId="120"/>
    <cellStyle name="Normal 7 10" xfId="121"/>
    <cellStyle name="Normal 7 11" xfId="122"/>
    <cellStyle name="Normal 7 12" xfId="123"/>
    <cellStyle name="Normal 7 13" xfId="124"/>
    <cellStyle name="Normal 7 14" xfId="125"/>
    <cellStyle name="Normal 7 2" xfId="126"/>
    <cellStyle name="Normal 7 3" xfId="127"/>
    <cellStyle name="Normal 7 3 2" xfId="128"/>
    <cellStyle name="Normal 7 4" xfId="129"/>
    <cellStyle name="Normal 7 4 2" xfId="130"/>
    <cellStyle name="Normal 7 5" xfId="131"/>
    <cellStyle name="Normal 7 6" xfId="132"/>
    <cellStyle name="Normal 7 7" xfId="133"/>
    <cellStyle name="Normal 7 8" xfId="134"/>
    <cellStyle name="Normal 7 9" xfId="135"/>
    <cellStyle name="Normal 8" xfId="136"/>
    <cellStyle name="Normal 8 10" xfId="137"/>
    <cellStyle name="Normal 8 11" xfId="138"/>
    <cellStyle name="Normal 8 12" xfId="139"/>
    <cellStyle name="Normal 8 13" xfId="140"/>
    <cellStyle name="Normal 8 14" xfId="141"/>
    <cellStyle name="Normal 8 2" xfId="142"/>
    <cellStyle name="Normal 8 2 10" xfId="143"/>
    <cellStyle name="Normal 8 2 11" xfId="144"/>
    <cellStyle name="Normal 8 2 12" xfId="145"/>
    <cellStyle name="Normal 8 2 13" xfId="146"/>
    <cellStyle name="Normal 8 2 2" xfId="147"/>
    <cellStyle name="Normal 8 2 3" xfId="148"/>
    <cellStyle name="Normal 8 2 4" xfId="149"/>
    <cellStyle name="Normal 8 2 5" xfId="150"/>
    <cellStyle name="Normal 8 2 6" xfId="151"/>
    <cellStyle name="Normal 8 2 7" xfId="152"/>
    <cellStyle name="Normal 8 2 8" xfId="153"/>
    <cellStyle name="Normal 8 2 9" xfId="154"/>
    <cellStyle name="Normal 8 3" xfId="155"/>
    <cellStyle name="Normal 8 3 2" xfId="156"/>
    <cellStyle name="Normal 8 4" xfId="157"/>
    <cellStyle name="Normal 8 4 2" xfId="158"/>
    <cellStyle name="Normal 8 5" xfId="159"/>
    <cellStyle name="Normal 8 6" xfId="160"/>
    <cellStyle name="Normal 8 7" xfId="161"/>
    <cellStyle name="Normal 8 8" xfId="162"/>
    <cellStyle name="Normal 8 9" xfId="163"/>
    <cellStyle name="Normal 9" xfId="164"/>
    <cellStyle name="Normal_2006plan" xfId="165"/>
    <cellStyle name="Percent 2" xfId="166"/>
    <cellStyle name="Style 1" xfId="167"/>
    <cellStyle name="Акцент1" xfId="168"/>
    <cellStyle name="Акцент2" xfId="169"/>
    <cellStyle name="Акцент3" xfId="170"/>
    <cellStyle name="Акцент4" xfId="171"/>
    <cellStyle name="Акцент5" xfId="172"/>
    <cellStyle name="Акцент6" xfId="173"/>
    <cellStyle name="Ввод " xfId="174"/>
    <cellStyle name="Вывод" xfId="175"/>
    <cellStyle name="Вычисление" xfId="176"/>
    <cellStyle name="Заголовок 1" xfId="177"/>
    <cellStyle name="Заголовок 2" xfId="178"/>
    <cellStyle name="Заголовок 3" xfId="179"/>
    <cellStyle name="Заголовок 4" xfId="180"/>
    <cellStyle name="Итог" xfId="181"/>
    <cellStyle name="Контрольная ячейка" xfId="182"/>
    <cellStyle name="Название" xfId="183"/>
    <cellStyle name="Обычный 2" xfId="184"/>
    <cellStyle name="Обычный 2 2 2" xfId="185"/>
    <cellStyle name="Обычный 3" xfId="186"/>
    <cellStyle name="Обычный 4" xfId="187"/>
    <cellStyle name="Пояснение" xfId="188"/>
    <cellStyle name="Примечание" xfId="189"/>
    <cellStyle name="Связанная ячейка" xfId="190"/>
    <cellStyle name="Текст предупреждения" xfId="191"/>
    <cellStyle name="Финансовый 2" xfId="192"/>
    <cellStyle name="Хороший" xfId="19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8"/>
  <sheetViews>
    <sheetView tabSelected="1" zoomScale="85" zoomScaleNormal="85" zoomScaleSheetLayoutView="100" workbookViewId="0">
      <selection activeCell="O8" sqref="O8"/>
    </sheetView>
  </sheetViews>
  <sheetFormatPr defaultColWidth="9.140625" defaultRowHeight="16.5" x14ac:dyDescent="0.3"/>
  <cols>
    <col min="1" max="1" width="3.28515625" style="3" customWidth="1"/>
    <col min="2" max="2" width="8.85546875" style="53" customWidth="1"/>
    <col min="3" max="3" width="43" style="8" customWidth="1"/>
    <col min="4" max="4" width="11.7109375" style="3" customWidth="1"/>
    <col min="5" max="5" width="15.42578125" style="3" customWidth="1"/>
    <col min="6" max="6" width="14.85546875" style="40" customWidth="1"/>
    <col min="7" max="7" width="20.42578125" style="3" customWidth="1"/>
    <col min="8" max="8" width="19.5703125" style="3" customWidth="1"/>
    <col min="9" max="9" width="19.85546875" style="3" customWidth="1"/>
    <col min="10" max="10" width="19.7109375" style="65" customWidth="1"/>
    <col min="11" max="16384" width="9.140625" style="3"/>
  </cols>
  <sheetData>
    <row r="1" spans="1:11" x14ac:dyDescent="0.3">
      <c r="B1" s="50" t="s">
        <v>12</v>
      </c>
      <c r="C1" s="55"/>
      <c r="D1" s="16"/>
      <c r="E1" s="16"/>
      <c r="F1" s="16"/>
      <c r="G1" s="16"/>
      <c r="H1" s="16"/>
      <c r="I1" s="16"/>
      <c r="J1" s="55"/>
      <c r="K1" s="3" t="s">
        <v>162</v>
      </c>
    </row>
    <row r="2" spans="1:11" x14ac:dyDescent="0.3">
      <c r="B2" s="51" t="s">
        <v>158</v>
      </c>
      <c r="C2" s="11"/>
      <c r="D2" s="10"/>
      <c r="E2" s="10"/>
      <c r="F2" s="10"/>
      <c r="G2" s="10"/>
      <c r="H2" s="10"/>
      <c r="I2" s="10"/>
      <c r="J2" s="11"/>
      <c r="K2" s="3" t="s">
        <v>162</v>
      </c>
    </row>
    <row r="3" spans="1:11" s="8" customFormat="1" ht="49.5" x14ac:dyDescent="0.3">
      <c r="B3" s="4" t="s">
        <v>0</v>
      </c>
      <c r="C3" s="5" t="s">
        <v>1</v>
      </c>
      <c r="D3" s="6" t="s">
        <v>154</v>
      </c>
      <c r="E3" s="6" t="s">
        <v>3</v>
      </c>
      <c r="F3" s="7" t="s">
        <v>14</v>
      </c>
      <c r="G3" s="7" t="s">
        <v>30</v>
      </c>
      <c r="H3" s="7" t="s">
        <v>31</v>
      </c>
      <c r="I3" s="7" t="s">
        <v>59</v>
      </c>
      <c r="J3" s="7" t="s">
        <v>29</v>
      </c>
      <c r="K3" s="8" t="s">
        <v>163</v>
      </c>
    </row>
    <row r="4" spans="1:11" ht="17.25" x14ac:dyDescent="0.3">
      <c r="B4" s="17">
        <v>1</v>
      </c>
      <c r="C4" s="56">
        <v>2</v>
      </c>
      <c r="D4" s="18" t="s">
        <v>162</v>
      </c>
      <c r="E4" s="18">
        <v>3</v>
      </c>
      <c r="F4" s="18">
        <v>4</v>
      </c>
      <c r="G4" s="19">
        <v>5</v>
      </c>
      <c r="H4" s="19">
        <v>6</v>
      </c>
      <c r="I4" s="19">
        <v>7</v>
      </c>
      <c r="J4" s="62">
        <v>8</v>
      </c>
      <c r="K4" s="3" t="s">
        <v>162</v>
      </c>
    </row>
    <row r="5" spans="1:11" ht="17.25" x14ac:dyDescent="0.3">
      <c r="B5" s="47"/>
      <c r="C5" s="14" t="s">
        <v>11</v>
      </c>
      <c r="D5" s="20"/>
      <c r="E5" s="20">
        <f>E6+E34+E72</f>
        <v>676.99699999999984</v>
      </c>
      <c r="F5" s="21"/>
      <c r="G5" s="22">
        <f>G6+G34+G72+G113</f>
        <v>79057480000</v>
      </c>
      <c r="H5" s="22">
        <f>H6+H34+H72+H113</f>
        <v>1206242200</v>
      </c>
      <c r="I5" s="22">
        <f>I6+I34+I72+I113</f>
        <v>84412679</v>
      </c>
      <c r="J5" s="63"/>
      <c r="K5" s="3" t="s">
        <v>162</v>
      </c>
    </row>
    <row r="6" spans="1:11" ht="33" x14ac:dyDescent="0.3">
      <c r="B6" s="46">
        <v>1</v>
      </c>
      <c r="C6" s="7" t="s">
        <v>2</v>
      </c>
      <c r="D6" s="24"/>
      <c r="E6" s="24">
        <f>SUM(E7:E32)</f>
        <v>239.36599999999999</v>
      </c>
      <c r="F6" s="25"/>
      <c r="G6" s="26">
        <f>SUM(G7:G32)</f>
        <v>28533780000</v>
      </c>
      <c r="H6" s="26">
        <f>SUM(H7:H32)</f>
        <v>429106700</v>
      </c>
      <c r="I6" s="26">
        <f>SUM(I7:I32)</f>
        <v>26699914</v>
      </c>
      <c r="J6" s="2"/>
      <c r="K6" s="3" t="s">
        <v>162</v>
      </c>
    </row>
    <row r="7" spans="1:11" ht="99" x14ac:dyDescent="0.3">
      <c r="A7" s="3" t="s">
        <v>164</v>
      </c>
      <c r="B7" s="52">
        <v>1.1000000000000001</v>
      </c>
      <c r="C7" s="2" t="s">
        <v>126</v>
      </c>
      <c r="D7" s="28" t="s">
        <v>155</v>
      </c>
      <c r="E7" s="30">
        <v>4.0999999999999996</v>
      </c>
      <c r="F7" s="25" t="s">
        <v>15</v>
      </c>
      <c r="G7" s="31">
        <f>E7*110000000</f>
        <v>450999999.99999994</v>
      </c>
      <c r="H7" s="31">
        <f>G7*0.015</f>
        <v>6764999.9999999991</v>
      </c>
      <c r="I7" s="31">
        <f>+H7*9%</f>
        <v>608849.99999999988</v>
      </c>
      <c r="J7" s="2" t="s">
        <v>35</v>
      </c>
      <c r="K7" s="3" t="s">
        <v>162</v>
      </c>
    </row>
    <row r="8" spans="1:11" ht="66" x14ac:dyDescent="0.3">
      <c r="A8" s="3" t="s">
        <v>164</v>
      </c>
      <c r="B8" s="52">
        <v>1.2</v>
      </c>
      <c r="C8" s="2" t="s">
        <v>129</v>
      </c>
      <c r="D8" s="33" t="s">
        <v>162</v>
      </c>
      <c r="E8" s="33">
        <v>12.2</v>
      </c>
      <c r="F8" s="33" t="s">
        <v>22</v>
      </c>
      <c r="G8" s="31">
        <f>E8*110000000</f>
        <v>1342000000</v>
      </c>
      <c r="H8" s="31">
        <f t="shared" ref="H8:H14" si="0">G8*0.015</f>
        <v>20130000</v>
      </c>
      <c r="I8" s="31">
        <f>+H8*6%</f>
        <v>1207800</v>
      </c>
      <c r="J8" s="2" t="s">
        <v>32</v>
      </c>
      <c r="K8" s="3" t="s">
        <v>162</v>
      </c>
    </row>
    <row r="9" spans="1:11" ht="66" x14ac:dyDescent="0.3">
      <c r="A9" s="3" t="s">
        <v>164</v>
      </c>
      <c r="B9" s="52">
        <v>1.3</v>
      </c>
      <c r="C9" s="2" t="s">
        <v>130</v>
      </c>
      <c r="D9" s="28" t="s">
        <v>155</v>
      </c>
      <c r="E9" s="33">
        <f>101.4-98</f>
        <v>3.4000000000000057</v>
      </c>
      <c r="F9" s="25" t="s">
        <v>16</v>
      </c>
      <c r="G9" s="31">
        <f>E9*110000000</f>
        <v>374000000.0000006</v>
      </c>
      <c r="H9" s="31">
        <f t="shared" si="0"/>
        <v>5610000.0000000084</v>
      </c>
      <c r="I9" s="31">
        <f>+H9*9%</f>
        <v>504900.00000000076</v>
      </c>
      <c r="J9" s="2" t="s">
        <v>34</v>
      </c>
      <c r="K9" s="3" t="s">
        <v>162</v>
      </c>
    </row>
    <row r="10" spans="1:11" ht="99" x14ac:dyDescent="0.3">
      <c r="A10" s="3" t="s">
        <v>164</v>
      </c>
      <c r="B10" s="52">
        <v>1.4</v>
      </c>
      <c r="C10" s="2" t="s">
        <v>120</v>
      </c>
      <c r="D10" s="28" t="s">
        <v>155</v>
      </c>
      <c r="E10" s="33">
        <v>17.7</v>
      </c>
      <c r="F10" s="25" t="s">
        <v>16</v>
      </c>
      <c r="G10" s="31">
        <f>E10*120000000</f>
        <v>2124000000</v>
      </c>
      <c r="H10" s="31">
        <f t="shared" si="0"/>
        <v>31860000</v>
      </c>
      <c r="I10" s="31">
        <f>+H10*5%</f>
        <v>1593000</v>
      </c>
      <c r="J10" s="2" t="s">
        <v>65</v>
      </c>
      <c r="K10" s="3" t="s">
        <v>162</v>
      </c>
    </row>
    <row r="11" spans="1:11" ht="82.5" x14ac:dyDescent="0.3">
      <c r="A11" s="3" t="s">
        <v>164</v>
      </c>
      <c r="B11" s="52">
        <v>1.5</v>
      </c>
      <c r="C11" s="2" t="s">
        <v>147</v>
      </c>
      <c r="D11" s="28" t="s">
        <v>155</v>
      </c>
      <c r="E11" s="33">
        <v>16.899999999999999</v>
      </c>
      <c r="F11" s="25" t="s">
        <v>16</v>
      </c>
      <c r="G11" s="31">
        <f>E11*110000000</f>
        <v>1858999999.9999998</v>
      </c>
      <c r="H11" s="31">
        <f t="shared" si="0"/>
        <v>27884999.999999996</v>
      </c>
      <c r="I11" s="31">
        <f>+H11*6%</f>
        <v>1673099.9999999998</v>
      </c>
      <c r="J11" s="2" t="s">
        <v>33</v>
      </c>
      <c r="K11" s="3" t="s">
        <v>162</v>
      </c>
    </row>
    <row r="12" spans="1:11" ht="115.5" x14ac:dyDescent="0.3">
      <c r="A12" s="3" t="s">
        <v>164</v>
      </c>
      <c r="B12" s="52">
        <v>1.6</v>
      </c>
      <c r="C12" s="2" t="s">
        <v>132</v>
      </c>
      <c r="D12" s="28" t="s">
        <v>155</v>
      </c>
      <c r="E12" s="33">
        <v>6.2</v>
      </c>
      <c r="F12" s="25" t="s">
        <v>17</v>
      </c>
      <c r="G12" s="31">
        <f>E12*110000000</f>
        <v>682000000</v>
      </c>
      <c r="H12" s="31">
        <f t="shared" si="0"/>
        <v>10230000</v>
      </c>
      <c r="I12" s="31">
        <f>+H12*8%</f>
        <v>818400</v>
      </c>
      <c r="J12" s="2" t="s">
        <v>56</v>
      </c>
      <c r="K12" s="3" t="s">
        <v>162</v>
      </c>
    </row>
    <row r="13" spans="1:11" s="15" customFormat="1" ht="280.5" x14ac:dyDescent="0.3">
      <c r="A13" s="3" t="s">
        <v>164</v>
      </c>
      <c r="B13" s="52">
        <v>1.7</v>
      </c>
      <c r="C13" s="58" t="s">
        <v>151</v>
      </c>
      <c r="D13" s="59" t="s">
        <v>162</v>
      </c>
      <c r="E13" s="59">
        <v>11</v>
      </c>
      <c r="F13" s="60" t="s">
        <v>17</v>
      </c>
      <c r="G13" s="61">
        <f>E13*110000000</f>
        <v>1210000000</v>
      </c>
      <c r="H13" s="61">
        <f t="shared" si="0"/>
        <v>18150000</v>
      </c>
      <c r="I13" s="61">
        <f>+H13*7%</f>
        <v>1270500.0000000002</v>
      </c>
      <c r="J13" s="58" t="s">
        <v>160</v>
      </c>
      <c r="K13" s="15" t="s">
        <v>162</v>
      </c>
    </row>
    <row r="14" spans="1:11" ht="99" x14ac:dyDescent="0.3">
      <c r="A14" s="3" t="s">
        <v>164</v>
      </c>
      <c r="B14" s="52">
        <v>1.8</v>
      </c>
      <c r="C14" s="2" t="s">
        <v>133</v>
      </c>
      <c r="D14" s="28" t="s">
        <v>155</v>
      </c>
      <c r="E14" s="33">
        <v>10.3</v>
      </c>
      <c r="F14" s="25" t="s">
        <v>17</v>
      </c>
      <c r="G14" s="31">
        <f t="shared" ref="G14:G17" si="1">E14*110000000</f>
        <v>1133000000</v>
      </c>
      <c r="H14" s="31">
        <f t="shared" si="0"/>
        <v>16995000</v>
      </c>
      <c r="I14" s="31">
        <f>+H14*7%</f>
        <v>1189650</v>
      </c>
      <c r="J14" s="2" t="s">
        <v>161</v>
      </c>
      <c r="K14" s="3" t="s">
        <v>162</v>
      </c>
    </row>
    <row r="15" spans="1:11" ht="82.5" x14ac:dyDescent="0.3">
      <c r="A15" s="3" t="s">
        <v>164</v>
      </c>
      <c r="B15" s="52">
        <v>1.9</v>
      </c>
      <c r="C15" s="2" t="s">
        <v>142</v>
      </c>
      <c r="D15" s="29" t="s">
        <v>162</v>
      </c>
      <c r="E15" s="33">
        <v>8.5</v>
      </c>
      <c r="F15" s="25" t="s">
        <v>28</v>
      </c>
      <c r="G15" s="31">
        <f t="shared" si="1"/>
        <v>935000000</v>
      </c>
      <c r="H15" s="31">
        <f>G15*0.015</f>
        <v>14025000</v>
      </c>
      <c r="I15" s="31">
        <f>+H15*8%</f>
        <v>1122000</v>
      </c>
      <c r="J15" s="2" t="s">
        <v>57</v>
      </c>
      <c r="K15" s="3" t="s">
        <v>162</v>
      </c>
    </row>
    <row r="16" spans="1:11" ht="82.5" x14ac:dyDescent="0.3">
      <c r="A16" s="3" t="s">
        <v>164</v>
      </c>
      <c r="B16" s="52" t="s">
        <v>194</v>
      </c>
      <c r="C16" s="2" t="s">
        <v>166</v>
      </c>
      <c r="D16" s="28" t="s">
        <v>155</v>
      </c>
      <c r="E16" s="33">
        <v>7.68</v>
      </c>
      <c r="F16" s="25" t="s">
        <v>19</v>
      </c>
      <c r="G16" s="31">
        <f t="shared" si="1"/>
        <v>844800000</v>
      </c>
      <c r="H16" s="31">
        <f>G16*0.015</f>
        <v>12672000</v>
      </c>
      <c r="I16" s="31">
        <f>+H16*8%</f>
        <v>1013760</v>
      </c>
      <c r="J16" s="2" t="s">
        <v>57</v>
      </c>
      <c r="K16" s="3" t="s">
        <v>162</v>
      </c>
    </row>
    <row r="17" spans="1:11" ht="82.5" x14ac:dyDescent="0.3">
      <c r="A17" s="3" t="s">
        <v>164</v>
      </c>
      <c r="B17" s="52" t="s">
        <v>196</v>
      </c>
      <c r="C17" s="2" t="s">
        <v>136</v>
      </c>
      <c r="D17" s="28" t="s">
        <v>155</v>
      </c>
      <c r="E17" s="33">
        <v>4.8</v>
      </c>
      <c r="F17" s="25" t="s">
        <v>19</v>
      </c>
      <c r="G17" s="31">
        <f t="shared" si="1"/>
        <v>528000000</v>
      </c>
      <c r="H17" s="31">
        <f>G17*0.015</f>
        <v>7920000</v>
      </c>
      <c r="I17" s="31">
        <f>+H17*9%</f>
        <v>712800</v>
      </c>
      <c r="J17" s="2" t="s">
        <v>57</v>
      </c>
      <c r="K17" s="3" t="s">
        <v>162</v>
      </c>
    </row>
    <row r="18" spans="1:11" ht="82.5" x14ac:dyDescent="0.3">
      <c r="A18" s="3" t="s">
        <v>164</v>
      </c>
      <c r="B18" s="52" t="s">
        <v>197</v>
      </c>
      <c r="C18" s="2" t="s">
        <v>167</v>
      </c>
      <c r="D18" s="34" t="s">
        <v>155</v>
      </c>
      <c r="E18" s="33">
        <v>22.9</v>
      </c>
      <c r="F18" s="25" t="s">
        <v>19</v>
      </c>
      <c r="G18" s="31">
        <f>E18*110000000</f>
        <v>2519000000</v>
      </c>
      <c r="H18" s="31">
        <f>G18*0.015</f>
        <v>37785000</v>
      </c>
      <c r="I18" s="31">
        <f>+H18*5%</f>
        <v>1889250</v>
      </c>
      <c r="J18" s="2" t="s">
        <v>57</v>
      </c>
      <c r="K18" s="3" t="s">
        <v>165</v>
      </c>
    </row>
    <row r="19" spans="1:11" ht="66" x14ac:dyDescent="0.3">
      <c r="A19" s="3" t="s">
        <v>164</v>
      </c>
      <c r="B19" s="52" t="s">
        <v>198</v>
      </c>
      <c r="C19" s="2" t="s">
        <v>148</v>
      </c>
      <c r="D19" s="28" t="s">
        <v>155</v>
      </c>
      <c r="E19" s="32"/>
      <c r="F19" s="25" t="s">
        <v>21</v>
      </c>
      <c r="G19" s="31">
        <v>40000000</v>
      </c>
      <c r="H19" s="31">
        <f>G19*0.025</f>
        <v>1000000</v>
      </c>
      <c r="I19" s="31">
        <f>+H19*11%</f>
        <v>110000</v>
      </c>
      <c r="J19" s="64" t="s">
        <v>102</v>
      </c>
      <c r="K19" s="3" t="s">
        <v>162</v>
      </c>
    </row>
    <row r="20" spans="1:11" ht="82.5" x14ac:dyDescent="0.3">
      <c r="A20" s="3" t="s">
        <v>164</v>
      </c>
      <c r="B20" s="52" t="s">
        <v>195</v>
      </c>
      <c r="C20" s="2" t="s">
        <v>168</v>
      </c>
      <c r="D20" s="28" t="s">
        <v>155</v>
      </c>
      <c r="E20" s="33">
        <f>91.176-83.2</f>
        <v>7.9759999999999991</v>
      </c>
      <c r="F20" s="25" t="s">
        <v>23</v>
      </c>
      <c r="G20" s="31">
        <f>E20*130000000</f>
        <v>1036879999.9999999</v>
      </c>
      <c r="H20" s="31">
        <f>G20*0.015</f>
        <v>15553199.999999998</v>
      </c>
      <c r="I20" s="31">
        <f>+H20*7%</f>
        <v>1088724</v>
      </c>
      <c r="J20" s="64" t="s">
        <v>58</v>
      </c>
      <c r="K20" s="3" t="s">
        <v>162</v>
      </c>
    </row>
    <row r="21" spans="1:11" ht="132" x14ac:dyDescent="0.3">
      <c r="A21" s="3" t="s">
        <v>164</v>
      </c>
      <c r="B21" s="52" t="s">
        <v>199</v>
      </c>
      <c r="C21" s="2" t="s">
        <v>169</v>
      </c>
      <c r="D21" s="28" t="s">
        <v>155</v>
      </c>
      <c r="E21" s="33"/>
      <c r="F21" s="25" t="s">
        <v>23</v>
      </c>
      <c r="G21" s="31">
        <v>250000000</v>
      </c>
      <c r="H21" s="31">
        <f>G21*0.015</f>
        <v>3750000</v>
      </c>
      <c r="I21" s="31">
        <f t="shared" ref="I21" si="2">+H21*10%</f>
        <v>375000</v>
      </c>
      <c r="J21" s="64" t="s">
        <v>102</v>
      </c>
      <c r="K21" s="3" t="s">
        <v>162</v>
      </c>
    </row>
    <row r="22" spans="1:11" ht="115.5" x14ac:dyDescent="0.3">
      <c r="A22" s="3" t="s">
        <v>164</v>
      </c>
      <c r="B22" s="52" t="s">
        <v>200</v>
      </c>
      <c r="C22" s="2" t="s">
        <v>170</v>
      </c>
      <c r="D22" s="33" t="s">
        <v>162</v>
      </c>
      <c r="E22" s="33">
        <v>26.6</v>
      </c>
      <c r="F22" s="25" t="s">
        <v>28</v>
      </c>
      <c r="G22" s="31">
        <f>E22*160000000</f>
        <v>4256000000</v>
      </c>
      <c r="H22" s="31">
        <f>G22*0.015</f>
        <v>63840000</v>
      </c>
      <c r="I22" s="31">
        <f>+H22*3.5%</f>
        <v>2234400</v>
      </c>
      <c r="J22" s="64" t="s">
        <v>57</v>
      </c>
      <c r="K22" s="3" t="s">
        <v>162</v>
      </c>
    </row>
    <row r="23" spans="1:11" ht="66" x14ac:dyDescent="0.3">
      <c r="A23" s="3" t="s">
        <v>164</v>
      </c>
      <c r="B23" s="52" t="s">
        <v>201</v>
      </c>
      <c r="C23" s="2" t="s">
        <v>127</v>
      </c>
      <c r="D23" s="29" t="s">
        <v>162</v>
      </c>
      <c r="E23" s="30">
        <v>4</v>
      </c>
      <c r="F23" s="25" t="s">
        <v>15</v>
      </c>
      <c r="G23" s="31">
        <f t="shared" ref="G23" si="3">E23*110000000</f>
        <v>440000000</v>
      </c>
      <c r="H23" s="31">
        <f>G23*0.015</f>
        <v>6600000</v>
      </c>
      <c r="I23" s="31">
        <f>+H23*9%</f>
        <v>594000</v>
      </c>
      <c r="J23" s="2" t="s">
        <v>57</v>
      </c>
      <c r="K23" s="3" t="s">
        <v>162</v>
      </c>
    </row>
    <row r="24" spans="1:11" ht="148.5" x14ac:dyDescent="0.3">
      <c r="A24" s="3" t="s">
        <v>164</v>
      </c>
      <c r="B24" s="52" t="s">
        <v>202</v>
      </c>
      <c r="C24" s="2" t="s">
        <v>171</v>
      </c>
      <c r="D24" s="30" t="s">
        <v>162</v>
      </c>
      <c r="E24" s="30">
        <v>15.68</v>
      </c>
      <c r="F24" s="25" t="s">
        <v>21</v>
      </c>
      <c r="G24" s="31">
        <f t="shared" ref="G24" si="4">+E24*110000000</f>
        <v>1724800000</v>
      </c>
      <c r="H24" s="31">
        <f>G24*0.015</f>
        <v>25872000</v>
      </c>
      <c r="I24" s="31">
        <f>+H24*6%</f>
        <v>1552320</v>
      </c>
      <c r="J24" s="2" t="s">
        <v>63</v>
      </c>
      <c r="K24" s="3" t="s">
        <v>162</v>
      </c>
    </row>
    <row r="25" spans="1:11" ht="66" x14ac:dyDescent="0.3">
      <c r="A25" s="3" t="s">
        <v>164</v>
      </c>
      <c r="B25" s="52" t="s">
        <v>203</v>
      </c>
      <c r="C25" s="2" t="s">
        <v>172</v>
      </c>
      <c r="D25" s="28" t="s">
        <v>155</v>
      </c>
      <c r="E25" s="30"/>
      <c r="F25" s="25" t="s">
        <v>21</v>
      </c>
      <c r="G25" s="31">
        <v>30000000</v>
      </c>
      <c r="H25" s="31">
        <f>G25*0.025</f>
        <v>750000</v>
      </c>
      <c r="I25" s="31">
        <f>+H25*11%</f>
        <v>82500</v>
      </c>
      <c r="J25" s="64" t="s">
        <v>102</v>
      </c>
      <c r="K25" s="3" t="s">
        <v>162</v>
      </c>
    </row>
    <row r="26" spans="1:11" ht="115.5" x14ac:dyDescent="0.3">
      <c r="A26" s="3" t="s">
        <v>164</v>
      </c>
      <c r="B26" s="52" t="s">
        <v>204</v>
      </c>
      <c r="C26" s="2" t="s">
        <v>143</v>
      </c>
      <c r="D26" s="28" t="s">
        <v>155</v>
      </c>
      <c r="E26" s="30"/>
      <c r="F26" s="35" t="s">
        <v>16</v>
      </c>
      <c r="G26" s="31">
        <v>40000000</v>
      </c>
      <c r="H26" s="31">
        <f>G26*0.025</f>
        <v>1000000</v>
      </c>
      <c r="I26" s="31">
        <f>+H26*11%</f>
        <v>110000</v>
      </c>
      <c r="J26" s="64" t="s">
        <v>102</v>
      </c>
      <c r="K26" s="3" t="s">
        <v>162</v>
      </c>
    </row>
    <row r="27" spans="1:11" ht="165" x14ac:dyDescent="0.3">
      <c r="A27" s="3" t="s">
        <v>164</v>
      </c>
      <c r="B27" s="52" t="s">
        <v>205</v>
      </c>
      <c r="C27" s="2" t="s">
        <v>152</v>
      </c>
      <c r="D27" s="30" t="s">
        <v>162</v>
      </c>
      <c r="E27" s="30">
        <v>5.9</v>
      </c>
      <c r="F27" s="25" t="s">
        <v>21</v>
      </c>
      <c r="G27" s="31">
        <f>+E27*110000000</f>
        <v>649000000</v>
      </c>
      <c r="H27" s="31">
        <f t="shared" ref="H27:H32" si="5">G27*0.015</f>
        <v>9735000</v>
      </c>
      <c r="I27" s="31">
        <f>+H27*9%</f>
        <v>876150</v>
      </c>
      <c r="J27" s="2" t="s">
        <v>62</v>
      </c>
      <c r="K27" s="3" t="s">
        <v>162</v>
      </c>
    </row>
    <row r="28" spans="1:11" ht="66" x14ac:dyDescent="0.3">
      <c r="A28" s="3" t="s">
        <v>164</v>
      </c>
      <c r="B28" s="52" t="s">
        <v>206</v>
      </c>
      <c r="C28" s="2" t="s">
        <v>173</v>
      </c>
      <c r="D28" s="28" t="s">
        <v>155</v>
      </c>
      <c r="E28" s="30">
        <v>8</v>
      </c>
      <c r="F28" s="35" t="s">
        <v>17</v>
      </c>
      <c r="G28" s="31">
        <f>+E28*110000000</f>
        <v>880000000</v>
      </c>
      <c r="H28" s="31">
        <f t="shared" si="5"/>
        <v>13200000</v>
      </c>
      <c r="I28" s="31">
        <f>+H28*8%</f>
        <v>1056000</v>
      </c>
      <c r="J28" s="2"/>
      <c r="K28" s="3" t="s">
        <v>165</v>
      </c>
    </row>
    <row r="29" spans="1:11" ht="99" x14ac:dyDescent="0.3">
      <c r="A29" s="3" t="s">
        <v>164</v>
      </c>
      <c r="B29" s="52" t="s">
        <v>207</v>
      </c>
      <c r="C29" s="2" t="s">
        <v>153</v>
      </c>
      <c r="D29" s="28" t="s">
        <v>155</v>
      </c>
      <c r="E29" s="30">
        <v>20.9</v>
      </c>
      <c r="F29" s="25" t="s">
        <v>21</v>
      </c>
      <c r="G29" s="31">
        <f t="shared" ref="G29" si="6">E29*110000000</f>
        <v>2299000000</v>
      </c>
      <c r="H29" s="31">
        <f t="shared" si="5"/>
        <v>34485000</v>
      </c>
      <c r="I29" s="31">
        <f>+H29*5%</f>
        <v>1724250</v>
      </c>
      <c r="J29" s="2" t="s">
        <v>37</v>
      </c>
      <c r="K29" s="3" t="s">
        <v>162</v>
      </c>
    </row>
    <row r="30" spans="1:11" ht="82.5" x14ac:dyDescent="0.3">
      <c r="A30" s="3" t="s">
        <v>164</v>
      </c>
      <c r="B30" s="52" t="s">
        <v>208</v>
      </c>
      <c r="C30" s="2" t="s">
        <v>174</v>
      </c>
      <c r="D30" s="30" t="s">
        <v>162</v>
      </c>
      <c r="E30" s="30">
        <v>8.1999999999999993</v>
      </c>
      <c r="F30" s="25" t="s">
        <v>20</v>
      </c>
      <c r="G30" s="31">
        <f>E30*120000000</f>
        <v>983999999.99999988</v>
      </c>
      <c r="H30" s="31">
        <f t="shared" si="5"/>
        <v>14759999.999999998</v>
      </c>
      <c r="I30" s="31">
        <f>+H30*8%</f>
        <v>1180799.9999999998</v>
      </c>
      <c r="J30" s="2" t="s">
        <v>38</v>
      </c>
      <c r="K30" s="3" t="s">
        <v>162</v>
      </c>
    </row>
    <row r="31" spans="1:11" ht="82.5" x14ac:dyDescent="0.3">
      <c r="A31" s="3" t="s">
        <v>164</v>
      </c>
      <c r="B31" s="52" t="s">
        <v>209</v>
      </c>
      <c r="C31" s="2" t="s">
        <v>175</v>
      </c>
      <c r="D31" s="30" t="s">
        <v>162</v>
      </c>
      <c r="E31" s="30">
        <v>9.5</v>
      </c>
      <c r="F31" s="25" t="s">
        <v>22</v>
      </c>
      <c r="G31" s="31">
        <f>E31*120000000</f>
        <v>1140000000</v>
      </c>
      <c r="H31" s="31">
        <f t="shared" si="5"/>
        <v>17100000</v>
      </c>
      <c r="I31" s="31">
        <f>+H31*7%</f>
        <v>1197000</v>
      </c>
      <c r="J31" s="2" t="s">
        <v>38</v>
      </c>
      <c r="K31" s="3" t="s">
        <v>162</v>
      </c>
    </row>
    <row r="32" spans="1:11" ht="181.5" x14ac:dyDescent="0.3">
      <c r="A32" s="3" t="s">
        <v>164</v>
      </c>
      <c r="B32" s="52" t="s">
        <v>222</v>
      </c>
      <c r="C32" s="2" t="s">
        <v>176</v>
      </c>
      <c r="D32" s="29" t="s">
        <v>162</v>
      </c>
      <c r="E32" s="30">
        <v>6.93</v>
      </c>
      <c r="F32" s="25" t="s">
        <v>23</v>
      </c>
      <c r="G32" s="31">
        <f t="shared" ref="G32:G61" si="7">E32*110000000</f>
        <v>762300000</v>
      </c>
      <c r="H32" s="31">
        <f t="shared" si="5"/>
        <v>11434500</v>
      </c>
      <c r="I32" s="31">
        <f>+H32*8%</f>
        <v>914760</v>
      </c>
      <c r="J32" s="2" t="s">
        <v>39</v>
      </c>
      <c r="K32" s="3" t="s">
        <v>162</v>
      </c>
    </row>
    <row r="33" spans="1:11" x14ac:dyDescent="0.3">
      <c r="B33" s="3"/>
      <c r="F33" s="3"/>
      <c r="J33" s="8"/>
    </row>
    <row r="34" spans="1:11" ht="49.5" x14ac:dyDescent="0.3">
      <c r="B34" s="46">
        <v>2</v>
      </c>
      <c r="C34" s="57" t="s">
        <v>4</v>
      </c>
      <c r="D34" s="27"/>
      <c r="E34" s="27">
        <f>SUM(E35:E70)</f>
        <v>307.35999999999996</v>
      </c>
      <c r="F34" s="27"/>
      <c r="G34" s="26">
        <f>SUM(G35:G70)</f>
        <v>32984600000</v>
      </c>
      <c r="H34" s="26">
        <f>SUM(H35:H70)</f>
        <v>494769000</v>
      </c>
      <c r="I34" s="26">
        <f>SUM(I35:I70)</f>
        <v>32611905</v>
      </c>
      <c r="J34" s="2"/>
      <c r="K34" s="3" t="s">
        <v>162</v>
      </c>
    </row>
    <row r="35" spans="1:11" ht="115.5" x14ac:dyDescent="0.3">
      <c r="A35" s="3" t="s">
        <v>164</v>
      </c>
      <c r="B35" s="46">
        <v>2.1</v>
      </c>
      <c r="C35" s="2" t="s">
        <v>84</v>
      </c>
      <c r="D35" s="36" t="s">
        <v>162</v>
      </c>
      <c r="E35" s="36">
        <v>4.2</v>
      </c>
      <c r="F35" s="25" t="s">
        <v>20</v>
      </c>
      <c r="G35" s="31">
        <f t="shared" si="7"/>
        <v>462000000</v>
      </c>
      <c r="H35" s="31">
        <f t="shared" ref="H35:H70" si="8">G35*0.015</f>
        <v>6930000</v>
      </c>
      <c r="I35" s="31">
        <f>+H35*9%</f>
        <v>623700</v>
      </c>
      <c r="J35" s="2" t="s">
        <v>41</v>
      </c>
      <c r="K35" s="3" t="s">
        <v>162</v>
      </c>
    </row>
    <row r="36" spans="1:11" ht="115.5" x14ac:dyDescent="0.3">
      <c r="A36" s="3" t="s">
        <v>164</v>
      </c>
      <c r="B36" s="46">
        <v>2.2000000000000002</v>
      </c>
      <c r="C36" s="2" t="s">
        <v>108</v>
      </c>
      <c r="D36" s="28" t="s">
        <v>155</v>
      </c>
      <c r="E36" s="36">
        <v>1.4</v>
      </c>
      <c r="F36" s="25" t="s">
        <v>20</v>
      </c>
      <c r="G36" s="31">
        <f t="shared" si="7"/>
        <v>154000000</v>
      </c>
      <c r="H36" s="31">
        <f t="shared" si="8"/>
        <v>2310000</v>
      </c>
      <c r="I36" s="31">
        <f t="shared" ref="I36:I67" si="9">+H36*10%</f>
        <v>231000</v>
      </c>
      <c r="J36" s="2" t="s">
        <v>41</v>
      </c>
      <c r="K36" s="3" t="s">
        <v>162</v>
      </c>
    </row>
    <row r="37" spans="1:11" ht="115.5" x14ac:dyDescent="0.3">
      <c r="A37" s="3" t="s">
        <v>164</v>
      </c>
      <c r="B37" s="46">
        <v>2.2999999999999998</v>
      </c>
      <c r="C37" s="2" t="s">
        <v>85</v>
      </c>
      <c r="D37" s="28" t="s">
        <v>155</v>
      </c>
      <c r="E37" s="36">
        <v>6</v>
      </c>
      <c r="F37" s="25" t="s">
        <v>20</v>
      </c>
      <c r="G37" s="31">
        <f t="shared" si="7"/>
        <v>660000000</v>
      </c>
      <c r="H37" s="31">
        <f t="shared" si="8"/>
        <v>9900000</v>
      </c>
      <c r="I37" s="31">
        <f>+H37*9%</f>
        <v>891000</v>
      </c>
      <c r="J37" s="2" t="s">
        <v>41</v>
      </c>
      <c r="K37" s="3" t="s">
        <v>162</v>
      </c>
    </row>
    <row r="38" spans="1:11" ht="132" x14ac:dyDescent="0.3">
      <c r="A38" s="3" t="s">
        <v>164</v>
      </c>
      <c r="B38" s="46">
        <v>2.4</v>
      </c>
      <c r="C38" s="2" t="s">
        <v>76</v>
      </c>
      <c r="D38" s="28" t="s">
        <v>155</v>
      </c>
      <c r="E38" s="33">
        <v>1.3</v>
      </c>
      <c r="F38" s="25" t="s">
        <v>18</v>
      </c>
      <c r="G38" s="31">
        <f t="shared" si="7"/>
        <v>143000000</v>
      </c>
      <c r="H38" s="31">
        <f t="shared" si="8"/>
        <v>2145000</v>
      </c>
      <c r="I38" s="31">
        <f t="shared" si="9"/>
        <v>214500</v>
      </c>
      <c r="J38" s="2" t="s">
        <v>43</v>
      </c>
      <c r="K38" s="3" t="s">
        <v>162</v>
      </c>
    </row>
    <row r="39" spans="1:11" ht="132" x14ac:dyDescent="0.3">
      <c r="A39" s="3" t="s">
        <v>164</v>
      </c>
      <c r="B39" s="46">
        <v>2.5</v>
      </c>
      <c r="C39" s="2" t="s">
        <v>86</v>
      </c>
      <c r="D39" s="36" t="s">
        <v>162</v>
      </c>
      <c r="E39" s="36">
        <v>15.6</v>
      </c>
      <c r="F39" s="25" t="s">
        <v>20</v>
      </c>
      <c r="G39" s="31">
        <f t="shared" si="7"/>
        <v>1716000000</v>
      </c>
      <c r="H39" s="31">
        <f t="shared" si="8"/>
        <v>25740000</v>
      </c>
      <c r="I39" s="31">
        <f>+H39*6%</f>
        <v>1544400</v>
      </c>
      <c r="J39" s="2" t="s">
        <v>42</v>
      </c>
      <c r="K39" s="3" t="s">
        <v>162</v>
      </c>
    </row>
    <row r="40" spans="1:11" ht="132" x14ac:dyDescent="0.3">
      <c r="A40" s="3" t="s">
        <v>164</v>
      </c>
      <c r="B40" s="46">
        <v>2.6</v>
      </c>
      <c r="C40" s="2" t="s">
        <v>149</v>
      </c>
      <c r="D40" s="36" t="s">
        <v>162</v>
      </c>
      <c r="E40" s="36">
        <v>10</v>
      </c>
      <c r="F40" s="25" t="s">
        <v>20</v>
      </c>
      <c r="G40" s="31">
        <f t="shared" si="7"/>
        <v>1100000000</v>
      </c>
      <c r="H40" s="31">
        <f t="shared" si="8"/>
        <v>16500000</v>
      </c>
      <c r="I40" s="31">
        <f>+H40*7%</f>
        <v>1155000</v>
      </c>
      <c r="J40" s="2" t="s">
        <v>42</v>
      </c>
      <c r="K40" s="3" t="s">
        <v>162</v>
      </c>
    </row>
    <row r="41" spans="1:11" ht="132" x14ac:dyDescent="0.3">
      <c r="A41" s="3" t="s">
        <v>164</v>
      </c>
      <c r="B41" s="46">
        <v>2.7</v>
      </c>
      <c r="C41" s="2" t="s">
        <v>13</v>
      </c>
      <c r="D41" s="12" t="s">
        <v>162</v>
      </c>
      <c r="E41" s="12">
        <v>10.8</v>
      </c>
      <c r="F41" s="25" t="s">
        <v>20</v>
      </c>
      <c r="G41" s="31">
        <f>E41*90000000</f>
        <v>972000000.00000012</v>
      </c>
      <c r="H41" s="31">
        <f t="shared" si="8"/>
        <v>14580000.000000002</v>
      </c>
      <c r="I41" s="31">
        <f>+H41*8%</f>
        <v>1166400.0000000002</v>
      </c>
      <c r="J41" s="2" t="s">
        <v>42</v>
      </c>
      <c r="K41" s="3" t="s">
        <v>162</v>
      </c>
    </row>
    <row r="42" spans="1:11" ht="132" x14ac:dyDescent="0.3">
      <c r="A42" s="3" t="s">
        <v>164</v>
      </c>
      <c r="B42" s="46">
        <v>2.8</v>
      </c>
      <c r="C42" s="2" t="s">
        <v>87</v>
      </c>
      <c r="D42" s="28" t="s">
        <v>155</v>
      </c>
      <c r="E42" s="33">
        <v>8.6999999999999993</v>
      </c>
      <c r="F42" s="25" t="s">
        <v>22</v>
      </c>
      <c r="G42" s="31">
        <f t="shared" si="7"/>
        <v>956999999.99999988</v>
      </c>
      <c r="H42" s="31">
        <f t="shared" si="8"/>
        <v>14354999.999999998</v>
      </c>
      <c r="I42" s="31">
        <f>+H42*8%</f>
        <v>1148399.9999999998</v>
      </c>
      <c r="J42" s="2" t="s">
        <v>42</v>
      </c>
      <c r="K42" s="3" t="s">
        <v>162</v>
      </c>
    </row>
    <row r="43" spans="1:11" ht="132" x14ac:dyDescent="0.3">
      <c r="A43" s="3" t="s">
        <v>164</v>
      </c>
      <c r="B43" s="46">
        <v>2.9</v>
      </c>
      <c r="C43" s="2" t="s">
        <v>88</v>
      </c>
      <c r="D43" s="28" t="s">
        <v>155</v>
      </c>
      <c r="E43" s="36">
        <v>1.7</v>
      </c>
      <c r="F43" s="25" t="s">
        <v>22</v>
      </c>
      <c r="G43" s="31">
        <f t="shared" si="7"/>
        <v>187000000</v>
      </c>
      <c r="H43" s="31">
        <f t="shared" si="8"/>
        <v>2805000</v>
      </c>
      <c r="I43" s="31">
        <f t="shared" si="9"/>
        <v>280500</v>
      </c>
      <c r="J43" s="2" t="s">
        <v>43</v>
      </c>
      <c r="K43" s="3" t="s">
        <v>162</v>
      </c>
    </row>
    <row r="44" spans="1:11" ht="198" x14ac:dyDescent="0.3">
      <c r="A44" s="3" t="s">
        <v>164</v>
      </c>
      <c r="B44" s="46" t="s">
        <v>226</v>
      </c>
      <c r="C44" s="2" t="s">
        <v>80</v>
      </c>
      <c r="D44" s="36" t="s">
        <v>162</v>
      </c>
      <c r="E44" s="36">
        <v>9.5</v>
      </c>
      <c r="F44" s="25" t="s">
        <v>22</v>
      </c>
      <c r="G44" s="31">
        <f t="shared" si="7"/>
        <v>1045000000</v>
      </c>
      <c r="H44" s="31">
        <f t="shared" si="8"/>
        <v>15675000</v>
      </c>
      <c r="I44" s="31">
        <f>+H44*7%</f>
        <v>1097250</v>
      </c>
      <c r="J44" s="2" t="s">
        <v>44</v>
      </c>
      <c r="K44" s="3" t="s">
        <v>162</v>
      </c>
    </row>
    <row r="45" spans="1:11" ht="198" x14ac:dyDescent="0.3">
      <c r="A45" s="3" t="s">
        <v>164</v>
      </c>
      <c r="B45" s="46">
        <v>2.11</v>
      </c>
      <c r="C45" s="2" t="s">
        <v>79</v>
      </c>
      <c r="D45" s="36" t="s">
        <v>162</v>
      </c>
      <c r="E45" s="36">
        <v>5</v>
      </c>
      <c r="F45" s="25" t="s">
        <v>22</v>
      </c>
      <c r="G45" s="31">
        <f t="shared" si="7"/>
        <v>550000000</v>
      </c>
      <c r="H45" s="31">
        <f t="shared" si="8"/>
        <v>8250000</v>
      </c>
      <c r="I45" s="31">
        <f>+H45*9%</f>
        <v>742500</v>
      </c>
      <c r="J45" s="2" t="s">
        <v>45</v>
      </c>
      <c r="K45" s="3" t="s">
        <v>162</v>
      </c>
    </row>
    <row r="46" spans="1:11" ht="132" x14ac:dyDescent="0.3">
      <c r="A46" s="3" t="s">
        <v>164</v>
      </c>
      <c r="B46" s="46">
        <v>2.12</v>
      </c>
      <c r="C46" s="2" t="s">
        <v>89</v>
      </c>
      <c r="D46" s="36" t="s">
        <v>162</v>
      </c>
      <c r="E46" s="36">
        <v>10</v>
      </c>
      <c r="F46" s="25" t="s">
        <v>28</v>
      </c>
      <c r="G46" s="31">
        <f t="shared" si="7"/>
        <v>1100000000</v>
      </c>
      <c r="H46" s="31">
        <f t="shared" si="8"/>
        <v>16500000</v>
      </c>
      <c r="I46" s="31">
        <f>+H46*7%</f>
        <v>1155000</v>
      </c>
      <c r="J46" s="2" t="s">
        <v>42</v>
      </c>
      <c r="K46" s="3" t="s">
        <v>162</v>
      </c>
    </row>
    <row r="47" spans="1:11" ht="132" x14ac:dyDescent="0.3">
      <c r="A47" s="3" t="s">
        <v>164</v>
      </c>
      <c r="B47" s="46">
        <v>2.13</v>
      </c>
      <c r="C47" s="2" t="s">
        <v>128</v>
      </c>
      <c r="D47" s="36" t="s">
        <v>162</v>
      </c>
      <c r="E47" s="36">
        <v>4.9000000000000004</v>
      </c>
      <c r="F47" s="25" t="s">
        <v>15</v>
      </c>
      <c r="G47" s="31">
        <f t="shared" si="7"/>
        <v>539000000</v>
      </c>
      <c r="H47" s="31">
        <f t="shared" si="8"/>
        <v>8085000</v>
      </c>
      <c r="I47" s="31">
        <f>+H47*9%</f>
        <v>727650</v>
      </c>
      <c r="J47" s="2" t="s">
        <v>42</v>
      </c>
      <c r="K47" s="3" t="s">
        <v>162</v>
      </c>
    </row>
    <row r="48" spans="1:11" ht="66" x14ac:dyDescent="0.3">
      <c r="A48" s="3" t="s">
        <v>164</v>
      </c>
      <c r="B48" s="46">
        <v>2.14</v>
      </c>
      <c r="C48" s="2" t="s">
        <v>177</v>
      </c>
      <c r="D48" s="29" t="s">
        <v>162</v>
      </c>
      <c r="E48" s="36">
        <v>3.9</v>
      </c>
      <c r="F48" s="25" t="s">
        <v>23</v>
      </c>
      <c r="G48" s="31">
        <f t="shared" si="7"/>
        <v>429000000</v>
      </c>
      <c r="H48" s="31">
        <f t="shared" si="8"/>
        <v>6435000</v>
      </c>
      <c r="I48" s="31">
        <f>+H48*9%</f>
        <v>579150</v>
      </c>
      <c r="J48" s="64" t="s">
        <v>102</v>
      </c>
      <c r="K48" s="3" t="s">
        <v>162</v>
      </c>
    </row>
    <row r="49" spans="1:11" ht="132" x14ac:dyDescent="0.3">
      <c r="A49" s="3" t="s">
        <v>164</v>
      </c>
      <c r="B49" s="46">
        <v>2.15</v>
      </c>
      <c r="C49" s="2" t="s">
        <v>144</v>
      </c>
      <c r="D49" s="36" t="s">
        <v>162</v>
      </c>
      <c r="E49" s="36">
        <v>11</v>
      </c>
      <c r="F49" s="25" t="s">
        <v>23</v>
      </c>
      <c r="G49" s="31">
        <f t="shared" si="7"/>
        <v>1210000000</v>
      </c>
      <c r="H49" s="31">
        <f t="shared" si="8"/>
        <v>18150000</v>
      </c>
      <c r="I49" s="31">
        <f>+H49*7%</f>
        <v>1270500.0000000002</v>
      </c>
      <c r="J49" s="2" t="s">
        <v>43</v>
      </c>
      <c r="K49" s="3" t="s">
        <v>162</v>
      </c>
    </row>
    <row r="50" spans="1:11" ht="132" x14ac:dyDescent="0.3">
      <c r="A50" s="3" t="s">
        <v>164</v>
      </c>
      <c r="B50" s="46">
        <v>2.16</v>
      </c>
      <c r="C50" s="2" t="s">
        <v>178</v>
      </c>
      <c r="D50" s="36" t="s">
        <v>162</v>
      </c>
      <c r="E50" s="36">
        <v>3</v>
      </c>
      <c r="F50" s="25" t="s">
        <v>21</v>
      </c>
      <c r="G50" s="31">
        <f t="shared" si="7"/>
        <v>330000000</v>
      </c>
      <c r="H50" s="31">
        <f t="shared" si="8"/>
        <v>4950000</v>
      </c>
      <c r="I50" s="31">
        <f t="shared" ref="I50" si="10">+H50*10%</f>
        <v>495000</v>
      </c>
      <c r="J50" s="2" t="s">
        <v>43</v>
      </c>
      <c r="K50" s="3" t="s">
        <v>162</v>
      </c>
    </row>
    <row r="51" spans="1:11" ht="99" x14ac:dyDescent="0.3">
      <c r="A51" s="3" t="s">
        <v>164</v>
      </c>
      <c r="B51" s="46">
        <v>2.17</v>
      </c>
      <c r="C51" s="2" t="s">
        <v>179</v>
      </c>
      <c r="D51" s="28" t="s">
        <v>155</v>
      </c>
      <c r="E51" s="36"/>
      <c r="F51" s="25" t="s">
        <v>23</v>
      </c>
      <c r="G51" s="31">
        <v>20000000</v>
      </c>
      <c r="H51" s="31">
        <f t="shared" si="8"/>
        <v>300000</v>
      </c>
      <c r="I51" s="31">
        <f>+H51*12%</f>
        <v>36000</v>
      </c>
      <c r="J51" s="64" t="s">
        <v>102</v>
      </c>
      <c r="K51" s="3" t="s">
        <v>162</v>
      </c>
    </row>
    <row r="52" spans="1:11" ht="82.5" x14ac:dyDescent="0.3">
      <c r="A52" s="3" t="s">
        <v>164</v>
      </c>
      <c r="B52" s="46">
        <v>2.1800000000000002</v>
      </c>
      <c r="C52" s="2" t="s">
        <v>122</v>
      </c>
      <c r="D52" s="28" t="s">
        <v>155</v>
      </c>
      <c r="E52" s="36">
        <v>10</v>
      </c>
      <c r="F52" s="25" t="s">
        <v>15</v>
      </c>
      <c r="G52" s="31">
        <f t="shared" si="7"/>
        <v>1100000000</v>
      </c>
      <c r="H52" s="31">
        <f t="shared" si="8"/>
        <v>16500000</v>
      </c>
      <c r="I52" s="31">
        <f>+H52*7%</f>
        <v>1155000</v>
      </c>
      <c r="J52" s="2" t="s">
        <v>46</v>
      </c>
      <c r="K52" s="3" t="s">
        <v>162</v>
      </c>
    </row>
    <row r="53" spans="1:11" ht="115.5" x14ac:dyDescent="0.3">
      <c r="A53" s="3" t="s">
        <v>164</v>
      </c>
      <c r="B53" s="46">
        <v>2.19</v>
      </c>
      <c r="C53" s="2" t="s">
        <v>180</v>
      </c>
      <c r="D53" s="37" t="s">
        <v>155</v>
      </c>
      <c r="E53" s="36">
        <v>8.1</v>
      </c>
      <c r="F53" s="25" t="s">
        <v>19</v>
      </c>
      <c r="G53" s="31">
        <f>E53*110000000</f>
        <v>891000000</v>
      </c>
      <c r="H53" s="31">
        <f t="shared" si="8"/>
        <v>13365000</v>
      </c>
      <c r="I53" s="31">
        <f>+H53*8%</f>
        <v>1069200</v>
      </c>
      <c r="J53" s="2" t="s">
        <v>64</v>
      </c>
      <c r="K53" s="3" t="s">
        <v>162</v>
      </c>
    </row>
    <row r="54" spans="1:11" ht="132" x14ac:dyDescent="0.3">
      <c r="A54" s="3" t="s">
        <v>164</v>
      </c>
      <c r="B54" s="46">
        <v>2.2000000000000002</v>
      </c>
      <c r="C54" s="2" t="s">
        <v>115</v>
      </c>
      <c r="D54" s="28" t="s">
        <v>155</v>
      </c>
      <c r="E54" s="36">
        <v>36.5</v>
      </c>
      <c r="F54" s="25" t="s">
        <v>23</v>
      </c>
      <c r="G54" s="31">
        <f>E54*110000000</f>
        <v>4015000000</v>
      </c>
      <c r="H54" s="31">
        <f t="shared" si="8"/>
        <v>60225000</v>
      </c>
      <c r="I54" s="31">
        <f>+H54*3.5%</f>
        <v>2107875</v>
      </c>
      <c r="J54" s="2" t="s">
        <v>43</v>
      </c>
      <c r="K54" s="3" t="s">
        <v>162</v>
      </c>
    </row>
    <row r="55" spans="1:11" ht="66" x14ac:dyDescent="0.3">
      <c r="A55" s="3" t="s">
        <v>164</v>
      </c>
      <c r="B55" s="46">
        <v>2.21</v>
      </c>
      <c r="C55" s="2" t="s">
        <v>72</v>
      </c>
      <c r="D55" s="29" t="s">
        <v>162</v>
      </c>
      <c r="E55" s="33">
        <v>2.5</v>
      </c>
      <c r="F55" s="25" t="s">
        <v>21</v>
      </c>
      <c r="G55" s="31">
        <f t="shared" si="7"/>
        <v>275000000</v>
      </c>
      <c r="H55" s="31">
        <f t="shared" si="8"/>
        <v>4125000</v>
      </c>
      <c r="I55" s="31">
        <f t="shared" si="9"/>
        <v>412500</v>
      </c>
      <c r="J55" s="2"/>
      <c r="K55" s="3" t="s">
        <v>162</v>
      </c>
    </row>
    <row r="56" spans="1:11" ht="132" x14ac:dyDescent="0.3">
      <c r="A56" s="3" t="s">
        <v>164</v>
      </c>
      <c r="B56" s="46">
        <v>2.2200000000000002</v>
      </c>
      <c r="C56" s="2" t="s">
        <v>90</v>
      </c>
      <c r="D56" s="36" t="s">
        <v>162</v>
      </c>
      <c r="E56" s="36">
        <v>8.1</v>
      </c>
      <c r="F56" s="25" t="s">
        <v>16</v>
      </c>
      <c r="G56" s="31">
        <f t="shared" si="7"/>
        <v>891000000</v>
      </c>
      <c r="H56" s="31">
        <f t="shared" si="8"/>
        <v>13365000</v>
      </c>
      <c r="I56" s="31">
        <f>+H56*8%</f>
        <v>1069200</v>
      </c>
      <c r="J56" s="2" t="s">
        <v>43</v>
      </c>
      <c r="K56" s="3" t="s">
        <v>162</v>
      </c>
    </row>
    <row r="57" spans="1:11" ht="99" x14ac:dyDescent="0.3">
      <c r="A57" s="3" t="s">
        <v>164</v>
      </c>
      <c r="B57" s="46">
        <v>2.23</v>
      </c>
      <c r="C57" s="2" t="s">
        <v>99</v>
      </c>
      <c r="D57" s="28" t="s">
        <v>155</v>
      </c>
      <c r="E57" s="30">
        <v>11.31</v>
      </c>
      <c r="F57" s="25" t="s">
        <v>17</v>
      </c>
      <c r="G57" s="31">
        <f t="shared" si="7"/>
        <v>1244100000</v>
      </c>
      <c r="H57" s="31">
        <f t="shared" si="8"/>
        <v>18661500</v>
      </c>
      <c r="I57" s="31">
        <f>+H57*7%</f>
        <v>1306305.0000000002</v>
      </c>
      <c r="J57" s="2" t="s">
        <v>100</v>
      </c>
      <c r="K57" s="3" t="s">
        <v>162</v>
      </c>
    </row>
    <row r="58" spans="1:11" ht="82.5" x14ac:dyDescent="0.3">
      <c r="A58" s="3" t="s">
        <v>164</v>
      </c>
      <c r="B58" s="46">
        <v>2.2400000000000002</v>
      </c>
      <c r="C58" s="2" t="s">
        <v>91</v>
      </c>
      <c r="D58" s="28" t="s">
        <v>155</v>
      </c>
      <c r="E58" s="33">
        <v>17.5</v>
      </c>
      <c r="F58" s="25" t="s">
        <v>17</v>
      </c>
      <c r="G58" s="31">
        <f t="shared" si="7"/>
        <v>1925000000</v>
      </c>
      <c r="H58" s="31">
        <f t="shared" si="8"/>
        <v>28875000</v>
      </c>
      <c r="I58" s="38">
        <f>+H58*6%</f>
        <v>1732500</v>
      </c>
      <c r="J58" s="2" t="s">
        <v>40</v>
      </c>
      <c r="K58" s="3" t="s">
        <v>162</v>
      </c>
    </row>
    <row r="59" spans="1:11" ht="82.5" x14ac:dyDescent="0.3">
      <c r="A59" s="3" t="s">
        <v>164</v>
      </c>
      <c r="B59" s="46">
        <v>2.25</v>
      </c>
      <c r="C59" s="9" t="s">
        <v>156</v>
      </c>
      <c r="D59" s="28" t="s">
        <v>155</v>
      </c>
      <c r="E59" s="33">
        <v>13</v>
      </c>
      <c r="F59" s="25" t="s">
        <v>17</v>
      </c>
      <c r="G59" s="31">
        <f t="shared" si="7"/>
        <v>1430000000</v>
      </c>
      <c r="H59" s="31">
        <f>G59*0.015</f>
        <v>21450000</v>
      </c>
      <c r="I59" s="31">
        <f>+H59*6%</f>
        <v>1287000</v>
      </c>
      <c r="J59" s="2" t="s">
        <v>40</v>
      </c>
      <c r="K59" s="3" t="s">
        <v>165</v>
      </c>
    </row>
    <row r="60" spans="1:11" ht="82.5" x14ac:dyDescent="0.3">
      <c r="A60" s="3" t="s">
        <v>164</v>
      </c>
      <c r="B60" s="46">
        <v>2.2599999999999998</v>
      </c>
      <c r="C60" s="2" t="s">
        <v>134</v>
      </c>
      <c r="D60" s="36" t="s">
        <v>162</v>
      </c>
      <c r="E60" s="36">
        <v>8.6</v>
      </c>
      <c r="F60" s="25" t="s">
        <v>17</v>
      </c>
      <c r="G60" s="31">
        <f t="shared" si="7"/>
        <v>946000000</v>
      </c>
      <c r="H60" s="31">
        <f t="shared" si="8"/>
        <v>14190000</v>
      </c>
      <c r="I60" s="31">
        <f>+H60*8%</f>
        <v>1135200</v>
      </c>
      <c r="J60" s="2" t="s">
        <v>47</v>
      </c>
      <c r="K60" s="3" t="s">
        <v>162</v>
      </c>
    </row>
    <row r="61" spans="1:11" ht="132" x14ac:dyDescent="0.3">
      <c r="A61" s="3" t="s">
        <v>164</v>
      </c>
      <c r="B61" s="46">
        <v>2.27</v>
      </c>
      <c r="C61" s="2" t="s">
        <v>92</v>
      </c>
      <c r="D61" s="36" t="s">
        <v>162</v>
      </c>
      <c r="E61" s="36">
        <v>10.5</v>
      </c>
      <c r="F61" s="25" t="s">
        <v>20</v>
      </c>
      <c r="G61" s="31">
        <f t="shared" si="7"/>
        <v>1155000000</v>
      </c>
      <c r="H61" s="31">
        <f t="shared" si="8"/>
        <v>17325000</v>
      </c>
      <c r="I61" s="31">
        <f>+H61*7%</f>
        <v>1212750</v>
      </c>
      <c r="J61" s="2" t="s">
        <v>43</v>
      </c>
      <c r="K61" s="3" t="s">
        <v>162</v>
      </c>
    </row>
    <row r="62" spans="1:11" ht="82.5" x14ac:dyDescent="0.3">
      <c r="A62" s="3" t="s">
        <v>164</v>
      </c>
      <c r="B62" s="46">
        <v>2.2799999999999998</v>
      </c>
      <c r="C62" s="2" t="s">
        <v>145</v>
      </c>
      <c r="D62" s="28" t="s">
        <v>155</v>
      </c>
      <c r="E62" s="36"/>
      <c r="F62" s="25" t="s">
        <v>23</v>
      </c>
      <c r="G62" s="31">
        <v>15000000</v>
      </c>
      <c r="H62" s="31">
        <f t="shared" si="8"/>
        <v>225000</v>
      </c>
      <c r="I62" s="31">
        <f>+H62*12%</f>
        <v>27000</v>
      </c>
      <c r="J62" s="64" t="s">
        <v>102</v>
      </c>
      <c r="K62" s="3" t="s">
        <v>162</v>
      </c>
    </row>
    <row r="63" spans="1:11" ht="82.5" x14ac:dyDescent="0.3">
      <c r="A63" s="3" t="s">
        <v>164</v>
      </c>
      <c r="B63" s="46">
        <v>2.29</v>
      </c>
      <c r="C63" s="1" t="s">
        <v>77</v>
      </c>
      <c r="D63" s="28" t="s">
        <v>155</v>
      </c>
      <c r="E63" s="33"/>
      <c r="F63" s="25" t="s">
        <v>23</v>
      </c>
      <c r="G63" s="31">
        <v>22000000</v>
      </c>
      <c r="H63" s="31">
        <f t="shared" si="8"/>
        <v>330000</v>
      </c>
      <c r="I63" s="31">
        <f>+H63*12%</f>
        <v>39600</v>
      </c>
      <c r="J63" s="1" t="s">
        <v>36</v>
      </c>
      <c r="K63" s="3" t="s">
        <v>162</v>
      </c>
    </row>
    <row r="64" spans="1:11" ht="82.5" x14ac:dyDescent="0.3">
      <c r="A64" s="3" t="s">
        <v>164</v>
      </c>
      <c r="B64" s="46">
        <v>2.2999999999999998</v>
      </c>
      <c r="C64" s="1" t="s">
        <v>78</v>
      </c>
      <c r="D64" s="28" t="s">
        <v>155</v>
      </c>
      <c r="E64" s="33"/>
      <c r="F64" s="25" t="s">
        <v>15</v>
      </c>
      <c r="G64" s="31">
        <v>8000000</v>
      </c>
      <c r="H64" s="31">
        <f t="shared" si="8"/>
        <v>120000</v>
      </c>
      <c r="I64" s="31">
        <f>+H64*12%</f>
        <v>14400</v>
      </c>
      <c r="J64" s="1" t="s">
        <v>36</v>
      </c>
      <c r="K64" s="3" t="s">
        <v>162</v>
      </c>
    </row>
    <row r="65" spans="1:11" ht="148.5" x14ac:dyDescent="0.3">
      <c r="A65" s="3" t="s">
        <v>164</v>
      </c>
      <c r="B65" s="46">
        <v>2.31</v>
      </c>
      <c r="C65" s="2" t="s">
        <v>137</v>
      </c>
      <c r="D65" s="33" t="s">
        <v>162</v>
      </c>
      <c r="E65" s="33">
        <v>27.5</v>
      </c>
      <c r="F65" s="25" t="s">
        <v>19</v>
      </c>
      <c r="G65" s="31">
        <f>E65*90000000</f>
        <v>2475000000</v>
      </c>
      <c r="H65" s="31">
        <f t="shared" si="8"/>
        <v>37125000</v>
      </c>
      <c r="I65" s="31">
        <f>+H65*5%</f>
        <v>1856250</v>
      </c>
      <c r="J65" s="2" t="s">
        <v>49</v>
      </c>
      <c r="K65" s="3" t="s">
        <v>162</v>
      </c>
    </row>
    <row r="66" spans="1:11" ht="231" x14ac:dyDescent="0.3">
      <c r="A66" s="3" t="s">
        <v>164</v>
      </c>
      <c r="B66" s="46">
        <v>2.3199999999999998</v>
      </c>
      <c r="C66" s="2" t="s">
        <v>114</v>
      </c>
      <c r="D66" s="28" t="s">
        <v>155</v>
      </c>
      <c r="E66" s="36">
        <v>29.15</v>
      </c>
      <c r="F66" s="25" t="s">
        <v>18</v>
      </c>
      <c r="G66" s="31">
        <f t="shared" ref="G66:G68" si="11">E66*110000000</f>
        <v>3206500000</v>
      </c>
      <c r="H66" s="31">
        <f t="shared" si="8"/>
        <v>48097500</v>
      </c>
      <c r="I66" s="31">
        <f>+H66*5%</f>
        <v>2404875</v>
      </c>
      <c r="J66" s="2" t="s">
        <v>50</v>
      </c>
      <c r="K66" s="3" t="s">
        <v>162</v>
      </c>
    </row>
    <row r="67" spans="1:11" ht="115.5" x14ac:dyDescent="0.3">
      <c r="A67" s="3" t="s">
        <v>164</v>
      </c>
      <c r="B67" s="46">
        <v>2.33</v>
      </c>
      <c r="C67" s="2" t="s">
        <v>121</v>
      </c>
      <c r="D67" s="28" t="s">
        <v>155</v>
      </c>
      <c r="E67" s="36">
        <v>2.5</v>
      </c>
      <c r="F67" s="25" t="s">
        <v>60</v>
      </c>
      <c r="G67" s="31">
        <f t="shared" si="11"/>
        <v>275000000</v>
      </c>
      <c r="H67" s="31">
        <f t="shared" si="8"/>
        <v>4125000</v>
      </c>
      <c r="I67" s="31">
        <f t="shared" si="9"/>
        <v>412500</v>
      </c>
      <c r="J67" s="2" t="s">
        <v>61</v>
      </c>
      <c r="K67" s="3" t="s">
        <v>162</v>
      </c>
    </row>
    <row r="68" spans="1:11" ht="148.5" x14ac:dyDescent="0.3">
      <c r="A68" s="3" t="s">
        <v>164</v>
      </c>
      <c r="B68" s="48">
        <v>2.34</v>
      </c>
      <c r="C68" s="2" t="s">
        <v>93</v>
      </c>
      <c r="D68" s="28" t="s">
        <v>155</v>
      </c>
      <c r="E68" s="36">
        <v>8.9</v>
      </c>
      <c r="F68" s="25" t="s">
        <v>15</v>
      </c>
      <c r="G68" s="31">
        <f t="shared" si="11"/>
        <v>979000000</v>
      </c>
      <c r="H68" s="31">
        <f t="shared" si="8"/>
        <v>14685000</v>
      </c>
      <c r="I68" s="31">
        <f>+H68*8%</f>
        <v>1174800</v>
      </c>
      <c r="J68" s="2" t="s">
        <v>51</v>
      </c>
      <c r="K68" s="3" t="s">
        <v>162</v>
      </c>
    </row>
    <row r="69" spans="1:11" ht="132" x14ac:dyDescent="0.3">
      <c r="A69" s="3" t="s">
        <v>164</v>
      </c>
      <c r="B69" s="48">
        <v>2.35</v>
      </c>
      <c r="C69" s="2" t="s">
        <v>107</v>
      </c>
      <c r="D69" s="29" t="s">
        <v>162</v>
      </c>
      <c r="E69" s="39">
        <v>3.5</v>
      </c>
      <c r="F69" s="25" t="s">
        <v>23</v>
      </c>
      <c r="G69" s="31">
        <f>E69*90000000</f>
        <v>315000000</v>
      </c>
      <c r="H69" s="31">
        <f t="shared" si="8"/>
        <v>4725000</v>
      </c>
      <c r="I69" s="31">
        <f>+H69*10%</f>
        <v>472500</v>
      </c>
      <c r="J69" s="2" t="s">
        <v>43</v>
      </c>
      <c r="K69" s="3" t="s">
        <v>162</v>
      </c>
    </row>
    <row r="70" spans="1:11" ht="132" x14ac:dyDescent="0.3">
      <c r="A70" s="3" t="s">
        <v>164</v>
      </c>
      <c r="B70" s="48">
        <v>2.36</v>
      </c>
      <c r="C70" s="2" t="s">
        <v>181</v>
      </c>
      <c r="D70" s="29" t="s">
        <v>162</v>
      </c>
      <c r="E70" s="39">
        <v>2.7</v>
      </c>
      <c r="F70" s="25" t="s">
        <v>15</v>
      </c>
      <c r="G70" s="31">
        <f>E70*90000000</f>
        <v>243000000.00000003</v>
      </c>
      <c r="H70" s="31">
        <f t="shared" si="8"/>
        <v>3645000.0000000005</v>
      </c>
      <c r="I70" s="31">
        <f>+H70*10%</f>
        <v>364500.00000000006</v>
      </c>
      <c r="J70" s="2" t="s">
        <v>43</v>
      </c>
      <c r="K70" s="3" t="s">
        <v>162</v>
      </c>
    </row>
    <row r="71" spans="1:11" x14ac:dyDescent="0.3">
      <c r="G71" s="13"/>
      <c r="H71" s="13"/>
      <c r="I71" s="13"/>
      <c r="K71" s="3" t="s">
        <v>162</v>
      </c>
    </row>
    <row r="72" spans="1:11" ht="49.5" x14ac:dyDescent="0.3">
      <c r="B72" s="46">
        <v>3</v>
      </c>
      <c r="C72" s="7" t="s">
        <v>6</v>
      </c>
      <c r="D72" s="27"/>
      <c r="E72" s="27">
        <f>SUM(E73:E111)</f>
        <v>130.27099999999999</v>
      </c>
      <c r="F72" s="25"/>
      <c r="G72" s="26">
        <f>SUM(G73:G111)</f>
        <v>15201100000</v>
      </c>
      <c r="H72" s="26">
        <f>SUM(H73:H111)</f>
        <v>228016500</v>
      </c>
      <c r="I72" s="26">
        <f>SUM(I73:I111)</f>
        <v>19980360</v>
      </c>
      <c r="J72" s="2"/>
      <c r="K72" s="3" t="s">
        <v>162</v>
      </c>
    </row>
    <row r="73" spans="1:11" ht="66" x14ac:dyDescent="0.3">
      <c r="A73" s="3" t="s">
        <v>164</v>
      </c>
      <c r="B73" s="46">
        <v>3.1</v>
      </c>
      <c r="C73" s="1" t="s">
        <v>94</v>
      </c>
      <c r="D73" s="33" t="s">
        <v>162</v>
      </c>
      <c r="E73" s="33">
        <v>3.6760000000000002</v>
      </c>
      <c r="F73" s="25" t="s">
        <v>20</v>
      </c>
      <c r="G73" s="31">
        <f t="shared" ref="G73:G93" si="12">E73*100000000</f>
        <v>367600000</v>
      </c>
      <c r="H73" s="31">
        <f t="shared" ref="H73:H111" si="13">G73*0.015</f>
        <v>5514000</v>
      </c>
      <c r="I73" s="31">
        <f>+H73*9%</f>
        <v>496260</v>
      </c>
      <c r="J73" s="1" t="s">
        <v>36</v>
      </c>
      <c r="K73" s="3" t="s">
        <v>162</v>
      </c>
    </row>
    <row r="74" spans="1:11" ht="66" x14ac:dyDescent="0.3">
      <c r="A74" s="3" t="s">
        <v>164</v>
      </c>
      <c r="B74" s="46">
        <v>3.2</v>
      </c>
      <c r="C74" s="1" t="s">
        <v>66</v>
      </c>
      <c r="D74" s="36" t="s">
        <v>162</v>
      </c>
      <c r="E74" s="36">
        <v>4</v>
      </c>
      <c r="F74" s="25" t="s">
        <v>15</v>
      </c>
      <c r="G74" s="31">
        <f t="shared" si="12"/>
        <v>400000000</v>
      </c>
      <c r="H74" s="31">
        <f t="shared" si="13"/>
        <v>6000000</v>
      </c>
      <c r="I74" s="31">
        <f>+H74*9%</f>
        <v>540000</v>
      </c>
      <c r="J74" s="1"/>
      <c r="K74" s="3" t="s">
        <v>162</v>
      </c>
    </row>
    <row r="75" spans="1:11" ht="82.5" x14ac:dyDescent="0.3">
      <c r="A75" s="3" t="s">
        <v>164</v>
      </c>
      <c r="B75" s="46">
        <v>3.3</v>
      </c>
      <c r="C75" s="2" t="s">
        <v>150</v>
      </c>
      <c r="D75" s="33" t="s">
        <v>162</v>
      </c>
      <c r="E75" s="33">
        <v>8.6999999999999993</v>
      </c>
      <c r="F75" s="25" t="s">
        <v>16</v>
      </c>
      <c r="G75" s="31">
        <f>E75*90000000</f>
        <v>782999999.99999988</v>
      </c>
      <c r="H75" s="31">
        <f t="shared" si="13"/>
        <v>11744999.999999998</v>
      </c>
      <c r="I75" s="31">
        <f>+H75*8%</f>
        <v>939599.99999999988</v>
      </c>
      <c r="J75" s="2" t="s">
        <v>52</v>
      </c>
      <c r="K75" s="3" t="s">
        <v>162</v>
      </c>
    </row>
    <row r="76" spans="1:11" ht="66" x14ac:dyDescent="0.3">
      <c r="A76" s="3" t="s">
        <v>164</v>
      </c>
      <c r="B76" s="46">
        <v>3.4</v>
      </c>
      <c r="C76" s="2" t="s">
        <v>81</v>
      </c>
      <c r="D76" s="33" t="s">
        <v>162</v>
      </c>
      <c r="E76" s="33">
        <v>3.7</v>
      </c>
      <c r="F76" s="25" t="s">
        <v>20</v>
      </c>
      <c r="G76" s="31">
        <f t="shared" si="12"/>
        <v>370000000</v>
      </c>
      <c r="H76" s="31">
        <f t="shared" si="13"/>
        <v>5550000</v>
      </c>
      <c r="I76" s="31">
        <f>+H76*9%</f>
        <v>499500</v>
      </c>
      <c r="J76" s="2" t="s">
        <v>53</v>
      </c>
      <c r="K76" s="3" t="s">
        <v>162</v>
      </c>
    </row>
    <row r="77" spans="1:11" ht="132" x14ac:dyDescent="0.3">
      <c r="A77" s="3" t="s">
        <v>164</v>
      </c>
      <c r="B77" s="46">
        <v>3.5</v>
      </c>
      <c r="C77" s="2" t="s">
        <v>82</v>
      </c>
      <c r="D77" s="33" t="s">
        <v>162</v>
      </c>
      <c r="E77" s="33">
        <v>2.1</v>
      </c>
      <c r="F77" s="25" t="s">
        <v>22</v>
      </c>
      <c r="G77" s="31">
        <f t="shared" si="12"/>
        <v>210000000</v>
      </c>
      <c r="H77" s="31">
        <f t="shared" si="13"/>
        <v>3150000</v>
      </c>
      <c r="I77" s="31">
        <f t="shared" ref="I77:I100" si="14">+H77*10%</f>
        <v>315000</v>
      </c>
      <c r="J77" s="2" t="s">
        <v>42</v>
      </c>
      <c r="K77" s="3" t="s">
        <v>162</v>
      </c>
    </row>
    <row r="78" spans="1:11" ht="132" x14ac:dyDescent="0.3">
      <c r="A78" s="3" t="s">
        <v>164</v>
      </c>
      <c r="B78" s="46">
        <v>3.6</v>
      </c>
      <c r="C78" s="2" t="s">
        <v>83</v>
      </c>
      <c r="D78" s="33" t="s">
        <v>162</v>
      </c>
      <c r="E78" s="33">
        <v>4.5</v>
      </c>
      <c r="F78" s="25" t="s">
        <v>22</v>
      </c>
      <c r="G78" s="31">
        <f t="shared" si="12"/>
        <v>450000000</v>
      </c>
      <c r="H78" s="31">
        <f t="shared" si="13"/>
        <v>6750000</v>
      </c>
      <c r="I78" s="31">
        <f>+H78*9%</f>
        <v>607500</v>
      </c>
      <c r="J78" s="2" t="s">
        <v>42</v>
      </c>
      <c r="K78" s="3" t="s">
        <v>162</v>
      </c>
    </row>
    <row r="79" spans="1:11" ht="132" x14ac:dyDescent="0.3">
      <c r="A79" s="3" t="s">
        <v>164</v>
      </c>
      <c r="B79" s="46">
        <v>3.7</v>
      </c>
      <c r="C79" s="2" t="s">
        <v>95</v>
      </c>
      <c r="D79" s="36" t="s">
        <v>162</v>
      </c>
      <c r="E79" s="36">
        <v>2.9</v>
      </c>
      <c r="F79" s="25" t="s">
        <v>22</v>
      </c>
      <c r="G79" s="31">
        <f t="shared" si="12"/>
        <v>290000000</v>
      </c>
      <c r="H79" s="31">
        <f t="shared" si="13"/>
        <v>4350000</v>
      </c>
      <c r="I79" s="31">
        <f t="shared" si="14"/>
        <v>435000</v>
      </c>
      <c r="J79" s="2" t="s">
        <v>42</v>
      </c>
      <c r="K79" s="3" t="s">
        <v>162</v>
      </c>
    </row>
    <row r="80" spans="1:11" ht="132" x14ac:dyDescent="0.3">
      <c r="A80" s="3" t="s">
        <v>164</v>
      </c>
      <c r="B80" s="46">
        <v>3.8</v>
      </c>
      <c r="C80" s="2" t="s">
        <v>140</v>
      </c>
      <c r="D80" s="36" t="s">
        <v>162</v>
      </c>
      <c r="E80" s="36">
        <v>4</v>
      </c>
      <c r="F80" s="25" t="s">
        <v>19</v>
      </c>
      <c r="G80" s="31">
        <f t="shared" si="12"/>
        <v>400000000</v>
      </c>
      <c r="H80" s="31">
        <f t="shared" si="13"/>
        <v>6000000</v>
      </c>
      <c r="I80" s="31">
        <f>+H80*9%</f>
        <v>540000</v>
      </c>
      <c r="J80" s="2" t="s">
        <v>42</v>
      </c>
      <c r="K80" s="3" t="s">
        <v>162</v>
      </c>
    </row>
    <row r="81" spans="1:11" ht="132" x14ac:dyDescent="0.3">
      <c r="A81" s="3" t="s">
        <v>164</v>
      </c>
      <c r="B81" s="46">
        <v>3.9</v>
      </c>
      <c r="C81" s="2" t="s">
        <v>138</v>
      </c>
      <c r="D81" s="36" t="s">
        <v>162</v>
      </c>
      <c r="E81" s="36">
        <v>3.5</v>
      </c>
      <c r="F81" s="25" t="s">
        <v>19</v>
      </c>
      <c r="G81" s="31">
        <f t="shared" si="12"/>
        <v>350000000</v>
      </c>
      <c r="H81" s="31">
        <f t="shared" si="13"/>
        <v>5250000</v>
      </c>
      <c r="I81" s="31">
        <f>+H81*9%</f>
        <v>472500</v>
      </c>
      <c r="J81" s="2" t="s">
        <v>42</v>
      </c>
      <c r="K81" s="3" t="s">
        <v>162</v>
      </c>
    </row>
    <row r="82" spans="1:11" ht="132" x14ac:dyDescent="0.3">
      <c r="A82" s="3" t="s">
        <v>164</v>
      </c>
      <c r="B82" s="46" t="s">
        <v>227</v>
      </c>
      <c r="C82" s="2" t="s">
        <v>141</v>
      </c>
      <c r="D82" s="36" t="s">
        <v>162</v>
      </c>
      <c r="E82" s="36">
        <v>1.6</v>
      </c>
      <c r="F82" s="25" t="s">
        <v>19</v>
      </c>
      <c r="G82" s="31">
        <f t="shared" si="12"/>
        <v>160000000</v>
      </c>
      <c r="H82" s="31">
        <f t="shared" si="13"/>
        <v>2400000</v>
      </c>
      <c r="I82" s="31">
        <f t="shared" si="14"/>
        <v>240000</v>
      </c>
      <c r="J82" s="2" t="s">
        <v>42</v>
      </c>
      <c r="K82" s="3" t="s">
        <v>162</v>
      </c>
    </row>
    <row r="83" spans="1:11" ht="132" x14ac:dyDescent="0.3">
      <c r="A83" s="3" t="s">
        <v>164</v>
      </c>
      <c r="B83" s="46">
        <v>3.11</v>
      </c>
      <c r="C83" s="2" t="s">
        <v>139</v>
      </c>
      <c r="D83" s="36" t="s">
        <v>162</v>
      </c>
      <c r="E83" s="36">
        <v>0.8</v>
      </c>
      <c r="F83" s="25" t="s">
        <v>19</v>
      </c>
      <c r="G83" s="31">
        <f t="shared" si="12"/>
        <v>80000000</v>
      </c>
      <c r="H83" s="31">
        <f t="shared" si="13"/>
        <v>1200000</v>
      </c>
      <c r="I83" s="31">
        <f t="shared" si="14"/>
        <v>120000</v>
      </c>
      <c r="J83" s="2" t="s">
        <v>42</v>
      </c>
      <c r="K83" s="3" t="s">
        <v>162</v>
      </c>
    </row>
    <row r="84" spans="1:11" ht="148.5" x14ac:dyDescent="0.3">
      <c r="A84" s="3" t="s">
        <v>164</v>
      </c>
      <c r="B84" s="46">
        <v>3.12</v>
      </c>
      <c r="C84" s="2" t="s">
        <v>123</v>
      </c>
      <c r="D84" s="36" t="s">
        <v>162</v>
      </c>
      <c r="E84" s="36">
        <v>5.3</v>
      </c>
      <c r="F84" s="25" t="s">
        <v>15</v>
      </c>
      <c r="G84" s="31">
        <f t="shared" si="12"/>
        <v>530000000</v>
      </c>
      <c r="H84" s="31">
        <f t="shared" si="13"/>
        <v>7950000</v>
      </c>
      <c r="I84" s="31">
        <f>+H84*9%</f>
        <v>715500</v>
      </c>
      <c r="J84" s="2" t="s">
        <v>73</v>
      </c>
      <c r="K84" s="3" t="s">
        <v>162</v>
      </c>
    </row>
    <row r="85" spans="1:11" ht="148.5" x14ac:dyDescent="0.3">
      <c r="A85" s="3" t="s">
        <v>164</v>
      </c>
      <c r="B85" s="46">
        <v>3.13</v>
      </c>
      <c r="C85" s="2" t="s">
        <v>67</v>
      </c>
      <c r="D85" s="36" t="s">
        <v>162</v>
      </c>
      <c r="E85" s="36">
        <v>3</v>
      </c>
      <c r="F85" s="25" t="s">
        <v>15</v>
      </c>
      <c r="G85" s="31">
        <f t="shared" si="12"/>
        <v>300000000</v>
      </c>
      <c r="H85" s="31">
        <f t="shared" si="13"/>
        <v>4500000</v>
      </c>
      <c r="I85" s="31">
        <f t="shared" si="14"/>
        <v>450000</v>
      </c>
      <c r="J85" s="2" t="s">
        <v>73</v>
      </c>
      <c r="K85" s="3" t="s">
        <v>162</v>
      </c>
    </row>
    <row r="86" spans="1:11" ht="148.5" x14ac:dyDescent="0.3">
      <c r="A86" s="3" t="s">
        <v>164</v>
      </c>
      <c r="B86" s="46">
        <v>3.14</v>
      </c>
      <c r="C86" s="2" t="s">
        <v>68</v>
      </c>
      <c r="D86" s="36" t="s">
        <v>162</v>
      </c>
      <c r="E86" s="36">
        <v>12.8</v>
      </c>
      <c r="F86" s="25" t="s">
        <v>15</v>
      </c>
      <c r="G86" s="31">
        <f t="shared" si="12"/>
        <v>1280000000</v>
      </c>
      <c r="H86" s="31">
        <f t="shared" si="13"/>
        <v>19200000</v>
      </c>
      <c r="I86" s="31">
        <f>+H86*7%</f>
        <v>1344000.0000000002</v>
      </c>
      <c r="J86" s="2" t="s">
        <v>73</v>
      </c>
      <c r="K86" s="3" t="s">
        <v>162</v>
      </c>
    </row>
    <row r="87" spans="1:11" ht="66" x14ac:dyDescent="0.3">
      <c r="A87" s="3" t="s">
        <v>164</v>
      </c>
      <c r="B87" s="46">
        <v>3.15</v>
      </c>
      <c r="C87" s="2" t="s">
        <v>118</v>
      </c>
      <c r="D87" s="36" t="s">
        <v>162</v>
      </c>
      <c r="E87" s="36">
        <v>3.8</v>
      </c>
      <c r="F87" s="25" t="s">
        <v>17</v>
      </c>
      <c r="G87" s="31">
        <f t="shared" si="12"/>
        <v>380000000</v>
      </c>
      <c r="H87" s="31">
        <f t="shared" si="13"/>
        <v>5700000</v>
      </c>
      <c r="I87" s="31">
        <f>+H87*9%</f>
        <v>513000</v>
      </c>
      <c r="J87" s="2" t="s">
        <v>40</v>
      </c>
      <c r="K87" s="3" t="s">
        <v>162</v>
      </c>
    </row>
    <row r="88" spans="1:11" ht="49.5" x14ac:dyDescent="0.3">
      <c r="A88" s="3" t="s">
        <v>164</v>
      </c>
      <c r="B88" s="46">
        <v>3.16</v>
      </c>
      <c r="C88" s="2" t="s">
        <v>225</v>
      </c>
      <c r="D88" s="28" t="s">
        <v>155</v>
      </c>
      <c r="E88" s="36">
        <v>13.1</v>
      </c>
      <c r="F88" s="25" t="s">
        <v>17</v>
      </c>
      <c r="G88" s="31">
        <f t="shared" si="12"/>
        <v>1310000000</v>
      </c>
      <c r="H88" s="31">
        <f t="shared" si="13"/>
        <v>19650000</v>
      </c>
      <c r="I88" s="31">
        <f>+H88*7%</f>
        <v>1375500.0000000002</v>
      </c>
      <c r="J88" s="2"/>
    </row>
    <row r="89" spans="1:11" ht="49.5" x14ac:dyDescent="0.3">
      <c r="A89" s="3" t="s">
        <v>164</v>
      </c>
      <c r="B89" s="46">
        <v>3.17</v>
      </c>
      <c r="C89" s="2" t="s">
        <v>96</v>
      </c>
      <c r="D89" s="36" t="s">
        <v>162</v>
      </c>
      <c r="E89" s="36">
        <v>1.7</v>
      </c>
      <c r="F89" s="25" t="s">
        <v>23</v>
      </c>
      <c r="G89" s="31">
        <f t="shared" si="12"/>
        <v>170000000</v>
      </c>
      <c r="H89" s="31">
        <f t="shared" si="13"/>
        <v>2550000</v>
      </c>
      <c r="I89" s="31">
        <f t="shared" si="14"/>
        <v>255000</v>
      </c>
      <c r="J89" s="2" t="s">
        <v>40</v>
      </c>
      <c r="K89" s="3" t="s">
        <v>162</v>
      </c>
    </row>
    <row r="90" spans="1:11" ht="132" x14ac:dyDescent="0.3">
      <c r="A90" s="3" t="s">
        <v>164</v>
      </c>
      <c r="B90" s="46">
        <v>3.18</v>
      </c>
      <c r="C90" s="2" t="s">
        <v>97</v>
      </c>
      <c r="D90" s="36" t="s">
        <v>162</v>
      </c>
      <c r="E90" s="36">
        <v>4.5</v>
      </c>
      <c r="F90" s="25" t="s">
        <v>23</v>
      </c>
      <c r="G90" s="31">
        <f t="shared" si="12"/>
        <v>450000000</v>
      </c>
      <c r="H90" s="31">
        <f t="shared" si="13"/>
        <v>6750000</v>
      </c>
      <c r="I90" s="31">
        <f>+H90*9%</f>
        <v>607500</v>
      </c>
      <c r="J90" s="2" t="s">
        <v>54</v>
      </c>
      <c r="K90" s="3" t="s">
        <v>162</v>
      </c>
    </row>
    <row r="91" spans="1:11" ht="214.5" x14ac:dyDescent="0.3">
      <c r="A91" s="3" t="s">
        <v>164</v>
      </c>
      <c r="B91" s="46">
        <v>3.19</v>
      </c>
      <c r="C91" s="2" t="s">
        <v>146</v>
      </c>
      <c r="D91" s="30" t="s">
        <v>162</v>
      </c>
      <c r="E91" s="30">
        <v>2.5</v>
      </c>
      <c r="F91" s="25" t="s">
        <v>21</v>
      </c>
      <c r="G91" s="31">
        <f>E91*120000000</f>
        <v>300000000</v>
      </c>
      <c r="H91" s="31">
        <f t="shared" si="13"/>
        <v>4500000</v>
      </c>
      <c r="I91" s="31">
        <f t="shared" si="14"/>
        <v>450000</v>
      </c>
      <c r="J91" s="2" t="s">
        <v>55</v>
      </c>
      <c r="K91" s="3" t="s">
        <v>162</v>
      </c>
    </row>
    <row r="92" spans="1:11" ht="132" x14ac:dyDescent="0.3">
      <c r="A92" s="3" t="s">
        <v>164</v>
      </c>
      <c r="B92" s="46" t="s">
        <v>228</v>
      </c>
      <c r="C92" s="2" t="s">
        <v>98</v>
      </c>
      <c r="D92" s="36" t="s">
        <v>162</v>
      </c>
      <c r="E92" s="36">
        <v>4.7</v>
      </c>
      <c r="F92" s="25" t="s">
        <v>18</v>
      </c>
      <c r="G92" s="31">
        <f t="shared" si="12"/>
        <v>470000000</v>
      </c>
      <c r="H92" s="31">
        <f t="shared" si="13"/>
        <v>7050000</v>
      </c>
      <c r="I92" s="31">
        <f>+H92*9%</f>
        <v>634500</v>
      </c>
      <c r="J92" s="2" t="s">
        <v>42</v>
      </c>
      <c r="K92" s="3" t="s">
        <v>162</v>
      </c>
    </row>
    <row r="93" spans="1:11" ht="132" x14ac:dyDescent="0.3">
      <c r="A93" s="3" t="s">
        <v>164</v>
      </c>
      <c r="B93" s="46">
        <v>3.21</v>
      </c>
      <c r="C93" s="2" t="s">
        <v>135</v>
      </c>
      <c r="D93" s="36" t="s">
        <v>162</v>
      </c>
      <c r="E93" s="36">
        <v>2.2000000000000002</v>
      </c>
      <c r="F93" s="25" t="s">
        <v>17</v>
      </c>
      <c r="G93" s="31">
        <f t="shared" si="12"/>
        <v>220000000.00000003</v>
      </c>
      <c r="H93" s="31">
        <f t="shared" si="13"/>
        <v>3300000.0000000005</v>
      </c>
      <c r="I93" s="31">
        <f t="shared" si="14"/>
        <v>330000.00000000006</v>
      </c>
      <c r="J93" s="2" t="s">
        <v>54</v>
      </c>
      <c r="K93" s="3" t="s">
        <v>162</v>
      </c>
    </row>
    <row r="94" spans="1:11" ht="132" x14ac:dyDescent="0.3">
      <c r="A94" s="3" t="s">
        <v>164</v>
      </c>
      <c r="B94" s="46">
        <v>3.22</v>
      </c>
      <c r="C94" s="2" t="s">
        <v>116</v>
      </c>
      <c r="D94" s="36" t="s">
        <v>162</v>
      </c>
      <c r="E94" s="36">
        <v>3.6</v>
      </c>
      <c r="F94" s="25" t="s">
        <v>28</v>
      </c>
      <c r="G94" s="31">
        <f>E94*80000000</f>
        <v>288000000</v>
      </c>
      <c r="H94" s="31">
        <f t="shared" si="13"/>
        <v>4320000</v>
      </c>
      <c r="I94" s="31">
        <f t="shared" si="14"/>
        <v>432000</v>
      </c>
      <c r="J94" s="2" t="s">
        <v>54</v>
      </c>
      <c r="K94" s="3" t="s">
        <v>162</v>
      </c>
    </row>
    <row r="95" spans="1:11" ht="132" x14ac:dyDescent="0.3">
      <c r="A95" s="3" t="s">
        <v>164</v>
      </c>
      <c r="B95" s="46">
        <v>3.23</v>
      </c>
      <c r="C95" s="2" t="s">
        <v>159</v>
      </c>
      <c r="D95" s="36" t="s">
        <v>162</v>
      </c>
      <c r="E95" s="36">
        <v>4.2</v>
      </c>
      <c r="F95" s="25" t="s">
        <v>28</v>
      </c>
      <c r="G95" s="31">
        <f>E95*80000000</f>
        <v>336000000</v>
      </c>
      <c r="H95" s="31">
        <f t="shared" si="13"/>
        <v>5040000</v>
      </c>
      <c r="I95" s="31">
        <f>+H95*9%</f>
        <v>453600</v>
      </c>
      <c r="J95" s="2" t="s">
        <v>54</v>
      </c>
      <c r="K95" s="3" t="s">
        <v>165</v>
      </c>
    </row>
    <row r="96" spans="1:11" ht="132" x14ac:dyDescent="0.3">
      <c r="A96" s="3" t="s">
        <v>164</v>
      </c>
      <c r="B96" s="46">
        <v>3.24</v>
      </c>
      <c r="C96" s="2" t="s">
        <v>182</v>
      </c>
      <c r="D96" s="36" t="s">
        <v>162</v>
      </c>
      <c r="E96" s="36">
        <v>1</v>
      </c>
      <c r="F96" s="25" t="s">
        <v>28</v>
      </c>
      <c r="G96" s="31">
        <f>E96*80000000</f>
        <v>80000000</v>
      </c>
      <c r="H96" s="31">
        <f t="shared" si="13"/>
        <v>1200000</v>
      </c>
      <c r="I96" s="31">
        <f t="shared" si="14"/>
        <v>120000</v>
      </c>
      <c r="J96" s="2" t="s">
        <v>54</v>
      </c>
      <c r="K96" s="3" t="s">
        <v>162</v>
      </c>
    </row>
    <row r="97" spans="1:11" ht="132" x14ac:dyDescent="0.3">
      <c r="A97" s="3" t="s">
        <v>164</v>
      </c>
      <c r="B97" s="46">
        <v>3.25</v>
      </c>
      <c r="C97" s="2" t="s">
        <v>117</v>
      </c>
      <c r="D97" s="36" t="s">
        <v>162</v>
      </c>
      <c r="E97" s="36">
        <v>4</v>
      </c>
      <c r="F97" s="25" t="s">
        <v>28</v>
      </c>
      <c r="G97" s="31">
        <f>E97*80000000</f>
        <v>320000000</v>
      </c>
      <c r="H97" s="31">
        <f t="shared" si="13"/>
        <v>4800000</v>
      </c>
      <c r="I97" s="31">
        <f t="shared" si="14"/>
        <v>480000</v>
      </c>
      <c r="J97" s="2" t="s">
        <v>54</v>
      </c>
      <c r="K97" s="3" t="s">
        <v>162</v>
      </c>
    </row>
    <row r="98" spans="1:11" ht="132" x14ac:dyDescent="0.3">
      <c r="A98" s="3" t="s">
        <v>164</v>
      </c>
      <c r="B98" s="46">
        <v>3.26</v>
      </c>
      <c r="C98" s="2" t="s">
        <v>131</v>
      </c>
      <c r="D98" s="36" t="s">
        <v>162</v>
      </c>
      <c r="E98" s="36">
        <v>6</v>
      </c>
      <c r="F98" s="25" t="s">
        <v>18</v>
      </c>
      <c r="G98" s="31">
        <f>E98*80000000</f>
        <v>480000000</v>
      </c>
      <c r="H98" s="31">
        <f t="shared" si="13"/>
        <v>7200000</v>
      </c>
      <c r="I98" s="31">
        <f>+H98*9%</f>
        <v>648000</v>
      </c>
      <c r="J98" s="2" t="s">
        <v>112</v>
      </c>
      <c r="K98" s="3" t="s">
        <v>162</v>
      </c>
    </row>
    <row r="99" spans="1:11" ht="82.5" x14ac:dyDescent="0.3">
      <c r="A99" s="3" t="s">
        <v>164</v>
      </c>
      <c r="B99" s="46">
        <v>3.27</v>
      </c>
      <c r="C99" s="2" t="s">
        <v>183</v>
      </c>
      <c r="D99" s="41" t="s">
        <v>162</v>
      </c>
      <c r="E99" s="41">
        <v>1.845</v>
      </c>
      <c r="F99" s="25" t="s">
        <v>19</v>
      </c>
      <c r="G99" s="31">
        <f>E99*200000000</f>
        <v>369000000</v>
      </c>
      <c r="H99" s="31">
        <f t="shared" si="13"/>
        <v>5535000</v>
      </c>
      <c r="I99" s="31">
        <f>+H99*9%</f>
        <v>498150</v>
      </c>
      <c r="J99" s="2" t="s">
        <v>105</v>
      </c>
      <c r="K99" s="3" t="s">
        <v>162</v>
      </c>
    </row>
    <row r="100" spans="1:11" ht="49.5" x14ac:dyDescent="0.3">
      <c r="A100" s="3" t="s">
        <v>164</v>
      </c>
      <c r="B100" s="46">
        <v>3.28</v>
      </c>
      <c r="C100" s="2" t="s">
        <v>184</v>
      </c>
      <c r="D100" s="36" t="s">
        <v>162</v>
      </c>
      <c r="E100" s="36">
        <v>1.6</v>
      </c>
      <c r="F100" s="25" t="s">
        <v>19</v>
      </c>
      <c r="G100" s="31">
        <f>E100*200000000</f>
        <v>320000000</v>
      </c>
      <c r="H100" s="31">
        <f t="shared" si="13"/>
        <v>4800000</v>
      </c>
      <c r="I100" s="31">
        <f t="shared" si="14"/>
        <v>480000</v>
      </c>
      <c r="J100" s="2"/>
      <c r="K100" s="3" t="s">
        <v>162</v>
      </c>
    </row>
    <row r="101" spans="1:11" ht="49.5" x14ac:dyDescent="0.3">
      <c r="A101" s="3" t="s">
        <v>164</v>
      </c>
      <c r="B101" s="46">
        <v>3.29</v>
      </c>
      <c r="C101" s="2" t="s">
        <v>69</v>
      </c>
      <c r="D101" s="36" t="s">
        <v>162</v>
      </c>
      <c r="E101" s="36">
        <v>3.7</v>
      </c>
      <c r="F101" s="25" t="s">
        <v>19</v>
      </c>
      <c r="G101" s="31">
        <f t="shared" ref="G101:G111" si="15">E101*250000000</f>
        <v>925000000</v>
      </c>
      <c r="H101" s="31">
        <f t="shared" si="13"/>
        <v>13875000</v>
      </c>
      <c r="I101" s="31">
        <f>+H101*8%</f>
        <v>1110000</v>
      </c>
      <c r="J101" s="2" t="s">
        <v>74</v>
      </c>
      <c r="K101" s="3" t="s">
        <v>162</v>
      </c>
    </row>
    <row r="102" spans="1:11" ht="49.5" x14ac:dyDescent="0.3">
      <c r="A102" s="3" t="s">
        <v>164</v>
      </c>
      <c r="B102" s="46" t="s">
        <v>223</v>
      </c>
      <c r="C102" s="2" t="s">
        <v>70</v>
      </c>
      <c r="D102" s="36" t="s">
        <v>162</v>
      </c>
      <c r="E102" s="36">
        <v>0.8</v>
      </c>
      <c r="F102" s="25" t="s">
        <v>19</v>
      </c>
      <c r="G102" s="31">
        <f t="shared" si="15"/>
        <v>200000000</v>
      </c>
      <c r="H102" s="31">
        <f t="shared" si="13"/>
        <v>3000000</v>
      </c>
      <c r="I102" s="31">
        <f t="shared" ref="I102:I111" si="16">+H102*10%</f>
        <v>300000</v>
      </c>
      <c r="J102" s="2" t="s">
        <v>74</v>
      </c>
      <c r="K102" s="3" t="s">
        <v>162</v>
      </c>
    </row>
    <row r="103" spans="1:11" ht="66" x14ac:dyDescent="0.3">
      <c r="A103" s="3" t="s">
        <v>164</v>
      </c>
      <c r="B103" s="46">
        <v>3.31</v>
      </c>
      <c r="C103" s="2" t="s">
        <v>75</v>
      </c>
      <c r="D103" s="36" t="s">
        <v>162</v>
      </c>
      <c r="E103" s="36">
        <v>0.8</v>
      </c>
      <c r="F103" s="25" t="s">
        <v>19</v>
      </c>
      <c r="G103" s="31">
        <f t="shared" si="15"/>
        <v>200000000</v>
      </c>
      <c r="H103" s="31">
        <f t="shared" si="13"/>
        <v>3000000</v>
      </c>
      <c r="I103" s="31">
        <f t="shared" si="16"/>
        <v>300000</v>
      </c>
      <c r="J103" s="2" t="s">
        <v>74</v>
      </c>
      <c r="K103" s="3" t="s">
        <v>162</v>
      </c>
    </row>
    <row r="104" spans="1:11" ht="49.5" x14ac:dyDescent="0.3">
      <c r="A104" s="3" t="s">
        <v>164</v>
      </c>
      <c r="B104" s="46">
        <v>3.32</v>
      </c>
      <c r="C104" s="2" t="s">
        <v>185</v>
      </c>
      <c r="D104" s="36" t="s">
        <v>162</v>
      </c>
      <c r="E104" s="36">
        <v>0.63</v>
      </c>
      <c r="F104" s="25" t="s">
        <v>19</v>
      </c>
      <c r="G104" s="31">
        <f t="shared" si="15"/>
        <v>157500000</v>
      </c>
      <c r="H104" s="31">
        <f t="shared" si="13"/>
        <v>2362500</v>
      </c>
      <c r="I104" s="31">
        <f t="shared" si="16"/>
        <v>236250</v>
      </c>
      <c r="J104" s="2" t="s">
        <v>74</v>
      </c>
      <c r="K104" s="3" t="s">
        <v>162</v>
      </c>
    </row>
    <row r="105" spans="1:11" ht="66" x14ac:dyDescent="0.3">
      <c r="A105" s="3" t="s">
        <v>164</v>
      </c>
      <c r="B105" s="46">
        <v>3.33</v>
      </c>
      <c r="C105" s="2" t="s">
        <v>71</v>
      </c>
      <c r="D105" s="30" t="s">
        <v>162</v>
      </c>
      <c r="E105" s="30">
        <v>0.26</v>
      </c>
      <c r="F105" s="25" t="s">
        <v>19</v>
      </c>
      <c r="G105" s="31">
        <f t="shared" si="15"/>
        <v>65000000</v>
      </c>
      <c r="H105" s="31">
        <f t="shared" si="13"/>
        <v>975000</v>
      </c>
      <c r="I105" s="31">
        <f>+H105*11%</f>
        <v>107250</v>
      </c>
      <c r="J105" s="2" t="s">
        <v>74</v>
      </c>
      <c r="K105" s="3" t="s">
        <v>162</v>
      </c>
    </row>
    <row r="106" spans="1:11" ht="49.5" x14ac:dyDescent="0.3">
      <c r="A106" s="3" t="s">
        <v>164</v>
      </c>
      <c r="B106" s="46">
        <v>3.34</v>
      </c>
      <c r="C106" s="2" t="s">
        <v>101</v>
      </c>
      <c r="D106" s="41" t="s">
        <v>162</v>
      </c>
      <c r="E106" s="41">
        <v>1.145</v>
      </c>
      <c r="F106" s="25" t="s">
        <v>23</v>
      </c>
      <c r="G106" s="31">
        <f t="shared" si="15"/>
        <v>286250000</v>
      </c>
      <c r="H106" s="31">
        <f t="shared" si="13"/>
        <v>4293750</v>
      </c>
      <c r="I106" s="31">
        <f t="shared" si="16"/>
        <v>429375</v>
      </c>
      <c r="J106" s="2"/>
      <c r="K106" s="3" t="s">
        <v>162</v>
      </c>
    </row>
    <row r="107" spans="1:11" ht="49.5" x14ac:dyDescent="0.3">
      <c r="A107" s="3" t="s">
        <v>164</v>
      </c>
      <c r="B107" s="46">
        <v>3.35</v>
      </c>
      <c r="C107" s="2" t="s">
        <v>186</v>
      </c>
      <c r="D107" s="41" t="s">
        <v>162</v>
      </c>
      <c r="E107" s="41">
        <v>0.28999999999999998</v>
      </c>
      <c r="F107" s="25" t="s">
        <v>20</v>
      </c>
      <c r="G107" s="31">
        <f t="shared" si="15"/>
        <v>72500000</v>
      </c>
      <c r="H107" s="31">
        <f t="shared" si="13"/>
        <v>1087500</v>
      </c>
      <c r="I107" s="31">
        <f t="shared" si="16"/>
        <v>108750</v>
      </c>
      <c r="J107" s="2" t="s">
        <v>106</v>
      </c>
      <c r="K107" s="3" t="s">
        <v>162</v>
      </c>
    </row>
    <row r="108" spans="1:11" ht="82.5" x14ac:dyDescent="0.3">
      <c r="A108" s="3" t="s">
        <v>164</v>
      </c>
      <c r="B108" s="46">
        <v>3.36</v>
      </c>
      <c r="C108" s="2" t="s">
        <v>124</v>
      </c>
      <c r="D108" s="41" t="s">
        <v>162</v>
      </c>
      <c r="E108" s="41">
        <v>3.3839999999999999</v>
      </c>
      <c r="F108" s="25" t="s">
        <v>20</v>
      </c>
      <c r="G108" s="31">
        <f t="shared" si="15"/>
        <v>846000000</v>
      </c>
      <c r="H108" s="31">
        <f t="shared" si="13"/>
        <v>12690000</v>
      </c>
      <c r="I108" s="31">
        <f>+H108*8%</f>
        <v>1015200</v>
      </c>
      <c r="J108" s="2" t="s">
        <v>106</v>
      </c>
      <c r="K108" s="3" t="s">
        <v>162</v>
      </c>
    </row>
    <row r="109" spans="1:11" ht="82.5" x14ac:dyDescent="0.3">
      <c r="A109" s="3" t="s">
        <v>164</v>
      </c>
      <c r="B109" s="46">
        <v>3.37</v>
      </c>
      <c r="C109" s="2" t="s">
        <v>125</v>
      </c>
      <c r="D109" s="41" t="s">
        <v>162</v>
      </c>
      <c r="E109" s="41">
        <v>2.5720000000000001</v>
      </c>
      <c r="F109" s="25" t="s">
        <v>20</v>
      </c>
      <c r="G109" s="31">
        <f t="shared" si="15"/>
        <v>643000000</v>
      </c>
      <c r="H109" s="31">
        <f t="shared" si="13"/>
        <v>9645000</v>
      </c>
      <c r="I109" s="31">
        <f>+H109*9%</f>
        <v>868050</v>
      </c>
      <c r="J109" s="2" t="s">
        <v>106</v>
      </c>
      <c r="K109" s="3" t="s">
        <v>162</v>
      </c>
    </row>
    <row r="110" spans="1:11" ht="66" x14ac:dyDescent="0.3">
      <c r="A110" s="3" t="s">
        <v>164</v>
      </c>
      <c r="B110" s="46">
        <v>3.38</v>
      </c>
      <c r="C110" s="2" t="s">
        <v>113</v>
      </c>
      <c r="D110" s="41" t="s">
        <v>162</v>
      </c>
      <c r="E110" s="41">
        <v>1.069</v>
      </c>
      <c r="F110" s="25" t="s">
        <v>20</v>
      </c>
      <c r="G110" s="31">
        <f t="shared" si="15"/>
        <v>267250000</v>
      </c>
      <c r="H110" s="31">
        <f t="shared" si="13"/>
        <v>4008750</v>
      </c>
      <c r="I110" s="31">
        <f t="shared" si="16"/>
        <v>400875</v>
      </c>
      <c r="J110" s="2" t="s">
        <v>106</v>
      </c>
      <c r="K110" s="3" t="s">
        <v>162</v>
      </c>
    </row>
    <row r="111" spans="1:11" ht="49.5" x14ac:dyDescent="0.3">
      <c r="A111" s="3" t="s">
        <v>164</v>
      </c>
      <c r="B111" s="46" t="s">
        <v>224</v>
      </c>
      <c r="C111" s="2" t="s">
        <v>119</v>
      </c>
      <c r="D111" s="41" t="s">
        <v>162</v>
      </c>
      <c r="E111" s="41">
        <v>0.3</v>
      </c>
      <c r="F111" s="25" t="s">
        <v>23</v>
      </c>
      <c r="G111" s="31">
        <f t="shared" si="15"/>
        <v>75000000</v>
      </c>
      <c r="H111" s="31">
        <f t="shared" si="13"/>
        <v>1125000</v>
      </c>
      <c r="I111" s="31">
        <f t="shared" si="16"/>
        <v>112500</v>
      </c>
      <c r="J111" s="2"/>
      <c r="K111" s="3" t="s">
        <v>162</v>
      </c>
    </row>
    <row r="112" spans="1:11" x14ac:dyDescent="0.3">
      <c r="B112" s="3"/>
      <c r="D112" s="3" t="s">
        <v>162</v>
      </c>
      <c r="F112" s="3"/>
      <c r="J112" s="8"/>
    </row>
    <row r="113" spans="1:11" ht="33" x14ac:dyDescent="0.3">
      <c r="B113" s="46">
        <v>4</v>
      </c>
      <c r="C113" s="7" t="s">
        <v>5</v>
      </c>
      <c r="D113" s="23" t="s">
        <v>162</v>
      </c>
      <c r="E113" s="23">
        <f>SUM(E114:E133)</f>
        <v>20</v>
      </c>
      <c r="F113" s="24"/>
      <c r="G113" s="26">
        <f>SUM(G114:G133)</f>
        <v>2338000000</v>
      </c>
      <c r="H113" s="26">
        <f>SUM(H114:H133)</f>
        <v>54350000</v>
      </c>
      <c r="I113" s="26">
        <f>SUM(I114:I133)</f>
        <v>5120500</v>
      </c>
      <c r="J113" s="2"/>
      <c r="K113" s="3" t="s">
        <v>162</v>
      </c>
    </row>
    <row r="114" spans="1:11" ht="49.5" x14ac:dyDescent="0.3">
      <c r="A114" s="3" t="s">
        <v>221</v>
      </c>
      <c r="B114" s="46">
        <v>4.0999999999999996</v>
      </c>
      <c r="C114" s="2" t="s">
        <v>7</v>
      </c>
      <c r="D114" s="33" t="s">
        <v>162</v>
      </c>
      <c r="E114" s="33">
        <v>1</v>
      </c>
      <c r="F114" s="25" t="s">
        <v>24</v>
      </c>
      <c r="G114" s="31">
        <v>1000000000</v>
      </c>
      <c r="H114" s="31">
        <f>G114*0.015</f>
        <v>15000000</v>
      </c>
      <c r="I114" s="31">
        <f>+H114*8%</f>
        <v>1200000</v>
      </c>
      <c r="J114" s="64" t="s">
        <v>48</v>
      </c>
      <c r="K114" s="3" t="s">
        <v>162</v>
      </c>
    </row>
    <row r="115" spans="1:11" ht="49.5" x14ac:dyDescent="0.3">
      <c r="A115" s="3" t="s">
        <v>221</v>
      </c>
      <c r="B115" s="49">
        <v>4.2</v>
      </c>
      <c r="C115" s="1" t="s">
        <v>187</v>
      </c>
      <c r="D115" s="42" t="s">
        <v>155</v>
      </c>
      <c r="E115" s="43">
        <v>1</v>
      </c>
      <c r="F115" s="25" t="s">
        <v>22</v>
      </c>
      <c r="G115" s="31">
        <v>300000000</v>
      </c>
      <c r="H115" s="31">
        <f>G115*0.015</f>
        <v>4500000</v>
      </c>
      <c r="I115" s="31">
        <f>+H115*10%</f>
        <v>450000</v>
      </c>
      <c r="J115" s="64" t="s">
        <v>102</v>
      </c>
      <c r="K115" s="3" t="s">
        <v>162</v>
      </c>
    </row>
    <row r="116" spans="1:11" ht="49.5" x14ac:dyDescent="0.3">
      <c r="A116" s="3" t="s">
        <v>221</v>
      </c>
      <c r="B116" s="49">
        <v>4.3</v>
      </c>
      <c r="C116" s="1" t="s">
        <v>188</v>
      </c>
      <c r="D116" s="42" t="s">
        <v>155</v>
      </c>
      <c r="E116" s="43">
        <v>1</v>
      </c>
      <c r="F116" s="25" t="s">
        <v>17</v>
      </c>
      <c r="G116" s="31">
        <v>8000000</v>
      </c>
      <c r="H116" s="31">
        <f>G116*0.05</f>
        <v>400000</v>
      </c>
      <c r="I116" s="31">
        <f>+H116*12%</f>
        <v>48000</v>
      </c>
      <c r="J116" s="64" t="s">
        <v>102</v>
      </c>
      <c r="K116" s="3" t="s">
        <v>162</v>
      </c>
    </row>
    <row r="117" spans="1:11" ht="66" x14ac:dyDescent="0.3">
      <c r="A117" s="3" t="s">
        <v>221</v>
      </c>
      <c r="B117" s="49">
        <v>4.4000000000000004</v>
      </c>
      <c r="C117" s="1" t="s">
        <v>189</v>
      </c>
      <c r="D117" s="42" t="s">
        <v>155</v>
      </c>
      <c r="E117" s="43">
        <v>1</v>
      </c>
      <c r="F117" s="25" t="s">
        <v>17</v>
      </c>
      <c r="G117" s="31">
        <v>30000000</v>
      </c>
      <c r="H117" s="31">
        <f>G117*0.05</f>
        <v>1500000</v>
      </c>
      <c r="I117" s="31">
        <f t="shared" ref="I117:I123" si="17">+H117*10%</f>
        <v>150000</v>
      </c>
      <c r="J117" s="64" t="s">
        <v>102</v>
      </c>
      <c r="K117" s="3" t="s">
        <v>162</v>
      </c>
    </row>
    <row r="118" spans="1:11" ht="66" x14ac:dyDescent="0.3">
      <c r="A118" s="3" t="s">
        <v>221</v>
      </c>
      <c r="B118" s="49">
        <v>4.5</v>
      </c>
      <c r="C118" s="1" t="s">
        <v>190</v>
      </c>
      <c r="D118" s="42" t="s">
        <v>155</v>
      </c>
      <c r="E118" s="43">
        <v>1</v>
      </c>
      <c r="F118" s="25" t="s">
        <v>19</v>
      </c>
      <c r="G118" s="31">
        <v>100000000</v>
      </c>
      <c r="H118" s="31">
        <f>G118*0.035</f>
        <v>3500000.0000000005</v>
      </c>
      <c r="I118" s="31">
        <f t="shared" si="17"/>
        <v>350000.00000000006</v>
      </c>
      <c r="J118" s="64" t="s">
        <v>48</v>
      </c>
      <c r="K118" s="3" t="s">
        <v>165</v>
      </c>
    </row>
    <row r="119" spans="1:11" ht="66" x14ac:dyDescent="0.3">
      <c r="A119" s="3" t="s">
        <v>221</v>
      </c>
      <c r="B119" s="46">
        <v>4.5999999999999996</v>
      </c>
      <c r="C119" s="1" t="s">
        <v>191</v>
      </c>
      <c r="D119" s="42" t="s">
        <v>155</v>
      </c>
      <c r="E119" s="43">
        <v>1</v>
      </c>
      <c r="F119" s="25" t="s">
        <v>20</v>
      </c>
      <c r="G119" s="31">
        <v>30000000</v>
      </c>
      <c r="H119" s="31">
        <f>G119*0.05</f>
        <v>1500000</v>
      </c>
      <c r="I119" s="31">
        <f t="shared" si="17"/>
        <v>150000</v>
      </c>
      <c r="J119" s="64" t="s">
        <v>102</v>
      </c>
      <c r="K119" s="3" t="s">
        <v>162</v>
      </c>
    </row>
    <row r="120" spans="1:11" ht="66" x14ac:dyDescent="0.3">
      <c r="A120" s="3" t="s">
        <v>221</v>
      </c>
      <c r="B120" s="46">
        <v>4.7</v>
      </c>
      <c r="C120" s="1" t="s">
        <v>192</v>
      </c>
      <c r="D120" s="42" t="s">
        <v>155</v>
      </c>
      <c r="E120" s="43">
        <v>1</v>
      </c>
      <c r="F120" s="25" t="s">
        <v>23</v>
      </c>
      <c r="G120" s="31">
        <v>30000000</v>
      </c>
      <c r="H120" s="31">
        <f>G120*0.05</f>
        <v>1500000</v>
      </c>
      <c r="I120" s="31">
        <f t="shared" si="17"/>
        <v>150000</v>
      </c>
      <c r="J120" s="64" t="s">
        <v>102</v>
      </c>
      <c r="K120" s="3" t="s">
        <v>162</v>
      </c>
    </row>
    <row r="121" spans="1:11" ht="66" x14ac:dyDescent="0.3">
      <c r="A121" s="3" t="s">
        <v>221</v>
      </c>
      <c r="B121" s="46">
        <v>4.8</v>
      </c>
      <c r="C121" s="1" t="s">
        <v>193</v>
      </c>
      <c r="D121" s="42" t="s">
        <v>155</v>
      </c>
      <c r="E121" s="43">
        <v>1</v>
      </c>
      <c r="F121" s="25" t="s">
        <v>16</v>
      </c>
      <c r="G121" s="31">
        <v>30000000</v>
      </c>
      <c r="H121" s="31">
        <f>G121*0.05</f>
        <v>1500000</v>
      </c>
      <c r="I121" s="31">
        <f t="shared" si="17"/>
        <v>150000</v>
      </c>
      <c r="J121" s="64" t="s">
        <v>102</v>
      </c>
      <c r="K121" s="3" t="s">
        <v>162</v>
      </c>
    </row>
    <row r="122" spans="1:11" ht="115.5" x14ac:dyDescent="0.3">
      <c r="A122" s="3" t="s">
        <v>221</v>
      </c>
      <c r="B122" s="46">
        <v>4.9000000000000004</v>
      </c>
      <c r="C122" s="2" t="s">
        <v>8</v>
      </c>
      <c r="D122" s="34" t="s">
        <v>155</v>
      </c>
      <c r="E122" s="33">
        <v>1</v>
      </c>
      <c r="F122" s="25" t="s">
        <v>20</v>
      </c>
      <c r="G122" s="31">
        <v>30000000</v>
      </c>
      <c r="H122" s="31">
        <f>G122*0.05</f>
        <v>1500000</v>
      </c>
      <c r="I122" s="31">
        <f t="shared" si="17"/>
        <v>150000</v>
      </c>
      <c r="J122" s="64" t="s">
        <v>48</v>
      </c>
      <c r="K122" s="3" t="s">
        <v>162</v>
      </c>
    </row>
    <row r="123" spans="1:11" ht="49.5" x14ac:dyDescent="0.3">
      <c r="A123" s="3" t="s">
        <v>221</v>
      </c>
      <c r="B123" s="46" t="s">
        <v>210</v>
      </c>
      <c r="C123" s="2" t="s">
        <v>26</v>
      </c>
      <c r="D123" s="34" t="s">
        <v>155</v>
      </c>
      <c r="E123" s="33">
        <v>1</v>
      </c>
      <c r="F123" s="25" t="s">
        <v>15</v>
      </c>
      <c r="G123" s="31">
        <v>30000000</v>
      </c>
      <c r="H123" s="31">
        <f>G123*0.05</f>
        <v>1500000</v>
      </c>
      <c r="I123" s="31">
        <f t="shared" si="17"/>
        <v>150000</v>
      </c>
      <c r="J123" s="64" t="s">
        <v>48</v>
      </c>
      <c r="K123" s="3" t="s">
        <v>162</v>
      </c>
    </row>
    <row r="124" spans="1:11" ht="66" x14ac:dyDescent="0.3">
      <c r="A124" s="3" t="s">
        <v>221</v>
      </c>
      <c r="B124" s="46" t="s">
        <v>211</v>
      </c>
      <c r="C124" s="2" t="s">
        <v>27</v>
      </c>
      <c r="D124" s="34" t="s">
        <v>155</v>
      </c>
      <c r="E124" s="33">
        <v>1</v>
      </c>
      <c r="F124" s="25" t="s">
        <v>20</v>
      </c>
      <c r="G124" s="31">
        <v>100000000</v>
      </c>
      <c r="H124" s="31">
        <f>G124*0.035</f>
        <v>3500000.0000000005</v>
      </c>
      <c r="I124" s="31">
        <f t="shared" ref="I124" si="18">+H124*10%</f>
        <v>350000.00000000006</v>
      </c>
      <c r="J124" s="64" t="s">
        <v>48</v>
      </c>
      <c r="K124" s="3" t="s">
        <v>162</v>
      </c>
    </row>
    <row r="125" spans="1:11" ht="66" x14ac:dyDescent="0.3">
      <c r="A125" s="3" t="s">
        <v>221</v>
      </c>
      <c r="B125" s="49" t="s">
        <v>212</v>
      </c>
      <c r="C125" s="2" t="s">
        <v>157</v>
      </c>
      <c r="D125" s="34" t="s">
        <v>155</v>
      </c>
      <c r="E125" s="33">
        <v>1</v>
      </c>
      <c r="F125" s="25" t="s">
        <v>19</v>
      </c>
      <c r="G125" s="31">
        <v>350000000</v>
      </c>
      <c r="H125" s="31">
        <f>G125*0.015</f>
        <v>5250000</v>
      </c>
      <c r="I125" s="31">
        <f>+H125*9%</f>
        <v>472500</v>
      </c>
      <c r="J125" s="64" t="s">
        <v>102</v>
      </c>
      <c r="K125" s="3" t="s">
        <v>165</v>
      </c>
    </row>
    <row r="126" spans="1:11" ht="49.5" x14ac:dyDescent="0.3">
      <c r="A126" s="3" t="s">
        <v>221</v>
      </c>
      <c r="B126" s="46" t="s">
        <v>213</v>
      </c>
      <c r="C126" s="2" t="s">
        <v>103</v>
      </c>
      <c r="D126" s="34" t="s">
        <v>155</v>
      </c>
      <c r="E126" s="33">
        <v>1</v>
      </c>
      <c r="F126" s="25" t="s">
        <v>23</v>
      </c>
      <c r="G126" s="31">
        <v>20000000</v>
      </c>
      <c r="H126" s="31">
        <f>G126*0.05</f>
        <v>1000000</v>
      </c>
      <c r="I126" s="31">
        <f>+H126*11%</f>
        <v>110000</v>
      </c>
      <c r="J126" s="64" t="s">
        <v>48</v>
      </c>
      <c r="K126" s="3" t="s">
        <v>162</v>
      </c>
    </row>
    <row r="127" spans="1:11" ht="66" x14ac:dyDescent="0.3">
      <c r="A127" s="3" t="s">
        <v>221</v>
      </c>
      <c r="B127" s="46" t="s">
        <v>214</v>
      </c>
      <c r="C127" s="2" t="s">
        <v>9</v>
      </c>
      <c r="D127" s="34" t="s">
        <v>155</v>
      </c>
      <c r="E127" s="33">
        <v>1</v>
      </c>
      <c r="F127" s="25" t="s">
        <v>15</v>
      </c>
      <c r="G127" s="31">
        <v>20000000</v>
      </c>
      <c r="H127" s="31">
        <f>G127*0.05</f>
        <v>1000000</v>
      </c>
      <c r="I127" s="31">
        <f>+H127*11%</f>
        <v>110000</v>
      </c>
      <c r="J127" s="64" t="s">
        <v>48</v>
      </c>
      <c r="K127" s="3" t="s">
        <v>162</v>
      </c>
    </row>
    <row r="128" spans="1:11" ht="49.5" x14ac:dyDescent="0.3">
      <c r="A128" s="3" t="s">
        <v>221</v>
      </c>
      <c r="B128" s="46" t="s">
        <v>215</v>
      </c>
      <c r="C128" s="2" t="s">
        <v>104</v>
      </c>
      <c r="D128" s="34" t="s">
        <v>155</v>
      </c>
      <c r="E128" s="33">
        <v>1</v>
      </c>
      <c r="F128" s="25" t="s">
        <v>15</v>
      </c>
      <c r="G128" s="31">
        <v>20000000</v>
      </c>
      <c r="H128" s="31">
        <f>G128*0.05</f>
        <v>1000000</v>
      </c>
      <c r="I128" s="31">
        <f>+H128*11%</f>
        <v>110000</v>
      </c>
      <c r="J128" s="64" t="s">
        <v>48</v>
      </c>
      <c r="K128" s="3" t="s">
        <v>162</v>
      </c>
    </row>
    <row r="129" spans="1:11" ht="66" x14ac:dyDescent="0.3">
      <c r="A129" s="3" t="s">
        <v>221</v>
      </c>
      <c r="B129" s="46" t="s">
        <v>216</v>
      </c>
      <c r="C129" s="2" t="s">
        <v>10</v>
      </c>
      <c r="D129" s="34" t="s">
        <v>155</v>
      </c>
      <c r="E129" s="33">
        <v>1</v>
      </c>
      <c r="F129" s="25" t="s">
        <v>19</v>
      </c>
      <c r="G129" s="31">
        <v>120000000</v>
      </c>
      <c r="H129" s="31">
        <f>G129*0.035</f>
        <v>4200000</v>
      </c>
      <c r="I129" s="31">
        <f>+H129*10%</f>
        <v>420000</v>
      </c>
      <c r="J129" s="64" t="s">
        <v>48</v>
      </c>
      <c r="K129" s="3" t="s">
        <v>162</v>
      </c>
    </row>
    <row r="130" spans="1:11" ht="82.5" x14ac:dyDescent="0.3">
      <c r="A130" s="3" t="s">
        <v>221</v>
      </c>
      <c r="B130" s="46" t="s">
        <v>217</v>
      </c>
      <c r="C130" s="2" t="s">
        <v>109</v>
      </c>
      <c r="D130" s="34" t="s">
        <v>155</v>
      </c>
      <c r="E130" s="33">
        <v>1</v>
      </c>
      <c r="F130" s="25" t="s">
        <v>22</v>
      </c>
      <c r="G130" s="31">
        <v>30000000</v>
      </c>
      <c r="H130" s="31">
        <f>G130*0.05</f>
        <v>1500000</v>
      </c>
      <c r="I130" s="31">
        <f>+H130*10%</f>
        <v>150000</v>
      </c>
      <c r="J130" s="64"/>
      <c r="K130" s="3" t="s">
        <v>162</v>
      </c>
    </row>
    <row r="131" spans="1:11" ht="66" x14ac:dyDescent="0.3">
      <c r="A131" s="3" t="s">
        <v>221</v>
      </c>
      <c r="B131" s="46" t="s">
        <v>218</v>
      </c>
      <c r="C131" s="2" t="s">
        <v>111</v>
      </c>
      <c r="D131" s="34" t="s">
        <v>155</v>
      </c>
      <c r="E131" s="33">
        <v>1</v>
      </c>
      <c r="F131" s="25" t="s">
        <v>22</v>
      </c>
      <c r="G131" s="31">
        <v>30000000</v>
      </c>
      <c r="H131" s="31">
        <f>G131*0.05</f>
        <v>1500000</v>
      </c>
      <c r="I131" s="31">
        <f t="shared" ref="I131:I133" si="19">+H131*10%</f>
        <v>150000</v>
      </c>
      <c r="J131" s="64"/>
      <c r="K131" s="3" t="s">
        <v>162</v>
      </c>
    </row>
    <row r="132" spans="1:11" ht="66" x14ac:dyDescent="0.3">
      <c r="A132" s="3" t="s">
        <v>221</v>
      </c>
      <c r="B132" s="46" t="s">
        <v>219</v>
      </c>
      <c r="C132" s="2" t="s">
        <v>110</v>
      </c>
      <c r="D132" s="34" t="s">
        <v>155</v>
      </c>
      <c r="E132" s="33">
        <v>1</v>
      </c>
      <c r="F132" s="25" t="s">
        <v>22</v>
      </c>
      <c r="G132" s="31">
        <v>30000000</v>
      </c>
      <c r="H132" s="31">
        <f>G132*0.05</f>
        <v>1500000</v>
      </c>
      <c r="I132" s="31">
        <f t="shared" si="19"/>
        <v>150000</v>
      </c>
      <c r="J132" s="64"/>
      <c r="K132" s="3" t="s">
        <v>162</v>
      </c>
    </row>
    <row r="133" spans="1:11" ht="66" x14ac:dyDescent="0.3">
      <c r="A133" s="3" t="s">
        <v>221</v>
      </c>
      <c r="B133" s="46" t="s">
        <v>220</v>
      </c>
      <c r="C133" s="2" t="s">
        <v>25</v>
      </c>
      <c r="D133" s="44" t="s">
        <v>155</v>
      </c>
      <c r="E133" s="45">
        <v>1</v>
      </c>
      <c r="F133" s="25" t="s">
        <v>15</v>
      </c>
      <c r="G133" s="31">
        <v>30000000</v>
      </c>
      <c r="H133" s="31">
        <f>G133*0.05</f>
        <v>1500000</v>
      </c>
      <c r="I133" s="31">
        <f t="shared" si="19"/>
        <v>150000</v>
      </c>
      <c r="J133" s="64" t="s">
        <v>48</v>
      </c>
      <c r="K133" s="3" t="s">
        <v>162</v>
      </c>
    </row>
    <row r="134" spans="1:11" x14ac:dyDescent="0.3">
      <c r="K134" s="3" t="s">
        <v>162</v>
      </c>
    </row>
    <row r="135" spans="1:11" x14ac:dyDescent="0.3">
      <c r="K135" s="3" t="s">
        <v>162</v>
      </c>
    </row>
    <row r="138" spans="1:11" x14ac:dyDescent="0.3">
      <c r="E138" s="54"/>
    </row>
  </sheetData>
  <autoFilter ref="A3:O135"/>
  <phoneticPr fontId="32" type="noConversion"/>
  <printOptions horizontalCentered="1"/>
  <pageMargins left="0.19685039370078741" right="0.11811023622047245" top="0.15748031496062992" bottom="0.15748031496062992" header="0.11811023622047245" footer="0.11811023622047245"/>
  <pageSetup paperSize="9" scale="5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SM_2021_arachnahert</vt:lpstr>
      <vt:lpstr>SM_2021_arachnahert!Print_Area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2019-12-17T07:46:47Z</cp:lastPrinted>
  <dcterms:created xsi:type="dcterms:W3CDTF">2015-06-05T18:17:20Z</dcterms:created>
  <dcterms:modified xsi:type="dcterms:W3CDTF">2021-03-17T08:11:38Z</dcterms:modified>
</cp:coreProperties>
</file>