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0" windowWidth="11280" windowHeight="6225" tabRatio="942" activeTab="3"/>
  </bookViews>
  <sheets>
    <sheet name="Energia-ax1" sheetId="5" r:id="rId1"/>
    <sheet name="Кап-ax2" sheetId="52" r:id="rId2"/>
    <sheet name="Gorcuxum-ax3 " sheetId="55" r:id="rId3"/>
    <sheet name="Gnumner-ax4" sheetId="26" r:id="rId4"/>
  </sheets>
  <externalReferences>
    <externalReference r:id="rId5"/>
  </externalReferences>
  <definedNames>
    <definedName name="_xlnm.Print_Area" localSheetId="2">'Gorcuxum-ax3 '!$A$1:$R$22</definedName>
    <definedName name="_xlnm.Print_Titles" localSheetId="3">'Gnumner-ax4'!$9:$9</definedName>
  </definedNames>
  <calcPr calcId="125725"/>
  <customWorkbookViews>
    <customWorkbookView name="ordyan - Personal View" guid="{EE5C0AFB-B96A-4C3C-885D-9A248AEB532B}" mergeInterval="0" personalView="1" maximized="1" windowWidth="1020" windowHeight="605" activeSheetId="8"/>
    <customWorkbookView name="marine - Personal View" guid="{D9EA75C0-4948-47E2-929C-5FF812E82023}" mergeInterval="0" personalView="1" maximized="1" windowWidth="1148" windowHeight="727" activeSheetId="7"/>
  </customWorkbookViews>
</workbook>
</file>

<file path=xl/calcChain.xml><?xml version="1.0" encoding="utf-8"?>
<calcChain xmlns="http://schemas.openxmlformats.org/spreadsheetml/2006/main">
  <c r="K173" i="26"/>
  <c r="L173" s="1"/>
  <c r="G173"/>
  <c r="L171"/>
  <c r="G171"/>
  <c r="K169"/>
  <c r="G169"/>
  <c r="L169" s="1"/>
  <c r="K167"/>
  <c r="L167" s="1"/>
  <c r="G167"/>
  <c r="K166"/>
  <c r="G166"/>
  <c r="L166" s="1"/>
  <c r="K165"/>
  <c r="L165" s="1"/>
  <c r="G165"/>
  <c r="K164"/>
  <c r="G164"/>
  <c r="L164" s="1"/>
  <c r="K163"/>
  <c r="L163" s="1"/>
  <c r="G163"/>
  <c r="K162"/>
  <c r="G162"/>
  <c r="L162" s="1"/>
  <c r="K161"/>
  <c r="L161" s="1"/>
  <c r="G161"/>
  <c r="K160"/>
  <c r="G160"/>
  <c r="L160" s="1"/>
  <c r="K159"/>
  <c r="L159" s="1"/>
  <c r="G159"/>
  <c r="K158"/>
  <c r="G158"/>
  <c r="L158" s="1"/>
  <c r="K157"/>
  <c r="L157" s="1"/>
  <c r="G157"/>
  <c r="K156"/>
  <c r="G156"/>
  <c r="L156" s="1"/>
  <c r="K155"/>
  <c r="L155" s="1"/>
  <c r="G155"/>
  <c r="K154"/>
  <c r="G154"/>
  <c r="L154" s="1"/>
  <c r="K153"/>
  <c r="L153" s="1"/>
  <c r="G153"/>
  <c r="K152"/>
  <c r="G152"/>
  <c r="L152" s="1"/>
  <c r="K151"/>
  <c r="L151" s="1"/>
  <c r="G151"/>
  <c r="K150"/>
  <c r="G150"/>
  <c r="L150" s="1"/>
  <c r="K149"/>
  <c r="L149" s="1"/>
  <c r="G149"/>
  <c r="K148"/>
  <c r="G148"/>
  <c r="L148" s="1"/>
  <c r="K147"/>
  <c r="L147" s="1"/>
  <c r="G147"/>
  <c r="K146"/>
  <c r="G146"/>
  <c r="L146" s="1"/>
  <c r="K145"/>
  <c r="L145" s="1"/>
  <c r="G145"/>
  <c r="K144"/>
  <c r="G144"/>
  <c r="L144" s="1"/>
  <c r="K143"/>
  <c r="L143" s="1"/>
  <c r="G143"/>
  <c r="J142"/>
  <c r="K142" s="1"/>
  <c r="L142" s="1"/>
  <c r="F142"/>
  <c r="G142" s="1"/>
  <c r="K141"/>
  <c r="L141" s="1"/>
  <c r="G141"/>
  <c r="J140"/>
  <c r="K140" s="1"/>
  <c r="L140" s="1"/>
  <c r="F140"/>
  <c r="G140" s="1"/>
  <c r="G133" s="1"/>
  <c r="K139"/>
  <c r="L139" s="1"/>
  <c r="G139"/>
  <c r="K138"/>
  <c r="G138"/>
  <c r="L138" s="1"/>
  <c r="K137"/>
  <c r="L137" s="1"/>
  <c r="G137"/>
  <c r="K136"/>
  <c r="G136"/>
  <c r="L136" s="1"/>
  <c r="K135"/>
  <c r="L135" s="1"/>
  <c r="G135"/>
  <c r="G132"/>
  <c r="L132" s="1"/>
  <c r="L129" s="1"/>
  <c r="I131"/>
  <c r="G131"/>
  <c r="G129" s="1"/>
  <c r="K129"/>
  <c r="L127"/>
  <c r="K127"/>
  <c r="J127"/>
  <c r="K126"/>
  <c r="L126" s="1"/>
  <c r="L125"/>
  <c r="K125"/>
  <c r="J125"/>
  <c r="K124"/>
  <c r="L124" s="1"/>
  <c r="L123"/>
  <c r="J123"/>
  <c r="L122"/>
  <c r="J122"/>
  <c r="L121"/>
  <c r="J121"/>
  <c r="L120"/>
  <c r="J120"/>
  <c r="L119"/>
  <c r="J119"/>
  <c r="L118"/>
  <c r="J118"/>
  <c r="L117"/>
  <c r="J117"/>
  <c r="L116"/>
  <c r="J116"/>
  <c r="L115"/>
  <c r="J115"/>
  <c r="L114"/>
  <c r="J114"/>
  <c r="L113"/>
  <c r="J113"/>
  <c r="L112"/>
  <c r="K112"/>
  <c r="J112"/>
  <c r="K111"/>
  <c r="L111" s="1"/>
  <c r="L110"/>
  <c r="K110"/>
  <c r="J110"/>
  <c r="K109"/>
  <c r="L109" s="1"/>
  <c r="L108"/>
  <c r="K108"/>
  <c r="J108"/>
  <c r="K107"/>
  <c r="L107" s="1"/>
  <c r="L106"/>
  <c r="K106"/>
  <c r="J106"/>
  <c r="K105"/>
  <c r="L105" s="1"/>
  <c r="L104"/>
  <c r="K104"/>
  <c r="J104"/>
  <c r="K103"/>
  <c r="L103" s="1"/>
  <c r="L102"/>
  <c r="J102"/>
  <c r="L101"/>
  <c r="J101"/>
  <c r="L100"/>
  <c r="K100"/>
  <c r="J100"/>
  <c r="K99"/>
  <c r="L99" s="1"/>
  <c r="L98"/>
  <c r="K98"/>
  <c r="J98"/>
  <c r="L97"/>
  <c r="J97"/>
  <c r="K96"/>
  <c r="L96" s="1"/>
  <c r="L95"/>
  <c r="K95"/>
  <c r="J95"/>
  <c r="L94"/>
  <c r="J94"/>
  <c r="L93"/>
  <c r="J93"/>
  <c r="L92"/>
  <c r="J92"/>
  <c r="K91"/>
  <c r="L91" s="1"/>
  <c r="L90"/>
  <c r="K89"/>
  <c r="L89" s="1"/>
  <c r="L88"/>
  <c r="K88"/>
  <c r="J88"/>
  <c r="K87"/>
  <c r="L87" s="1"/>
  <c r="L86"/>
  <c r="K86"/>
  <c r="J86"/>
  <c r="K85"/>
  <c r="L85" s="1"/>
  <c r="L84"/>
  <c r="K84"/>
  <c r="J84"/>
  <c r="K83"/>
  <c r="L83" s="1"/>
  <c r="L82"/>
  <c r="J82"/>
  <c r="L81"/>
  <c r="K81"/>
  <c r="J81"/>
  <c r="K80"/>
  <c r="L80" s="1"/>
  <c r="L79"/>
  <c r="K79"/>
  <c r="J79"/>
  <c r="L78"/>
  <c r="J78"/>
  <c r="K77"/>
  <c r="L77" s="1"/>
  <c r="L76"/>
  <c r="J76"/>
  <c r="L75"/>
  <c r="J75"/>
  <c r="K74"/>
  <c r="G74"/>
  <c r="L74" s="1"/>
  <c r="K73"/>
  <c r="L73" s="1"/>
  <c r="J73"/>
  <c r="G73"/>
  <c r="F73"/>
  <c r="K72"/>
  <c r="G72"/>
  <c r="L72" s="1"/>
  <c r="K71"/>
  <c r="L71" s="1"/>
  <c r="G71"/>
  <c r="K70"/>
  <c r="G70"/>
  <c r="L70" s="1"/>
  <c r="K69"/>
  <c r="L69" s="1"/>
  <c r="G69"/>
  <c r="K68"/>
  <c r="G68"/>
  <c r="L68" s="1"/>
  <c r="K67"/>
  <c r="L67" s="1"/>
  <c r="J67"/>
  <c r="G67"/>
  <c r="F67"/>
  <c r="K66"/>
  <c r="G66"/>
  <c r="L66" s="1"/>
  <c r="K65"/>
  <c r="L65" s="1"/>
  <c r="G65"/>
  <c r="K64"/>
  <c r="G64"/>
  <c r="L64" s="1"/>
  <c r="K63"/>
  <c r="L63" s="1"/>
  <c r="G63"/>
  <c r="K62"/>
  <c r="G62"/>
  <c r="L62" s="1"/>
  <c r="K61"/>
  <c r="L61" s="1"/>
  <c r="G61"/>
  <c r="K60"/>
  <c r="G60"/>
  <c r="L60" s="1"/>
  <c r="K59"/>
  <c r="L59" s="1"/>
  <c r="G59"/>
  <c r="K58"/>
  <c r="G58"/>
  <c r="L58" s="1"/>
  <c r="K57"/>
  <c r="L57" s="1"/>
  <c r="G57"/>
  <c r="K56"/>
  <c r="G56"/>
  <c r="L56" s="1"/>
  <c r="K55"/>
  <c r="L55" s="1"/>
  <c r="G55"/>
  <c r="K54"/>
  <c r="G54"/>
  <c r="G52" s="1"/>
  <c r="K52"/>
  <c r="L52" s="1"/>
  <c r="K51"/>
  <c r="G51"/>
  <c r="L51" s="1"/>
  <c r="K50"/>
  <c r="L50" s="1"/>
  <c r="K49"/>
  <c r="L49" s="1"/>
  <c r="G49"/>
  <c r="K48"/>
  <c r="G48"/>
  <c r="L48" s="1"/>
  <c r="K47"/>
  <c r="L47" s="1"/>
  <c r="J47"/>
  <c r="G47"/>
  <c r="G45" s="1"/>
  <c r="G10" s="1"/>
  <c r="K45"/>
  <c r="L41"/>
  <c r="K41"/>
  <c r="L40"/>
  <c r="K40"/>
  <c r="L39"/>
  <c r="K39"/>
  <c r="I38"/>
  <c r="K38" s="1"/>
  <c r="G38"/>
  <c r="G36"/>
  <c r="L35"/>
  <c r="L30"/>
  <c r="K30"/>
  <c r="K29"/>
  <c r="G29"/>
  <c r="L29" s="1"/>
  <c r="K28"/>
  <c r="L28" s="1"/>
  <c r="L25" s="1"/>
  <c r="G27"/>
  <c r="G25"/>
  <c r="K21"/>
  <c r="L21" s="1"/>
  <c r="J21"/>
  <c r="G21"/>
  <c r="K20"/>
  <c r="L20" s="1"/>
  <c r="G20"/>
  <c r="K19"/>
  <c r="G19"/>
  <c r="L19" s="1"/>
  <c r="K18"/>
  <c r="L18" s="1"/>
  <c r="J18"/>
  <c r="G18"/>
  <c r="K17"/>
  <c r="L17" s="1"/>
  <c r="J17"/>
  <c r="G17"/>
  <c r="K16"/>
  <c r="L16" s="1"/>
  <c r="G16"/>
  <c r="G14"/>
  <c r="K13"/>
  <c r="L13" s="1"/>
  <c r="K11"/>
  <c r="L11" s="1"/>
  <c r="G11"/>
  <c r="K36" l="1"/>
  <c r="L38"/>
  <c r="L36" s="1"/>
  <c r="L45"/>
  <c r="L54"/>
  <c r="K14"/>
  <c r="L14" s="1"/>
  <c r="L10" s="1"/>
  <c r="K25"/>
  <c r="J77"/>
  <c r="J80"/>
  <c r="J83"/>
  <c r="J85"/>
  <c r="J87"/>
  <c r="J89"/>
  <c r="J91"/>
  <c r="J96"/>
  <c r="J99"/>
  <c r="J103"/>
  <c r="J105"/>
  <c r="J107"/>
  <c r="J109"/>
  <c r="J111"/>
  <c r="J124"/>
  <c r="J126"/>
  <c r="K133"/>
  <c r="L133" s="1"/>
  <c r="K10" l="1"/>
  <c r="E11" i="55" l="1"/>
  <c r="G11"/>
  <c r="I11"/>
  <c r="L11"/>
  <c r="N11"/>
  <c r="P11"/>
  <c r="Q11" s="1"/>
  <c r="E12"/>
  <c r="G12"/>
  <c r="I12" s="1"/>
  <c r="L12"/>
  <c r="N12"/>
  <c r="P12"/>
  <c r="E13"/>
  <c r="G13"/>
  <c r="I13"/>
  <c r="L13"/>
  <c r="N13"/>
  <c r="P13" s="1"/>
  <c r="E14"/>
  <c r="G14"/>
  <c r="I14"/>
  <c r="L14"/>
  <c r="N14"/>
  <c r="P14" s="1"/>
  <c r="Q14" s="1"/>
  <c r="E15"/>
  <c r="G15"/>
  <c r="I15"/>
  <c r="L15"/>
  <c r="N15"/>
  <c r="P15" s="1"/>
  <c r="Q15" s="1"/>
  <c r="E16"/>
  <c r="G16"/>
  <c r="I16" s="1"/>
  <c r="L16"/>
  <c r="N16"/>
  <c r="P16"/>
  <c r="E17"/>
  <c r="G17"/>
  <c r="I17"/>
  <c r="L17"/>
  <c r="N17"/>
  <c r="P17" s="1"/>
  <c r="Q17" s="1"/>
  <c r="E18"/>
  <c r="G18"/>
  <c r="I18" s="1"/>
  <c r="L18"/>
  <c r="N18"/>
  <c r="P18"/>
  <c r="E19"/>
  <c r="G19"/>
  <c r="I19"/>
  <c r="L19"/>
  <c r="N19"/>
  <c r="P19" s="1"/>
  <c r="Q19" s="1"/>
  <c r="E20"/>
  <c r="G20"/>
  <c r="I20"/>
  <c r="L20"/>
  <c r="N20"/>
  <c r="P20" s="1"/>
  <c r="Q20" s="1"/>
  <c r="L21"/>
  <c r="N21"/>
  <c r="P21" s="1"/>
  <c r="Q21" s="1"/>
  <c r="E22"/>
  <c r="G22"/>
  <c r="H22"/>
  <c r="L22"/>
  <c r="N22"/>
  <c r="O22"/>
  <c r="H19" i="5"/>
  <c r="I19" s="1"/>
  <c r="H18"/>
  <c r="I18" s="1"/>
  <c r="H17"/>
  <c r="I17" s="1"/>
  <c r="H16"/>
  <c r="I16" s="1"/>
  <c r="H15"/>
  <c r="I15" s="1"/>
  <c r="H14"/>
  <c r="I14" s="1"/>
  <c r="H13"/>
  <c r="I13" s="1"/>
  <c r="H11"/>
  <c r="E11"/>
  <c r="D11"/>
  <c r="H10"/>
  <c r="I10" s="1"/>
  <c r="H9"/>
  <c r="I9" s="1"/>
  <c r="H8"/>
  <c r="I8" s="1"/>
  <c r="C17" i="52"/>
  <c r="T20"/>
  <c r="G18"/>
  <c r="F18"/>
  <c r="D17"/>
  <c r="E17" s="1"/>
  <c r="H17" s="1"/>
  <c r="T17" s="1"/>
  <c r="K15"/>
  <c r="J15"/>
  <c r="K14"/>
  <c r="J14"/>
  <c r="E14"/>
  <c r="H14" s="1"/>
  <c r="K13"/>
  <c r="L13" s="1"/>
  <c r="J13"/>
  <c r="E13"/>
  <c r="H13" s="1"/>
  <c r="K12"/>
  <c r="J12"/>
  <c r="E12"/>
  <c r="H12" s="1"/>
  <c r="T11"/>
  <c r="D18"/>
  <c r="Q18" i="55" l="1"/>
  <c r="Q16"/>
  <c r="Q12"/>
  <c r="P22"/>
  <c r="Q13"/>
  <c r="I22"/>
  <c r="Q22"/>
  <c r="I11" i="5"/>
  <c r="I20" s="1"/>
  <c r="H20"/>
  <c r="L12" i="52"/>
  <c r="L14"/>
  <c r="P14" s="1"/>
  <c r="Q14" s="1"/>
  <c r="T14" s="1"/>
  <c r="L15"/>
  <c r="M12"/>
  <c r="P12"/>
  <c r="Q12" s="1"/>
  <c r="M15"/>
  <c r="P15"/>
  <c r="Q15" s="1"/>
  <c r="T15" s="1"/>
  <c r="M13"/>
  <c r="P13"/>
  <c r="Q13" s="1"/>
  <c r="T13" s="1"/>
  <c r="H18"/>
  <c r="M14"/>
  <c r="E18"/>
  <c r="Q18" l="1"/>
  <c r="T12"/>
  <c r="T18" l="1"/>
  <c r="T24" s="1"/>
  <c r="T25" s="1"/>
</calcChain>
</file>

<file path=xl/sharedStrings.xml><?xml version="1.0" encoding="utf-8"?>
<sst xmlns="http://schemas.openxmlformats.org/spreadsheetml/2006/main" count="673" uniqueCount="251">
  <si>
    <t>Պահարան</t>
  </si>
  <si>
    <t>x</t>
  </si>
  <si>
    <t>NN</t>
  </si>
  <si>
    <t>1.1.</t>
  </si>
  <si>
    <t>2.2.</t>
  </si>
  <si>
    <t>2.3.</t>
  </si>
  <si>
    <t>Բյուջետային ծախսերի տնտեսագիտական դասակարգման հոդվածի</t>
  </si>
  <si>
    <t>կոդը</t>
  </si>
  <si>
    <t>անվանումը</t>
  </si>
  <si>
    <t>Էներգետիկ ծառայություններ</t>
  </si>
  <si>
    <t>Կապի ծառայություններ</t>
  </si>
  <si>
    <t>Համակարգչային ծառայություններ</t>
  </si>
  <si>
    <t>Մեքենաների և սարքավորումների ընթացիկ նորոգում և պահպանում</t>
  </si>
  <si>
    <t>Գրասենյակային նյութեր և հագուստ</t>
  </si>
  <si>
    <t>Հ Ա Շ Վ Ա Ր Կ</t>
  </si>
  <si>
    <t>Բաժանորդային վարձ</t>
  </si>
  <si>
    <t xml:space="preserve"> Հեռախոսային խոսակցություններ</t>
  </si>
  <si>
    <t xml:space="preserve">Փոքր ունակությամբ (PABX) հեռախոսակայան ներ չշահագործող մարմին ների սովորական հեռախո սի բաժանորդային վարձ (տարեկան) </t>
  </si>
  <si>
    <t xml:space="preserve">Փոքր ունակությամբ (PABX) հեռախոսակայան ներ շահագործող մարմին ների սովորական հեռախո սի բաժանորդային վարձ (տարեկան) </t>
  </si>
  <si>
    <t>Ընդամենը սովորական հեռախոսի բաժանորդային վարձ (տարեկան)</t>
  </si>
  <si>
    <t>քանակը</t>
  </si>
  <si>
    <t>(դրամ)</t>
  </si>
  <si>
    <t>(ս.6 x գինըx12) դրամ</t>
  </si>
  <si>
    <t xml:space="preserve">տեղական ելից հեռախոսային խոսակցություններ </t>
  </si>
  <si>
    <t xml:space="preserve"> (րոպե)</t>
  </si>
  <si>
    <t>դրամ</t>
  </si>
  <si>
    <t xml:space="preserve">Ընդամենը հեռախոսային խոսակցություն ների համար սահմանվող ամսական վճար </t>
  </si>
  <si>
    <t>Փոստային կապի ծառայություններ</t>
  </si>
  <si>
    <t>Հատուկ հեռախո սակապ</t>
  </si>
  <si>
    <t>Ընդամենը կապի ծառայությունների վճարներ (տարեկան)</t>
  </si>
  <si>
    <t>Հաստիքը  կամ  ստորաբաժանումը</t>
  </si>
  <si>
    <t>Պետական մարմին - ընդամենը աշխատողների թիվը</t>
  </si>
  <si>
    <t>Ղեկավար</t>
  </si>
  <si>
    <t>Տեխնիկական սպասարկում իրականացնող անձնակազմ</t>
  </si>
  <si>
    <t>Յուրաքանչյուր 4 կամ 5 միավորի համար մեկական հեռախոսագիծ (բացառությամբ տեխնիկական սպասարկողների)</t>
  </si>
  <si>
    <t>Ընդամենը</t>
  </si>
  <si>
    <t>հ/հ</t>
  </si>
  <si>
    <t>Համակար     գիչների քանակը  (հատ)</t>
  </si>
  <si>
    <t xml:space="preserve">Հզորությունը </t>
  </si>
  <si>
    <t>Շահագործ  ման ժամերի տարեկան քանակը</t>
  </si>
  <si>
    <t>Շենքերի և շինություն ների մակերեսը (քառ/մետր)</t>
  </si>
  <si>
    <t>Տարեկան ծախսի նորմը (կվտ.ժ)</t>
  </si>
  <si>
    <t>Ընդամենը  տարեկան ծախսի նորմը (կվտ.ժ)</t>
  </si>
  <si>
    <t>Ընդամենը էլեկտրաէներ  գիայի ծախս               (հազ. դրամ)</t>
  </si>
  <si>
    <t xml:space="preserve"> Այլ հատուկ սարքեր /վերելակներ, ներքին հեռախոսակայաններ, արտաքին լուսավորություն և այլն/</t>
  </si>
  <si>
    <t>Լուսավորության և կենցաղային սարքերի ծախսի, առանց օդի լավորակման դեպքում` շենքերի և շինությունների 1 քառ/մետր մակերեսի համար</t>
  </si>
  <si>
    <t>Համակարգիչների` 1 հատի համար, որը ներառում է տպիչ սարքերի և այլ կազմտեխնիկայի ծախսը, 8-ժամյա աշխատանքային օրվա համար</t>
  </si>
  <si>
    <t>այդ թվում`</t>
  </si>
  <si>
    <t>Չափի միավորը</t>
  </si>
  <si>
    <t>Մեկ միավորի գինը կամ սակագինը (դրամով)</t>
  </si>
  <si>
    <t>Ընդհանուր գումարը            (հազ. դրամով)</t>
  </si>
  <si>
    <t>այդ թվում` ըստ առանձին ապրանքների, ծառայությունների և աշխատանքների</t>
  </si>
  <si>
    <t>Լազերային  տպիչի  փոշի (տոներ)</t>
  </si>
  <si>
    <t xml:space="preserve">Սոսինձ` չոր </t>
  </si>
  <si>
    <t>Բաղադրանյութ  (շտրիխ)</t>
  </si>
  <si>
    <t xml:space="preserve">Թղթապանակ </t>
  </si>
  <si>
    <t xml:space="preserve">Ռետին (լաստիկ) </t>
  </si>
  <si>
    <t>Թուղթ օֆսեթային</t>
  </si>
  <si>
    <t xml:space="preserve">Թուղթ ֆաքսի </t>
  </si>
  <si>
    <t>Ծրար</t>
  </si>
  <si>
    <t>Նոթատետր</t>
  </si>
  <si>
    <t>Թղթապանակ  (ռեգիստրատոր)</t>
  </si>
  <si>
    <t xml:space="preserve">Նշումների թուղթ </t>
  </si>
  <si>
    <t xml:space="preserve">Կարիչի  մետաղալարե կապեր </t>
  </si>
  <si>
    <t xml:space="preserve">Ապակարիչ </t>
  </si>
  <si>
    <t>Կարիչ  (Ստեպլեր )</t>
  </si>
  <si>
    <t>Հաշվասարք (կալկուլյատոր)</t>
  </si>
  <si>
    <t xml:space="preserve">Գրիչ </t>
  </si>
  <si>
    <t>Գծանշիչ  (մարկեր)</t>
  </si>
  <si>
    <t>Դակիչ (ծակոտիչ)</t>
  </si>
  <si>
    <t>Տրանսպորտային նյութեր</t>
  </si>
  <si>
    <t>Ներկայացուցչական ծախսեր</t>
  </si>
  <si>
    <t>լիտր</t>
  </si>
  <si>
    <t>Կենցաղային և հանրային սննդի նյութեր</t>
  </si>
  <si>
    <t>Էլեկտրաէներգիայի բաշխման ծառայություններ</t>
  </si>
  <si>
    <t>2.4.</t>
  </si>
  <si>
    <t>2.5.</t>
  </si>
  <si>
    <t>Աթոռ</t>
  </si>
  <si>
    <t>Շարժական հեռախոսակապի ծառայություններ</t>
  </si>
  <si>
    <t>հատ</t>
  </si>
  <si>
    <t>կգ</t>
  </si>
  <si>
    <t>տուփ</t>
  </si>
  <si>
    <t>Կոնեկտոր</t>
  </si>
  <si>
    <t>Մալուխ</t>
  </si>
  <si>
    <t>մետր</t>
  </si>
  <si>
    <t>12*</t>
  </si>
  <si>
    <t>12.1.</t>
  </si>
  <si>
    <t>Տրանսպորտային սարքավորումներ</t>
  </si>
  <si>
    <t>13*</t>
  </si>
  <si>
    <t>Վարչական սարքավորումներ</t>
  </si>
  <si>
    <t xml:space="preserve">Մանիտոր Սամսունգ 19 ԼՍԴ(Samsunng 19) «կամ համարժեք» </t>
  </si>
  <si>
    <t>Անխափան սնուցման սարք</t>
  </si>
  <si>
    <t xml:space="preserve">Քաթրիջ CB436A «կամ համարժեք» </t>
  </si>
  <si>
    <t xml:space="preserve">Քաթրիջ Q 2612A «կամ համարժեք» </t>
  </si>
  <si>
    <t xml:space="preserve">Քաթրիջ FX-10 «կամ համարժեք» </t>
  </si>
  <si>
    <t>Ñ³ï</t>
  </si>
  <si>
    <t>Հեղուկ օճառ</t>
  </si>
  <si>
    <t>Էլեկտրական երկարացման լար</t>
  </si>
  <si>
    <t>Գրասենյակային պիտույքների (սեղանի) հավաքածու</t>
  </si>
  <si>
    <t>Ծրագրային ապահովման ծառայություններ` (Հաշվապահական ծրագիր)</t>
  </si>
  <si>
    <t>Հեռախոս</t>
  </si>
  <si>
    <t>Թմբուկ լազերային տպիչիների համար</t>
  </si>
  <si>
    <t>Ջերմաժապավեն լազերային տպիչիների համար</t>
  </si>
  <si>
    <t>Ֆոտոթմբուկ լազերային տպիչիների համար</t>
  </si>
  <si>
    <t>2.6.</t>
  </si>
  <si>
    <t>Ներքին հեռախոսակայաններ</t>
  </si>
  <si>
    <t>Սերվեր,համակարգիչ, սվիչներ</t>
  </si>
  <si>
    <t>Օդորակիչ / շուրջօրյա աշխատող սերվերի համար/</t>
  </si>
  <si>
    <t>Ջրի ապարատներ</t>
  </si>
  <si>
    <t>&lt;&lt;Իրտեկ&gt;&gt; համակարգի սպասարկում</t>
  </si>
  <si>
    <t>Գրասենյակային  գիրք</t>
  </si>
  <si>
    <t>Մագնիսական գլանակ տպիչների համար</t>
  </si>
  <si>
    <t>Ռետինե գլանակ տպիչների համար</t>
  </si>
  <si>
    <t xml:space="preserve">Օդաճնշական դողեր </t>
  </si>
  <si>
    <t>Անձեռոցիկ սեղանի գունավոր</t>
  </si>
  <si>
    <t>Անձեռոցիկ սանիտարական</t>
  </si>
  <si>
    <t>Օդափոխիչ</t>
  </si>
  <si>
    <t>Օրացույց պատի</t>
  </si>
  <si>
    <t>Աղբաման</t>
  </si>
  <si>
    <t>Էլեկտրական շիկացման լամպ</t>
  </si>
  <si>
    <t>Սանհանգույցի պահեստամասեր</t>
  </si>
  <si>
    <t>ՀԱՆՐԱԳՈՒՄԱՐ</t>
  </si>
  <si>
    <t xml:space="preserve">միջքաղաքային և դեպի բջջային ցանց ելից հեռախոսային խոսակցություններ, այդ թվումª ֆաքսիմիլային  միջքաղաքային հաղորդագրություններ </t>
  </si>
  <si>
    <t xml:space="preserve">միջքաղաքային ելից հեռախոսային  խոսակցություններ, այդ թվումª ֆաքսի միլային  միջքաղա քային հաղորդա գրություններ </t>
  </si>
  <si>
    <t xml:space="preserve">Հեռախոսային խոսակցություն ների տարեկան սահմանաչափ </t>
  </si>
  <si>
    <t>Ղեկավարի տեղակալ /անդամներ/</t>
  </si>
  <si>
    <t>Աշխատակազմի առանձնացված ստորաբաժանման ղեկավար</t>
  </si>
  <si>
    <t>Աշխատակազմի վարչություն /քարտուղարություն/</t>
  </si>
  <si>
    <t>Կապի այլ ծառայություններ /թվարկել և ներկայացնել պայմանագրերը/</t>
  </si>
  <si>
    <t xml:space="preserve"> - ՙԻնտերնետ՚ ցանցի մուտքի ապահովման ծառայություններ</t>
  </si>
  <si>
    <t>Հաղորդակցական ցանցերի և փոխկապակցված համակարգչային սարքավորանքի կառավարման ծառայություններ</t>
  </si>
  <si>
    <t>Ծրագրային ապահովման այլ բնօրինակներ</t>
  </si>
  <si>
    <t>Քանակը (ծավալը)</t>
  </si>
  <si>
    <t>2.1.</t>
  </si>
  <si>
    <t>Փոստային ծառայություններ, մատուցվող համակողմանի պայմանագրի հիման վրա և կապված նամակագրության հետ</t>
  </si>
  <si>
    <t>Ֆիքսված հեռախոսակապի ծառայություններ` մուտք և օգտագործում</t>
  </si>
  <si>
    <t>Լարային ցանցով համացանց (ինտերնետ) լայնաշերտ մուտքի տրամադրման ծառայություններ</t>
  </si>
  <si>
    <t>Շարժական հեռահաղորդակցական կապի ծառայություններ` մուտք և օգտագործում</t>
  </si>
  <si>
    <t>Ջուր շշալցված /կուլեռ/</t>
  </si>
  <si>
    <t>Մարդատար ավտոմեքենաների ընթացիկ տեխնիկական սպասարկման և նորոգման ծառայություններ</t>
  </si>
  <si>
    <t xml:space="preserve">Ավտոտրանսպորտային միջոցների լվացման, փայլեցման և համանման այլ  նորոգման ծառայություններ </t>
  </si>
  <si>
    <t>Գրասենյակային մեքենաների և սարքավորանքի (բացի համակարգիչներից և ծայրամասային սարքավորանքից) նորոգման և տեխնիկական սպասարկման ծառայություններ</t>
  </si>
  <si>
    <t xml:space="preserve">Կնիքի թանաք </t>
  </si>
  <si>
    <t>Թղթապանակ (արագակար)</t>
  </si>
  <si>
    <t>Թղթապանակ (ֆայլ)</t>
  </si>
  <si>
    <t xml:space="preserve">Նշումների թուղթ  </t>
  </si>
  <si>
    <t>Ամրակ (փոքր)</t>
  </si>
  <si>
    <t>Ամրակ (մեծ)</t>
  </si>
  <si>
    <t>Բենզին &lt;&lt;Պրեմիում&gt;&gt;</t>
  </si>
  <si>
    <t>Սեղանը մաքրելու լաթ</t>
  </si>
  <si>
    <t>Թուղթ զուգարանի (արտասահմանյան արտադրության)</t>
  </si>
  <si>
    <t>Անձեռոցիկ սեղանի</t>
  </si>
  <si>
    <t>Թղթե սրբիչ</t>
  </si>
  <si>
    <t>Աղբի պոլիէթիլենային տոպրակ</t>
  </si>
  <si>
    <t>փաթեթ</t>
  </si>
  <si>
    <t>Մարդատար ավտոմեքենա 10-12 նստատեղով</t>
  </si>
  <si>
    <t>Համակարգիչ` I-3  կամ համանման</t>
  </si>
  <si>
    <t>Տպիչներ</t>
  </si>
  <si>
    <t xml:space="preserve">հազ. դրամ </t>
  </si>
  <si>
    <t>Գիշերավարձ</t>
  </si>
  <si>
    <t>Գործուղման վայրեր</t>
  </si>
  <si>
    <t>Գործուղման տևողությունը</t>
  </si>
  <si>
    <t>Գործուղման մեկնողների թիվը</t>
  </si>
  <si>
    <t>Օրապահիկ</t>
  </si>
  <si>
    <t>Վճարը 1 օրվա համար</t>
  </si>
  <si>
    <t>Ճանապարհածախսը  1 անձի համար մեկ ուղղությամբ</t>
  </si>
  <si>
    <t>Ընդամենը ծախսեր</t>
  </si>
  <si>
    <t>Ճանապարհածախս              1 անձի համար մեկ ուղղությամբ</t>
  </si>
  <si>
    <t>ՀՀ Արագածոտնի մարզ</t>
  </si>
  <si>
    <t>ՀՀ Գեղարքունիքի մարզ</t>
  </si>
  <si>
    <t>ՀՀ  Շիրակի  մարզ</t>
  </si>
  <si>
    <t>ՀՀ  Լոռու մարզ</t>
  </si>
  <si>
    <t>ՀՀ Արարատի մարզ</t>
  </si>
  <si>
    <t>ՀՀ Սյունիքի մարզ</t>
  </si>
  <si>
    <t>ՀՀ Արմավիրի մարզ</t>
  </si>
  <si>
    <t>ՀՀ Կոտայքի  մարզ</t>
  </si>
  <si>
    <t>ՀՀ Վայոց Ձորի  մարզ</t>
  </si>
  <si>
    <t>ՀՀ Տավուշի մարզ</t>
  </si>
  <si>
    <t>Աղյուսակ N 1</t>
  </si>
  <si>
    <t xml:space="preserve">ՀՀ ՔՆ &lt;&lt;Քաղաքաշինական ԾԻԳ&gt;&gt; ՊՀ-ի 2013 թվականի էլեկտրաէներգիայի ծախսերի </t>
  </si>
  <si>
    <t>Աղյուսակ N 2</t>
  </si>
  <si>
    <t>ՀՀ ՔՆ &lt;&lt;Քաղաքաշինական ԾԻԳ&gt;&gt; ՊՀ-ի  2013 թվականի  կապի ծառայությունների  վճարների</t>
  </si>
  <si>
    <t>Աղյուսակ N 3</t>
  </si>
  <si>
    <t>Պլաստիկ բաժակներ</t>
  </si>
  <si>
    <t xml:space="preserve"> Աղբյուրի ջուր &lt;&lt; Բյուրեղ&gt;&gt; 19լ (պ/էթ, վերադարձվող տարայով)</t>
  </si>
  <si>
    <t xml:space="preserve"> Աղբյուրի ջուր &lt;&lt; Բյուրեղ&gt;&gt; 0,5լ պ/էթ, շշերով</t>
  </si>
  <si>
    <t>Աղյուսակ N 4</t>
  </si>
  <si>
    <t>ՀՀ ՔՆ &lt;&lt;Քաղաքաշինական ԾԻԳ&gt;&gt; ՊՀ-ի  2013 թվականի գործուղման ծախսերի</t>
  </si>
  <si>
    <t>ՀՀ ՔՆ &lt;&lt;Քաղաքաշինական ԾԻԳ&gt;&gt; ՊՀ-ի  2013 թվականի գնման ենթակա ապրանքներ, աշխատանքներ և ծառայությունների</t>
  </si>
  <si>
    <t>2013թ. անհրաժեշտ</t>
  </si>
  <si>
    <t>3.1.</t>
  </si>
  <si>
    <t>3.3.</t>
  </si>
  <si>
    <t>2013թ. Հաստատված</t>
  </si>
  <si>
    <t>Հանրագումար</t>
  </si>
  <si>
    <t>հազար դրամ</t>
  </si>
  <si>
    <t>2013թ. անհրաժեշտ գումար</t>
  </si>
  <si>
    <t>Լուսավորության և կենցաղային սարքերի ծախսի, օդի լավորակման դեպքում` շենքերի և շինությունների 1քառ/մետր մակերեսի համար</t>
  </si>
  <si>
    <t>Պատրաստի համակարգչային ծրագրային ապահովման ծառայություններ</t>
  </si>
  <si>
    <t>Համակարգիչների և ծայրամասային սարքավորանքի տեխնիակական սպասարկման ծառայություններ</t>
  </si>
  <si>
    <t>Համակարգիչների հետ կապված այլ մասնագիտական  ծառայություններ</t>
  </si>
  <si>
    <t>Շտամպի, բարձիկի թանաք</t>
  </si>
  <si>
    <t>Թուղթ  /A4 ֆորմատի (21x29.7)/</t>
  </si>
  <si>
    <t>Ծրար (նամակի ծրար)</t>
  </si>
  <si>
    <t>Ծրար (մեծ, A4 ֆորմատի համար)</t>
  </si>
  <si>
    <t>Գրասենյակային գիրք, մատյան</t>
  </si>
  <si>
    <t>Սոսինձ (էմուլսիա)</t>
  </si>
  <si>
    <t>Պոլիմերային ինքնակպչուն ժապավեն (սկոչ-48մմ х 100մ )</t>
  </si>
  <si>
    <t>Պոլիմերային ինքնակպչուն ժապավեն (սկոչ-19X36)</t>
  </si>
  <si>
    <t>Գրիչ (գնդիկավոր)</t>
  </si>
  <si>
    <t>Գրիչ (գելային)</t>
  </si>
  <si>
    <t>Թուղթ նշումների համար</t>
  </si>
  <si>
    <t>Կարիչի  մետաղալարե կապեր /փոքր/</t>
  </si>
  <si>
    <t>Կարիչի  մետաղալարե կապեր  /միջին/</t>
  </si>
  <si>
    <t>Ամրակ (մետաղյա փոքր)</t>
  </si>
  <si>
    <t>Ամրակ (մետաղյա մեծ)</t>
  </si>
  <si>
    <t>Սրիչ (սովորական )</t>
  </si>
  <si>
    <t>Սեղմակ (կլիպս փոքր)</t>
  </si>
  <si>
    <t xml:space="preserve">Սեղմակ (կլիպս միջին) </t>
  </si>
  <si>
    <t>Սեղմակ (կլիպս մեծ)</t>
  </si>
  <si>
    <t>Մկնիկ (լարով)</t>
  </si>
  <si>
    <t>Մկնիկ (անլար)</t>
  </si>
  <si>
    <t>Սկավառակներ, CD</t>
  </si>
  <si>
    <t>Սկավառակներ,  DVD</t>
  </si>
  <si>
    <t>Կրիչ  (ֆլեշ 8 GB)</t>
  </si>
  <si>
    <t>Քանոն  ( պլաստիկ )</t>
  </si>
  <si>
    <t>Գրաֆիտե միջուկ</t>
  </si>
  <si>
    <t>էջաբաժանիչ (թղթե)</t>
  </si>
  <si>
    <t>Մկրատ (գրասենյակային)</t>
  </si>
  <si>
    <t>Մատիտ մեխանիկական</t>
  </si>
  <si>
    <t>Օճառ ձեռքի</t>
  </si>
  <si>
    <t>Թուղթ զուգարանի</t>
  </si>
  <si>
    <t>Թղթյա սրբիչ</t>
  </si>
  <si>
    <t>Զամբյուղ (աղբարկղ) մետաղյա</t>
  </si>
  <si>
    <t>Էլեկտրական լամպ</t>
  </si>
  <si>
    <t>Թղթապանակ (կոշտ կազմով)</t>
  </si>
  <si>
    <t>Նշումների թուղթ (տրացկաներով)</t>
  </si>
  <si>
    <t xml:space="preserve"> Մատիտ գրաֆիտե միջուկով (սովորական)</t>
  </si>
  <si>
    <t>Կարիչ (ստեպլեր 20 թերթի համար)</t>
  </si>
  <si>
    <t>Կարիչ (ստեպլեր 20-ից մինչև 30 թերթի համար)</t>
  </si>
  <si>
    <t>Կարիչ (ստեպլեր 30-ից մինչև 50 թերթի համար)</t>
  </si>
  <si>
    <t>Սառնարաններ</t>
  </si>
  <si>
    <t>Հեռուստացույց</t>
  </si>
  <si>
    <t>Օդորակիչներ /աշխատասենյակների ջեռուցման նպատակով/</t>
  </si>
  <si>
    <t>-</t>
  </si>
  <si>
    <t xml:space="preserve">Սույն որոշմամբ պահանջվող գումար </t>
  </si>
  <si>
    <t>2013թ. ՀՀ պետական բյուջեով հաստատված գումար</t>
  </si>
  <si>
    <t>2013թ. անհրաժեշտ և  2013թ. հաստատվածի տարբերությունը</t>
  </si>
  <si>
    <t>3,2,</t>
  </si>
  <si>
    <t>3.4.</t>
  </si>
  <si>
    <t>3,5,</t>
  </si>
  <si>
    <t>Սերվերների օպերացիոն համակարգերի ծրագրային ապահովման արդիականության պահպանում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</si>
</sst>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0.000"/>
    <numFmt numFmtId="167" formatCode="#,##0.0"/>
    <numFmt numFmtId="168" formatCode="_(* #,##0_);_(* \(#,##0\);_(* &quot;-&quot;??_);_(@_)"/>
  </numFmts>
  <fonts count="29">
    <font>
      <sz val="10"/>
      <name val="Arial"/>
    </font>
    <font>
      <sz val="8"/>
      <name val="Arial"/>
      <family val="2"/>
    </font>
    <font>
      <sz val="9.5"/>
      <name val="GHEA Grapalat"/>
      <family val="3"/>
    </font>
    <font>
      <b/>
      <sz val="12"/>
      <color indexed="10"/>
      <name val="GHEA Grapalat"/>
      <family val="3"/>
    </font>
    <font>
      <b/>
      <sz val="11"/>
      <color indexed="10"/>
      <name val="GHEA Grapalat"/>
      <family val="3"/>
    </font>
    <font>
      <b/>
      <sz val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b/>
      <i/>
      <sz val="8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9"/>
      <color indexed="8"/>
      <name val="GHEA Grapalat"/>
      <family val="3"/>
    </font>
    <font>
      <sz val="8"/>
      <color indexed="8"/>
      <name val="GHEA Grapalat"/>
      <family val="3"/>
    </font>
    <font>
      <b/>
      <i/>
      <sz val="10"/>
      <color indexed="8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b/>
      <i/>
      <sz val="11"/>
      <name val="GHEA Grapalat"/>
      <family val="3"/>
    </font>
    <font>
      <i/>
      <sz val="11"/>
      <name val="GHEA Grapalat"/>
      <family val="3"/>
    </font>
    <font>
      <b/>
      <u/>
      <sz val="10"/>
      <name val="GHEA Grapalat"/>
      <family val="3"/>
    </font>
    <font>
      <sz val="11"/>
      <color indexed="8"/>
      <name val="GHEA Grapalat"/>
      <family val="3"/>
    </font>
    <font>
      <b/>
      <i/>
      <sz val="10"/>
      <name val="GHEA Grapalat"/>
      <family val="3"/>
    </font>
    <font>
      <sz val="10"/>
      <name val="Arial Armenian"/>
      <family val="2"/>
    </font>
    <font>
      <i/>
      <sz val="9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Continuous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Continuous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6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Continuous" wrapText="1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/>
    <xf numFmtId="0" fontId="8" fillId="0" borderId="1" xfId="0" applyFont="1" applyBorder="1" applyAlignment="1">
      <alignment horizontal="centerContinuous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Continuous" wrapText="1"/>
    </xf>
    <xf numFmtId="0" fontId="9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/>
    <xf numFmtId="0" fontId="9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center"/>
    </xf>
    <xf numFmtId="168" fontId="9" fillId="0" borderId="1" xfId="1" applyNumberFormat="1" applyFont="1" applyBorder="1" applyAlignment="1">
      <alignment wrapText="1"/>
    </xf>
    <xf numFmtId="0" fontId="5" fillId="2" borderId="0" xfId="0" applyFont="1" applyFill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5" fontId="19" fillId="4" borderId="2" xfId="0" applyNumberFormat="1" applyFont="1" applyFill="1" applyBorder="1" applyAlignment="1">
      <alignment horizontal="center" vertical="center"/>
    </xf>
    <xf numFmtId="165" fontId="19" fillId="4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67" fontId="10" fillId="0" borderId="1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165" fontId="10" fillId="6" borderId="1" xfId="0" applyNumberFormat="1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0" fillId="6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0" fillId="0" borderId="4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5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8" fillId="0" borderId="4" xfId="0" applyFont="1" applyBorder="1" applyAlignment="1">
      <alignment horizontal="centerContinuous" wrapText="1"/>
    </xf>
    <xf numFmtId="0" fontId="8" fillId="0" borderId="8" xfId="0" applyFont="1" applyBorder="1" applyAlignment="1">
      <alignment horizontal="centerContinuous" wrapText="1"/>
    </xf>
    <xf numFmtId="0" fontId="8" fillId="0" borderId="7" xfId="0" applyFont="1" applyBorder="1" applyAlignment="1">
      <alignment horizontal="centerContinuous" wrapText="1"/>
    </xf>
    <xf numFmtId="0" fontId="8" fillId="0" borderId="4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0" fontId="6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13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Continuous" wrapText="1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/>
    </xf>
    <xf numFmtId="0" fontId="6" fillId="3" borderId="0" xfId="0" applyFont="1" applyFill="1"/>
    <xf numFmtId="0" fontId="9" fillId="0" borderId="1" xfId="0" applyFont="1" applyBorder="1" applyAlignment="1">
      <alignment horizontal="left" wrapText="1"/>
    </xf>
    <xf numFmtId="168" fontId="6" fillId="0" borderId="10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Continuous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7" fillId="0" borderId="0" xfId="0" applyFont="1"/>
    <xf numFmtId="0" fontId="1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0" borderId="0" xfId="0" applyFont="1"/>
    <xf numFmtId="0" fontId="10" fillId="0" borderId="1" xfId="0" applyFont="1" applyBorder="1" applyAlignment="1">
      <alignment horizontal="center" vertical="center" wrapText="1"/>
    </xf>
    <xf numFmtId="1" fontId="10" fillId="6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Continuous" wrapText="1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Continuous"/>
    </xf>
    <xf numFmtId="0" fontId="23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 wrapText="1"/>
    </xf>
    <xf numFmtId="0" fontId="15" fillId="2" borderId="0" xfId="0" applyFont="1" applyFill="1" applyAlignment="1">
      <alignment horizontal="centerContinuous"/>
    </xf>
    <xf numFmtId="0" fontId="22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"/>
    </xf>
    <xf numFmtId="165" fontId="15" fillId="2" borderId="0" xfId="0" applyNumberFormat="1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6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165" fontId="26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7" borderId="4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Continuous" wrapText="1"/>
    </xf>
    <xf numFmtId="0" fontId="6" fillId="7" borderId="8" xfId="0" applyFont="1" applyFill="1" applyBorder="1" applyAlignment="1">
      <alignment horizontal="centerContinuous"/>
    </xf>
    <xf numFmtId="0" fontId="11" fillId="7" borderId="8" xfId="0" applyFont="1" applyFill="1" applyBorder="1" applyAlignment="1">
      <alignment horizontal="centerContinuous"/>
    </xf>
    <xf numFmtId="165" fontId="6" fillId="7" borderId="8" xfId="0" applyNumberFormat="1" applyFont="1" applyFill="1" applyBorder="1" applyAlignment="1">
      <alignment horizontal="centerContinuous"/>
    </xf>
    <xf numFmtId="165" fontId="20" fillId="7" borderId="5" xfId="0" applyNumberFormat="1" applyFont="1" applyFill="1" applyBorder="1" applyAlignment="1">
      <alignment horizontal="center"/>
    </xf>
    <xf numFmtId="49" fontId="20" fillId="7" borderId="8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vertical="center" wrapText="1"/>
    </xf>
    <xf numFmtId="2" fontId="19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6" borderId="4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165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165" fontId="9" fillId="0" borderId="23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28" fillId="2" borderId="22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28" fillId="0" borderId="21" xfId="0" applyFont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5" fontId="6" fillId="0" borderId="0" xfId="0" applyNumberFormat="1" applyFont="1"/>
    <xf numFmtId="16" fontId="10" fillId="0" borderId="1" xfId="0" applyNumberFormat="1" applyFont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zoyan%20Armine.TSIG/Documents/15/New%20Form_2014-2016-Armi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svod"/>
      <sheetName val="2yntacik caxser"/>
      <sheetName val="4verabashxunner"/>
      <sheetName val="3kapital caxser"/>
      <sheetName val="5KAP"/>
      <sheetName val="6dat.postajin"/>
      <sheetName val="7dat.kap"/>
      <sheetName val="8energi 1"/>
      <sheetName val="9energi 2"/>
      <sheetName val="10gerucum 3"/>
      <sheetName val="11gorcuxum"/>
      <sheetName val="12avtomeqena"/>
      <sheetName val="13varch.sarq"/>
      <sheetName val="14gnumner"/>
      <sheetName val="15hagust"/>
      <sheetName val="16karucv"/>
      <sheetName val="17hast.cucak"/>
      <sheetName val="18naxararutjun"/>
      <sheetName val="19 AGN"/>
      <sheetName val="20hark.max."/>
      <sheetName val="21harkadir"/>
      <sheetName val="22datav."/>
      <sheetName val="23dat.car"/>
      <sheetName val="24dat.karg"/>
      <sheetName val="25dataxaz"/>
      <sheetName val="26pet.car"/>
      <sheetName val="27hatuk.qnnchak"/>
      <sheetName val="28hat.car.ashx"/>
      <sheetName val="29hast.ampop"/>
      <sheetName val="30mij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0">
          <cell r="H30">
            <v>604800</v>
          </cell>
        </row>
        <row r="34">
          <cell r="T34">
            <v>324000</v>
          </cell>
        </row>
        <row r="35">
          <cell r="T35">
            <v>3090000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opLeftCell="A7" workbookViewId="0">
      <selection activeCell="I20" sqref="I20"/>
    </sheetView>
  </sheetViews>
  <sheetFormatPr defaultRowHeight="13.5"/>
  <cols>
    <col min="1" max="1" width="4.28515625" style="5" customWidth="1"/>
    <col min="2" max="2" width="30.7109375" style="32" customWidth="1"/>
    <col min="3" max="3" width="8.28515625" style="32" customWidth="1"/>
    <col min="4" max="5" width="10" style="32" customWidth="1"/>
    <col min="6" max="6" width="9.140625" style="30"/>
    <col min="7" max="7" width="8" style="32" customWidth="1"/>
    <col min="8" max="8" width="11.85546875" style="30" customWidth="1"/>
    <col min="9" max="9" width="12.140625" style="5" customWidth="1"/>
    <col min="10" max="16384" width="9.140625" style="6"/>
  </cols>
  <sheetData>
    <row r="1" spans="1:14">
      <c r="A1" s="1"/>
      <c r="B1" s="4"/>
      <c r="C1" s="4"/>
      <c r="F1" s="4"/>
      <c r="G1" s="4"/>
      <c r="H1" s="11"/>
      <c r="I1" s="155" t="s">
        <v>178</v>
      </c>
      <c r="J1" s="14"/>
      <c r="K1" s="5"/>
      <c r="L1" s="5"/>
      <c r="M1" s="5"/>
      <c r="N1" s="5"/>
    </row>
    <row r="2" spans="1:14">
      <c r="B2" s="4"/>
      <c r="C2" s="4"/>
      <c r="F2" s="4"/>
      <c r="G2" s="4"/>
      <c r="H2" s="156"/>
      <c r="I2" s="156"/>
      <c r="J2" s="156"/>
      <c r="K2" s="5"/>
      <c r="L2" s="5"/>
      <c r="M2" s="5"/>
      <c r="N2" s="5"/>
    </row>
    <row r="3" spans="1:14" s="134" customFormat="1" ht="16.5">
      <c r="A3" s="142"/>
      <c r="B3" s="145" t="s">
        <v>14</v>
      </c>
      <c r="C3" s="141"/>
      <c r="D3" s="141"/>
      <c r="E3" s="141"/>
      <c r="F3" s="141"/>
      <c r="G3" s="141"/>
      <c r="H3" s="141"/>
      <c r="I3" s="142"/>
    </row>
    <row r="4" spans="1:14" s="134" customFormat="1" ht="33">
      <c r="A4" s="142"/>
      <c r="B4" s="141" t="s">
        <v>179</v>
      </c>
      <c r="C4" s="141"/>
      <c r="D4" s="141"/>
      <c r="E4" s="141"/>
      <c r="F4" s="141"/>
      <c r="G4" s="141"/>
      <c r="H4" s="141"/>
      <c r="I4" s="142"/>
    </row>
    <row r="5" spans="1:14">
      <c r="A5" s="13"/>
      <c r="B5" s="36"/>
      <c r="C5" s="36"/>
      <c r="D5" s="36"/>
      <c r="E5" s="36"/>
      <c r="F5" s="33"/>
      <c r="G5" s="36"/>
      <c r="H5" s="33"/>
      <c r="I5" s="13"/>
    </row>
    <row r="6" spans="1:14" s="10" customFormat="1" ht="63.75">
      <c r="A6" s="37"/>
      <c r="B6" s="42"/>
      <c r="C6" s="186" t="s">
        <v>37</v>
      </c>
      <c r="D6" s="186" t="s">
        <v>38</v>
      </c>
      <c r="E6" s="186" t="s">
        <v>39</v>
      </c>
      <c r="F6" s="186" t="s">
        <v>40</v>
      </c>
      <c r="G6" s="187" t="s">
        <v>41</v>
      </c>
      <c r="H6" s="187" t="s">
        <v>42</v>
      </c>
      <c r="I6" s="188" t="s">
        <v>43</v>
      </c>
    </row>
    <row r="7" spans="1:14" s="10" customFormat="1" ht="12.75">
      <c r="A7" s="28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28">
        <v>9</v>
      </c>
    </row>
    <row r="8" spans="1:14" ht="55.5" customHeight="1">
      <c r="A8" s="28">
        <v>1</v>
      </c>
      <c r="B8" s="26" t="s">
        <v>196</v>
      </c>
      <c r="C8" s="34" t="s">
        <v>1</v>
      </c>
      <c r="D8" s="34" t="s">
        <v>1</v>
      </c>
      <c r="E8" s="34" t="s">
        <v>1</v>
      </c>
      <c r="F8" s="40">
        <v>425</v>
      </c>
      <c r="G8" s="34">
        <v>29.32</v>
      </c>
      <c r="H8" s="79">
        <f>F8*G8</f>
        <v>12461</v>
      </c>
      <c r="I8" s="79">
        <f>H8*0.03</f>
        <v>373.83</v>
      </c>
    </row>
    <row r="9" spans="1:14" ht="67.5">
      <c r="A9" s="28">
        <v>2</v>
      </c>
      <c r="B9" s="26" t="s">
        <v>45</v>
      </c>
      <c r="C9" s="34" t="s">
        <v>1</v>
      </c>
      <c r="D9" s="34" t="s">
        <v>1</v>
      </c>
      <c r="E9" s="34" t="s">
        <v>1</v>
      </c>
      <c r="F9" s="40">
        <v>334</v>
      </c>
      <c r="G9" s="34">
        <v>21.4</v>
      </c>
      <c r="H9" s="79">
        <f>F9*G9</f>
        <v>7147.5999999999995</v>
      </c>
      <c r="I9" s="79">
        <f>H9*0.03</f>
        <v>214.42799999999997</v>
      </c>
    </row>
    <row r="10" spans="1:14" ht="67.5">
      <c r="A10" s="28">
        <v>3</v>
      </c>
      <c r="B10" s="26" t="s">
        <v>46</v>
      </c>
      <c r="C10" s="34">
        <v>30</v>
      </c>
      <c r="D10" s="34" t="s">
        <v>1</v>
      </c>
      <c r="E10" s="34" t="s">
        <v>1</v>
      </c>
      <c r="F10" s="34" t="s">
        <v>1</v>
      </c>
      <c r="G10" s="34">
        <v>1100</v>
      </c>
      <c r="H10" s="80">
        <f>C10*G10</f>
        <v>33000</v>
      </c>
      <c r="I10" s="79">
        <f>H10*0.03-0.4</f>
        <v>989.6</v>
      </c>
    </row>
    <row r="11" spans="1:14" ht="40.5">
      <c r="A11" s="28">
        <v>4</v>
      </c>
      <c r="B11" s="26" t="s">
        <v>44</v>
      </c>
      <c r="C11" s="34"/>
      <c r="D11" s="80">
        <f>SUM(D13:D19)</f>
        <v>8.49</v>
      </c>
      <c r="E11" s="80">
        <f>SUM(E17:E19)</f>
        <v>18224</v>
      </c>
      <c r="F11" s="34" t="s">
        <v>1</v>
      </c>
      <c r="G11" s="34" t="s">
        <v>1</v>
      </c>
      <c r="H11" s="80">
        <f>SUM(H13:H19)</f>
        <v>127071.2</v>
      </c>
      <c r="I11" s="80">
        <f>SUM(I13:I19)</f>
        <v>3970.4280000000003</v>
      </c>
    </row>
    <row r="12" spans="1:14">
      <c r="A12" s="28"/>
      <c r="B12" s="26" t="s">
        <v>47</v>
      </c>
      <c r="C12" s="34"/>
      <c r="D12" s="34"/>
      <c r="E12" s="34"/>
      <c r="F12" s="34"/>
      <c r="G12" s="34"/>
      <c r="H12" s="80"/>
      <c r="I12" s="79"/>
    </row>
    <row r="13" spans="1:14">
      <c r="A13" s="28">
        <v>4.0999999999999996</v>
      </c>
      <c r="B13" s="81" t="s">
        <v>105</v>
      </c>
      <c r="C13" s="34">
        <v>6</v>
      </c>
      <c r="D13" s="34">
        <v>0.57999999999999996</v>
      </c>
      <c r="E13" s="34">
        <v>8760</v>
      </c>
      <c r="F13" s="34" t="s">
        <v>1</v>
      </c>
      <c r="G13" s="34" t="s">
        <v>1</v>
      </c>
      <c r="H13" s="80">
        <f>D13*E13*C13</f>
        <v>30484.799999999996</v>
      </c>
      <c r="I13" s="79">
        <f>H13*0.03</f>
        <v>914.54399999999987</v>
      </c>
    </row>
    <row r="14" spans="1:14">
      <c r="A14" s="28">
        <v>4.2</v>
      </c>
      <c r="B14" s="26" t="s">
        <v>240</v>
      </c>
      <c r="C14" s="12">
        <v>3</v>
      </c>
      <c r="D14" s="12">
        <v>1.06</v>
      </c>
      <c r="E14" s="12">
        <v>8760</v>
      </c>
      <c r="F14" s="12" t="s">
        <v>1</v>
      </c>
      <c r="G14" s="12" t="s">
        <v>1</v>
      </c>
      <c r="H14" s="189">
        <f>D14*E14*C14</f>
        <v>27856.800000000003</v>
      </c>
      <c r="I14" s="27">
        <f t="shared" ref="I14:I15" si="0">H14*0.035</f>
        <v>974.98800000000017</v>
      </c>
    </row>
    <row r="15" spans="1:14">
      <c r="A15" s="28">
        <v>4.3</v>
      </c>
      <c r="B15" s="26" t="s">
        <v>241</v>
      </c>
      <c r="C15" s="12">
        <v>4</v>
      </c>
      <c r="D15" s="12">
        <v>0.45</v>
      </c>
      <c r="E15" s="12">
        <v>2112</v>
      </c>
      <c r="F15" s="12" t="s">
        <v>1</v>
      </c>
      <c r="G15" s="12" t="s">
        <v>1</v>
      </c>
      <c r="H15" s="189">
        <f>D15*E15*C15</f>
        <v>3801.6</v>
      </c>
      <c r="I15" s="27">
        <f t="shared" si="0"/>
        <v>133.05600000000001</v>
      </c>
    </row>
    <row r="16" spans="1:14">
      <c r="A16" s="28">
        <v>4.4000000000000004</v>
      </c>
      <c r="B16" s="81" t="s">
        <v>106</v>
      </c>
      <c r="C16" s="34">
        <v>2</v>
      </c>
      <c r="D16" s="34">
        <v>0.9</v>
      </c>
      <c r="E16" s="34">
        <v>8760</v>
      </c>
      <c r="F16" s="34" t="s">
        <v>1</v>
      </c>
      <c r="G16" s="34" t="s">
        <v>1</v>
      </c>
      <c r="H16" s="80">
        <f>D16*E16*C16</f>
        <v>15768</v>
      </c>
      <c r="I16" s="79">
        <f>H16*0.03</f>
        <v>473.03999999999996</v>
      </c>
    </row>
    <row r="17" spans="1:9" ht="27">
      <c r="A17" s="28">
        <v>4.5</v>
      </c>
      <c r="B17" s="81" t="s">
        <v>107</v>
      </c>
      <c r="C17" s="34" t="s">
        <v>1</v>
      </c>
      <c r="D17" s="34">
        <v>2.5</v>
      </c>
      <c r="E17" s="34">
        <v>8760</v>
      </c>
      <c r="F17" s="34" t="s">
        <v>1</v>
      </c>
      <c r="G17" s="34" t="s">
        <v>1</v>
      </c>
      <c r="H17" s="80">
        <f>D17*E17</f>
        <v>21900</v>
      </c>
      <c r="I17" s="79">
        <f>H17*0.03</f>
        <v>657</v>
      </c>
    </row>
    <row r="18" spans="1:9" ht="27" customHeight="1">
      <c r="A18" s="82">
        <v>4.5999999999999996</v>
      </c>
      <c r="B18" s="81" t="s">
        <v>242</v>
      </c>
      <c r="C18" s="34">
        <v>13</v>
      </c>
      <c r="D18" s="34">
        <v>2.5</v>
      </c>
      <c r="E18" s="34">
        <v>704</v>
      </c>
      <c r="F18" s="34" t="s">
        <v>1</v>
      </c>
      <c r="G18" s="34" t="s">
        <v>1</v>
      </c>
      <c r="H18" s="80">
        <f>D18*E18*C18</f>
        <v>22880</v>
      </c>
      <c r="I18" s="79">
        <f>H18*0.03</f>
        <v>686.4</v>
      </c>
    </row>
    <row r="19" spans="1:9" ht="27" customHeight="1">
      <c r="A19" s="28">
        <v>4.7</v>
      </c>
      <c r="B19" s="81" t="s">
        <v>108</v>
      </c>
      <c r="C19" s="34">
        <v>3</v>
      </c>
      <c r="D19" s="34">
        <v>0.5</v>
      </c>
      <c r="E19" s="34">
        <v>8760</v>
      </c>
      <c r="F19" s="34" t="s">
        <v>1</v>
      </c>
      <c r="G19" s="34" t="s">
        <v>1</v>
      </c>
      <c r="H19" s="80">
        <f>D19*E19</f>
        <v>4380</v>
      </c>
      <c r="I19" s="79">
        <f>H19*0.03</f>
        <v>131.4</v>
      </c>
    </row>
    <row r="20" spans="1:9" ht="16.5">
      <c r="A20" s="150"/>
      <c r="B20" s="43" t="s">
        <v>35</v>
      </c>
      <c r="C20" s="83"/>
      <c r="D20" s="140" t="s">
        <v>1</v>
      </c>
      <c r="E20" s="140" t="s">
        <v>1</v>
      </c>
      <c r="F20" s="140" t="s">
        <v>1</v>
      </c>
      <c r="G20" s="140" t="s">
        <v>1</v>
      </c>
      <c r="H20" s="151">
        <f>SUM(H8:H11)</f>
        <v>179679.8</v>
      </c>
      <c r="I20" s="151">
        <f>SUM(I8:I11)*0.65</f>
        <v>3606.3859000000002</v>
      </c>
    </row>
    <row r="21" spans="1:9" ht="16.5">
      <c r="B21" s="38"/>
      <c r="C21" s="39"/>
      <c r="D21" s="39"/>
      <c r="E21" s="39"/>
      <c r="F21" s="31"/>
      <c r="G21" s="39"/>
      <c r="H21" s="31"/>
    </row>
  </sheetData>
  <customSheetViews>
    <customSheetView guid="{EE5C0AFB-B96A-4C3C-885D-9A248AEB532B}" showPageBreaks="1" showRuler="0">
      <pageMargins left="0.21" right="0.17" top="1" bottom="1" header="0.5" footer="0.5"/>
      <pageSetup paperSize="9" scale="95" orientation="portrait" r:id="rId1"/>
      <headerFooter alignWithMargins="0"/>
    </customSheetView>
    <customSheetView guid="{D9EA75C0-4948-47E2-929C-5FF812E82023}" showRuler="0">
      <selection activeCell="B3" sqref="B3"/>
      <pageMargins left="0.21" right="0.17" top="1" bottom="1" header="0.5" footer="0.5"/>
      <pageSetup paperSize="9" scale="95" orientation="portrait" r:id="rId2"/>
      <headerFooter alignWithMargins="0"/>
    </customSheetView>
  </customSheetViews>
  <phoneticPr fontId="1" type="noConversion"/>
  <pageMargins left="0.21" right="0.17" top="0.47" bottom="0.33" header="0.2" footer="0.24"/>
  <pageSetup paperSize="9" scale="95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opLeftCell="C1" workbookViewId="0">
      <selection activeCell="T8" sqref="T8"/>
    </sheetView>
  </sheetViews>
  <sheetFormatPr defaultRowHeight="13.5"/>
  <cols>
    <col min="1" max="1" width="9.140625" style="5"/>
    <col min="2" max="2" width="47.85546875" style="32" customWidth="1"/>
    <col min="3" max="4" width="9.28515625" style="30" bestFit="1" customWidth="1"/>
    <col min="5" max="5" width="9.85546875" style="30" bestFit="1" customWidth="1"/>
    <col min="6" max="6" width="9.28515625" style="30" bestFit="1" customWidth="1"/>
    <col min="7" max="7" width="8.140625" style="30" customWidth="1"/>
    <col min="8" max="8" width="10.28515625" style="30" customWidth="1"/>
    <col min="9" max="9" width="9.28515625" style="5" bestFit="1" customWidth="1"/>
    <col min="10" max="11" width="9.28515625" style="84" bestFit="1" customWidth="1"/>
    <col min="12" max="12" width="9.42578125" style="84" bestFit="1" customWidth="1"/>
    <col min="13" max="13" width="9.28515625" style="5" bestFit="1" customWidth="1"/>
    <col min="14" max="15" width="9.28515625" style="6" bestFit="1" customWidth="1"/>
    <col min="16" max="16" width="9.28515625" style="5" bestFit="1" customWidth="1"/>
    <col min="17" max="17" width="11" style="5" customWidth="1"/>
    <col min="18" max="18" width="10.140625" style="5" bestFit="1" customWidth="1"/>
    <col min="19" max="19" width="9.28515625" style="5" bestFit="1" customWidth="1"/>
    <col min="20" max="20" width="12.5703125" style="5" customWidth="1"/>
    <col min="21" max="16384" width="9.140625" style="6"/>
  </cols>
  <sheetData>
    <row r="1" spans="1:20" s="17" customFormat="1" ht="17.25">
      <c r="A1" s="1"/>
      <c r="B1" s="211"/>
      <c r="C1" s="211"/>
      <c r="D1" s="211"/>
      <c r="E1" s="211"/>
      <c r="F1" s="211"/>
      <c r="G1" s="4"/>
      <c r="H1" s="4"/>
      <c r="I1" s="16"/>
      <c r="J1" s="84"/>
      <c r="K1" s="84"/>
      <c r="L1" s="84"/>
      <c r="M1" s="16"/>
      <c r="Q1" s="15"/>
      <c r="R1" s="11"/>
      <c r="S1" s="15"/>
      <c r="T1" s="15" t="s">
        <v>180</v>
      </c>
    </row>
    <row r="2" spans="1:20" s="17" customFormat="1" ht="17.25" customHeight="1">
      <c r="A2" s="1"/>
      <c r="B2" s="2"/>
      <c r="C2" s="3"/>
      <c r="D2" s="3"/>
      <c r="E2" s="3"/>
      <c r="F2" s="4"/>
      <c r="G2" s="4"/>
      <c r="H2" s="4"/>
      <c r="I2" s="16"/>
      <c r="J2" s="84"/>
      <c r="K2" s="84"/>
      <c r="L2" s="84"/>
      <c r="M2" s="16"/>
      <c r="R2" s="212"/>
      <c r="S2" s="212"/>
      <c r="T2" s="212"/>
    </row>
    <row r="3" spans="1:20" s="17" customFormat="1" ht="13.5" customHeight="1">
      <c r="A3" s="6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</row>
    <row r="4" spans="1:20" s="134" customFormat="1" ht="18" customHeight="1">
      <c r="A4" s="142"/>
      <c r="B4" s="145" t="s">
        <v>14</v>
      </c>
      <c r="C4" s="145"/>
      <c r="D4" s="145"/>
      <c r="E4" s="145"/>
      <c r="F4" s="145"/>
      <c r="G4" s="145"/>
      <c r="H4" s="145"/>
      <c r="I4" s="146"/>
      <c r="J4" s="147"/>
      <c r="K4" s="147"/>
      <c r="L4" s="147"/>
      <c r="M4" s="146"/>
      <c r="N4" s="146"/>
      <c r="O4" s="146"/>
      <c r="P4" s="148"/>
      <c r="Q4" s="149"/>
      <c r="R4" s="148"/>
      <c r="S4" s="148"/>
      <c r="T4" s="142"/>
    </row>
    <row r="5" spans="1:20" s="134" customFormat="1" ht="18" customHeight="1">
      <c r="A5" s="142"/>
      <c r="B5" s="141" t="s">
        <v>181</v>
      </c>
      <c r="C5" s="141"/>
      <c r="D5" s="141"/>
      <c r="E5" s="141"/>
      <c r="F5" s="141"/>
      <c r="G5" s="141"/>
      <c r="H5" s="141"/>
      <c r="I5" s="143"/>
      <c r="J5" s="144"/>
      <c r="K5" s="144"/>
      <c r="L5" s="144"/>
      <c r="M5" s="143"/>
      <c r="N5" s="143"/>
      <c r="O5" s="143"/>
      <c r="P5" s="142"/>
      <c r="Q5" s="142"/>
      <c r="R5" s="142"/>
      <c r="S5" s="142"/>
      <c r="T5" s="142"/>
    </row>
    <row r="6" spans="1:20" s="10" customFormat="1" ht="12.75">
      <c r="A6" s="18"/>
      <c r="B6" s="19"/>
      <c r="C6" s="19"/>
      <c r="D6" s="19"/>
      <c r="E6" s="19"/>
      <c r="F6" s="19"/>
      <c r="G6" s="19"/>
      <c r="H6" s="19"/>
      <c r="I6" s="18"/>
      <c r="J6" s="20"/>
      <c r="K6" s="20"/>
      <c r="L6" s="20"/>
      <c r="M6" s="18"/>
      <c r="N6" s="21"/>
      <c r="O6" s="21"/>
      <c r="P6" s="18"/>
      <c r="Q6" s="18"/>
      <c r="R6" s="18"/>
      <c r="S6" s="18"/>
      <c r="T6" s="18"/>
    </row>
    <row r="7" spans="1:20" s="10" customFormat="1" ht="14.25" customHeight="1">
      <c r="A7" s="85"/>
      <c r="B7" s="86"/>
      <c r="C7" s="87"/>
      <c r="D7" s="88" t="s">
        <v>15</v>
      </c>
      <c r="E7" s="89"/>
      <c r="F7" s="89"/>
      <c r="G7" s="89"/>
      <c r="H7" s="90"/>
      <c r="I7" s="91" t="s">
        <v>16</v>
      </c>
      <c r="J7" s="92"/>
      <c r="K7" s="92"/>
      <c r="L7" s="92"/>
      <c r="M7" s="93"/>
      <c r="N7" s="93"/>
      <c r="O7" s="93"/>
      <c r="P7" s="93"/>
      <c r="Q7" s="94"/>
      <c r="R7" s="85"/>
      <c r="S7" s="85"/>
      <c r="T7" s="85"/>
    </row>
    <row r="8" spans="1:20" ht="204">
      <c r="A8" s="95"/>
      <c r="B8" s="96"/>
      <c r="C8" s="97"/>
      <c r="D8" s="22" t="s">
        <v>17</v>
      </c>
      <c r="E8" s="22"/>
      <c r="F8" s="22" t="s">
        <v>18</v>
      </c>
      <c r="G8" s="22"/>
      <c r="H8" s="22" t="s">
        <v>19</v>
      </c>
      <c r="I8" s="22" t="s">
        <v>23</v>
      </c>
      <c r="J8" s="98"/>
      <c r="K8" s="98"/>
      <c r="L8" s="99"/>
      <c r="M8" s="100"/>
      <c r="N8" s="23" t="s">
        <v>122</v>
      </c>
      <c r="O8" s="23" t="s">
        <v>123</v>
      </c>
      <c r="P8" s="23" t="s">
        <v>26</v>
      </c>
      <c r="Q8" s="23" t="s">
        <v>124</v>
      </c>
      <c r="R8" s="24" t="s">
        <v>27</v>
      </c>
      <c r="S8" s="24" t="s">
        <v>28</v>
      </c>
      <c r="T8" s="101" t="s">
        <v>29</v>
      </c>
    </row>
    <row r="9" spans="1:20" s="105" customFormat="1" ht="38.25">
      <c r="A9" s="102" t="s">
        <v>36</v>
      </c>
      <c r="B9" s="103" t="s">
        <v>30</v>
      </c>
      <c r="C9" s="102"/>
      <c r="D9" s="9" t="s">
        <v>20</v>
      </c>
      <c r="E9" s="9" t="s">
        <v>21</v>
      </c>
      <c r="F9" s="9" t="s">
        <v>20</v>
      </c>
      <c r="G9" s="9" t="s">
        <v>22</v>
      </c>
      <c r="H9" s="9" t="s">
        <v>21</v>
      </c>
      <c r="I9" s="9" t="s">
        <v>24</v>
      </c>
      <c r="J9" s="104" t="s">
        <v>25</v>
      </c>
      <c r="K9" s="104" t="s">
        <v>25</v>
      </c>
      <c r="L9" s="104" t="s">
        <v>21</v>
      </c>
      <c r="M9" s="9"/>
      <c r="N9" s="9" t="s">
        <v>21</v>
      </c>
      <c r="O9" s="9" t="s">
        <v>21</v>
      </c>
      <c r="P9" s="9" t="s">
        <v>21</v>
      </c>
      <c r="Q9" s="9" t="s">
        <v>21</v>
      </c>
      <c r="R9" s="9" t="s">
        <v>21</v>
      </c>
      <c r="S9" s="9" t="s">
        <v>21</v>
      </c>
      <c r="T9" s="9" t="s">
        <v>21</v>
      </c>
    </row>
    <row r="10" spans="1:20">
      <c r="A10" s="25"/>
      <c r="B10" s="12">
        <v>2</v>
      </c>
      <c r="C10" s="7">
        <v>3</v>
      </c>
      <c r="D10" s="7">
        <v>4</v>
      </c>
      <c r="E10" s="8">
        <v>5</v>
      </c>
      <c r="F10" s="8">
        <v>6</v>
      </c>
      <c r="G10" s="8">
        <v>7</v>
      </c>
      <c r="H10" s="8">
        <v>8</v>
      </c>
      <c r="I10" s="25">
        <v>9</v>
      </c>
      <c r="J10" s="106"/>
      <c r="K10" s="106"/>
      <c r="L10" s="107"/>
      <c r="M10" s="7">
        <v>10</v>
      </c>
      <c r="N10" s="7">
        <v>11</v>
      </c>
      <c r="O10" s="7">
        <v>12</v>
      </c>
      <c r="P10" s="25">
        <v>13</v>
      </c>
      <c r="Q10" s="25">
        <v>14</v>
      </c>
      <c r="R10" s="25">
        <v>15</v>
      </c>
      <c r="S10" s="25">
        <v>16</v>
      </c>
      <c r="T10" s="25">
        <v>17</v>
      </c>
    </row>
    <row r="11" spans="1:20" ht="24.75" customHeight="1">
      <c r="A11" s="25">
        <v>1</v>
      </c>
      <c r="B11" s="26" t="s">
        <v>31</v>
      </c>
      <c r="C11" s="7">
        <v>31</v>
      </c>
      <c r="D11" s="25" t="s">
        <v>1</v>
      </c>
      <c r="E11" s="25" t="s">
        <v>1</v>
      </c>
      <c r="F11" s="25" t="s">
        <v>1</v>
      </c>
      <c r="G11" s="25" t="s">
        <v>1</v>
      </c>
      <c r="H11" s="25" t="s">
        <v>1</v>
      </c>
      <c r="I11" s="25" t="s">
        <v>1</v>
      </c>
      <c r="J11" s="106" t="s">
        <v>1</v>
      </c>
      <c r="K11" s="106" t="s">
        <v>1</v>
      </c>
      <c r="L11" s="106" t="s">
        <v>1</v>
      </c>
      <c r="M11" s="25" t="s">
        <v>1</v>
      </c>
      <c r="N11" s="25" t="s">
        <v>1</v>
      </c>
      <c r="O11" s="25" t="s">
        <v>1</v>
      </c>
      <c r="P11" s="25" t="s">
        <v>1</v>
      </c>
      <c r="Q11" s="25" t="s">
        <v>1</v>
      </c>
      <c r="R11" s="27">
        <v>200000</v>
      </c>
      <c r="S11" s="25" t="s">
        <v>1</v>
      </c>
      <c r="T11" s="27">
        <f>R11</f>
        <v>200000</v>
      </c>
    </row>
    <row r="12" spans="1:20" ht="24.75" customHeight="1">
      <c r="A12" s="25">
        <v>2</v>
      </c>
      <c r="B12" s="26" t="s">
        <v>32</v>
      </c>
      <c r="C12" s="7">
        <v>1</v>
      </c>
      <c r="D12" s="7">
        <v>1</v>
      </c>
      <c r="E12" s="108">
        <f>D12*4000*12</f>
        <v>48000</v>
      </c>
      <c r="F12" s="7"/>
      <c r="G12" s="8"/>
      <c r="H12" s="108">
        <f>E12+G12</f>
        <v>48000</v>
      </c>
      <c r="I12" s="25">
        <v>8000</v>
      </c>
      <c r="J12" s="106">
        <f>(I12-1600)*7.5</f>
        <v>48000</v>
      </c>
      <c r="K12" s="106">
        <f>(1600-360)*4.17</f>
        <v>5170.8</v>
      </c>
      <c r="L12" s="112">
        <f>J12+K12</f>
        <v>53170.8</v>
      </c>
      <c r="M12" s="27">
        <f>L12*C12</f>
        <v>53170.8</v>
      </c>
      <c r="N12" s="27">
        <v>25000</v>
      </c>
      <c r="O12" s="27">
        <v>15000</v>
      </c>
      <c r="P12" s="27">
        <f>L12+N12+O12</f>
        <v>93170.8</v>
      </c>
      <c r="Q12" s="27">
        <f>P12*C12*12</f>
        <v>1118049.6000000001</v>
      </c>
      <c r="R12" s="27" t="s">
        <v>1</v>
      </c>
      <c r="S12" s="44"/>
      <c r="T12" s="27">
        <f>H12+Q12+S12</f>
        <v>1166049.6000000001</v>
      </c>
    </row>
    <row r="13" spans="1:20" ht="24.75" customHeight="1">
      <c r="A13" s="25">
        <v>3</v>
      </c>
      <c r="B13" s="26" t="s">
        <v>125</v>
      </c>
      <c r="C13" s="7">
        <v>1</v>
      </c>
      <c r="D13" s="7">
        <v>1</v>
      </c>
      <c r="E13" s="108">
        <f>D13*4000*12</f>
        <v>48000</v>
      </c>
      <c r="F13" s="7"/>
      <c r="G13" s="8"/>
      <c r="H13" s="108">
        <f>E13+G13</f>
        <v>48000</v>
      </c>
      <c r="I13" s="25">
        <v>4000</v>
      </c>
      <c r="J13" s="106">
        <f>(I13-1600)*7.5</f>
        <v>18000</v>
      </c>
      <c r="K13" s="106">
        <f>(1600-360)*4.17</f>
        <v>5170.8</v>
      </c>
      <c r="L13" s="112">
        <f>J13+K13</f>
        <v>23170.799999999999</v>
      </c>
      <c r="M13" s="27">
        <f>L13*C13</f>
        <v>23170.799999999999</v>
      </c>
      <c r="N13" s="27">
        <v>15000</v>
      </c>
      <c r="O13" s="27">
        <v>10000</v>
      </c>
      <c r="P13" s="27">
        <f>L13+N13+O13</f>
        <v>48170.8</v>
      </c>
      <c r="Q13" s="27">
        <f>P13*C13*12</f>
        <v>578049.60000000009</v>
      </c>
      <c r="R13" s="27" t="s">
        <v>1</v>
      </c>
      <c r="S13" s="27" t="s">
        <v>1</v>
      </c>
      <c r="T13" s="27">
        <f>H13+Q13</f>
        <v>626049.60000000009</v>
      </c>
    </row>
    <row r="14" spans="1:20" ht="24.75" customHeight="1">
      <c r="A14" s="25">
        <v>4</v>
      </c>
      <c r="B14" s="26" t="s">
        <v>126</v>
      </c>
      <c r="C14" s="7">
        <v>3</v>
      </c>
      <c r="D14" s="7">
        <v>3</v>
      </c>
      <c r="E14" s="108">
        <f>D14*4000*12</f>
        <v>144000</v>
      </c>
      <c r="F14" s="7"/>
      <c r="G14" s="7"/>
      <c r="H14" s="108">
        <f>E14+G14</f>
        <v>144000</v>
      </c>
      <c r="I14" s="25">
        <v>4000</v>
      </c>
      <c r="J14" s="106">
        <f>(I14-1600)*7.5</f>
        <v>18000</v>
      </c>
      <c r="K14" s="106">
        <f>(1600-360)*4.17</f>
        <v>5170.8</v>
      </c>
      <c r="L14" s="112">
        <f>J14+K14</f>
        <v>23170.799999999999</v>
      </c>
      <c r="M14" s="27">
        <f>L14*C14</f>
        <v>69512.399999999994</v>
      </c>
      <c r="N14" s="27">
        <v>10000</v>
      </c>
      <c r="O14" s="27">
        <v>5000</v>
      </c>
      <c r="P14" s="27">
        <f>L14+N14+O14</f>
        <v>38170.800000000003</v>
      </c>
      <c r="Q14" s="27">
        <f>P14*C14*12</f>
        <v>1374148.8</v>
      </c>
      <c r="R14" s="27" t="s">
        <v>1</v>
      </c>
      <c r="S14" s="27" t="s">
        <v>1</v>
      </c>
      <c r="T14" s="27">
        <f>H14+Q14</f>
        <v>1518148.8</v>
      </c>
    </row>
    <row r="15" spans="1:20" ht="24.75" customHeight="1">
      <c r="A15" s="25">
        <v>5</v>
      </c>
      <c r="B15" s="26" t="s">
        <v>127</v>
      </c>
      <c r="C15" s="7">
        <v>1</v>
      </c>
      <c r="D15" s="7" t="s">
        <v>1</v>
      </c>
      <c r="E15" s="7" t="s">
        <v>1</v>
      </c>
      <c r="F15" s="7" t="s">
        <v>1</v>
      </c>
      <c r="G15" s="7" t="s">
        <v>1</v>
      </c>
      <c r="H15" s="7" t="s">
        <v>1</v>
      </c>
      <c r="I15" s="25">
        <v>5000</v>
      </c>
      <c r="J15" s="106">
        <f>(I15-1600)*7.5</f>
        <v>25500</v>
      </c>
      <c r="K15" s="106">
        <f>(1600-360)*4.17</f>
        <v>5170.8</v>
      </c>
      <c r="L15" s="112">
        <f>J15+K15</f>
        <v>30670.799999999999</v>
      </c>
      <c r="M15" s="27">
        <f>L15*C15</f>
        <v>30670.799999999999</v>
      </c>
      <c r="N15" s="27"/>
      <c r="O15" s="27"/>
      <c r="P15" s="27">
        <f>L15+N15+O15</f>
        <v>30670.799999999999</v>
      </c>
      <c r="Q15" s="27">
        <f>P15*C15*12</f>
        <v>368049.6</v>
      </c>
      <c r="R15" s="27" t="s">
        <v>1</v>
      </c>
      <c r="S15" s="27" t="s">
        <v>1</v>
      </c>
      <c r="T15" s="27">
        <f>Q15</f>
        <v>368049.6</v>
      </c>
    </row>
    <row r="16" spans="1:20" ht="24.75" customHeight="1">
      <c r="A16" s="25">
        <v>6</v>
      </c>
      <c r="B16" s="26" t="s">
        <v>33</v>
      </c>
      <c r="C16" s="7">
        <v>4</v>
      </c>
      <c r="D16" s="109" t="s">
        <v>1</v>
      </c>
      <c r="E16" s="109" t="s">
        <v>1</v>
      </c>
      <c r="F16" s="109" t="s">
        <v>1</v>
      </c>
      <c r="G16" s="109" t="s">
        <v>1</v>
      </c>
      <c r="H16" s="109" t="s">
        <v>1</v>
      </c>
      <c r="I16" s="109" t="s">
        <v>1</v>
      </c>
      <c r="J16" s="106" t="s">
        <v>1</v>
      </c>
      <c r="K16" s="106" t="s">
        <v>1</v>
      </c>
      <c r="L16" s="106" t="s">
        <v>1</v>
      </c>
      <c r="M16" s="109" t="s">
        <v>1</v>
      </c>
      <c r="N16" s="109" t="s">
        <v>1</v>
      </c>
      <c r="O16" s="109" t="s">
        <v>1</v>
      </c>
      <c r="P16" s="110" t="s">
        <v>1</v>
      </c>
      <c r="Q16" s="110" t="s">
        <v>1</v>
      </c>
      <c r="R16" s="110" t="s">
        <v>1</v>
      </c>
      <c r="S16" s="110" t="s">
        <v>1</v>
      </c>
      <c r="T16" s="110" t="s">
        <v>1</v>
      </c>
    </row>
    <row r="17" spans="1:20" ht="24.75" customHeight="1">
      <c r="A17" s="25">
        <v>7</v>
      </c>
      <c r="B17" s="26" t="s">
        <v>34</v>
      </c>
      <c r="C17" s="7">
        <f>C11-D12-D13-D14-C16</f>
        <v>22</v>
      </c>
      <c r="D17" s="111">
        <f>C17/4</f>
        <v>5.5</v>
      </c>
      <c r="E17" s="108">
        <f>D17*4000*12</f>
        <v>264000</v>
      </c>
      <c r="F17" s="7"/>
      <c r="G17" s="8"/>
      <c r="H17" s="108">
        <f>E17+G17</f>
        <v>264000</v>
      </c>
      <c r="I17" s="25" t="s">
        <v>1</v>
      </c>
      <c r="J17" s="106"/>
      <c r="K17" s="106"/>
      <c r="L17" s="112" t="s">
        <v>1</v>
      </c>
      <c r="M17" s="27"/>
      <c r="N17" s="27" t="s">
        <v>1</v>
      </c>
      <c r="O17" s="27" t="s">
        <v>1</v>
      </c>
      <c r="P17" s="27" t="s">
        <v>1</v>
      </c>
      <c r="Q17" s="27" t="s">
        <v>1</v>
      </c>
      <c r="R17" s="27" t="s">
        <v>1</v>
      </c>
      <c r="S17" s="27" t="s">
        <v>1</v>
      </c>
      <c r="T17" s="27">
        <f>H17</f>
        <v>264000</v>
      </c>
    </row>
    <row r="18" spans="1:20" s="113" customFormat="1" ht="24.75" customHeight="1">
      <c r="A18" s="157"/>
      <c r="B18" s="158"/>
      <c r="C18" s="159"/>
      <c r="D18" s="160">
        <f>SUM(D12:D17)</f>
        <v>10.5</v>
      </c>
      <c r="E18" s="161">
        <f>SUM(E12:E17)*1.2</f>
        <v>604800</v>
      </c>
      <c r="F18" s="161">
        <f>SUM(F12:F17)</f>
        <v>0</v>
      </c>
      <c r="G18" s="161">
        <f>SUM(G12:G17)</f>
        <v>0</v>
      </c>
      <c r="H18" s="162">
        <f>SUM(H12:H17)*1.2</f>
        <v>604800</v>
      </c>
      <c r="I18" s="157"/>
      <c r="J18" s="163"/>
      <c r="K18" s="163"/>
      <c r="L18" s="164"/>
      <c r="M18" s="165"/>
      <c r="N18" s="165"/>
      <c r="O18" s="165"/>
      <c r="P18" s="165"/>
      <c r="Q18" s="162">
        <f>SUM(Q12:Q17)*1.2</f>
        <v>4125957.12</v>
      </c>
      <c r="R18" s="165"/>
      <c r="S18" s="165"/>
      <c r="T18" s="162">
        <f>SUM(T11:T17)*1.2-Q18+Q18*0.3</f>
        <v>2082587.1359999999</v>
      </c>
    </row>
    <row r="19" spans="1:20" ht="24.75" customHeight="1">
      <c r="A19" s="25"/>
      <c r="B19" s="26"/>
      <c r="C19" s="7"/>
      <c r="D19" s="7"/>
      <c r="E19" s="108"/>
      <c r="F19" s="7"/>
      <c r="G19" s="8"/>
      <c r="H19" s="108"/>
      <c r="I19" s="25"/>
      <c r="J19" s="106"/>
      <c r="K19" s="106"/>
      <c r="L19" s="112"/>
      <c r="M19" s="27"/>
      <c r="N19" s="27"/>
      <c r="O19" s="27"/>
      <c r="P19" s="27"/>
      <c r="Q19" s="27"/>
      <c r="R19" s="27"/>
      <c r="S19" s="27"/>
      <c r="T19" s="27"/>
    </row>
    <row r="20" spans="1:20" ht="24.75" customHeight="1">
      <c r="A20" s="115">
        <v>1</v>
      </c>
      <c r="B20" s="114" t="s">
        <v>128</v>
      </c>
      <c r="C20" s="7" t="s">
        <v>1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107" t="s">
        <v>1</v>
      </c>
      <c r="K20" s="107" t="s">
        <v>1</v>
      </c>
      <c r="L20" s="107" t="s">
        <v>1</v>
      </c>
      <c r="M20" s="7" t="s">
        <v>1</v>
      </c>
      <c r="N20" s="7" t="s">
        <v>1</v>
      </c>
      <c r="O20" s="7" t="s">
        <v>1</v>
      </c>
      <c r="P20" s="29" t="s">
        <v>1</v>
      </c>
      <c r="Q20" s="29" t="s">
        <v>1</v>
      </c>
      <c r="R20" s="29" t="s">
        <v>1</v>
      </c>
      <c r="S20" s="29" t="s">
        <v>1</v>
      </c>
      <c r="T20" s="27">
        <f>SUM(T21:T23)</f>
        <v>4614000</v>
      </c>
    </row>
    <row r="21" spans="1:20" ht="24.75" customHeight="1">
      <c r="A21" s="115">
        <v>2</v>
      </c>
      <c r="B21" s="114" t="s">
        <v>129</v>
      </c>
      <c r="C21" s="7" t="s">
        <v>1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7" t="s">
        <v>1</v>
      </c>
      <c r="J21" s="107" t="s">
        <v>1</v>
      </c>
      <c r="K21" s="107" t="s">
        <v>1</v>
      </c>
      <c r="L21" s="107" t="s">
        <v>1</v>
      </c>
      <c r="M21" s="7" t="s">
        <v>1</v>
      </c>
      <c r="N21" s="7" t="s">
        <v>1</v>
      </c>
      <c r="O21" s="7" t="s">
        <v>1</v>
      </c>
      <c r="P21" s="29" t="s">
        <v>1</v>
      </c>
      <c r="Q21" s="29" t="s">
        <v>1</v>
      </c>
      <c r="R21" s="29" t="s">
        <v>1</v>
      </c>
      <c r="S21" s="29" t="s">
        <v>1</v>
      </c>
      <c r="T21" s="27">
        <v>1200000</v>
      </c>
    </row>
    <row r="22" spans="1:20" ht="24.75" customHeight="1">
      <c r="A22" s="115">
        <v>3</v>
      </c>
      <c r="B22" s="45" t="s">
        <v>109</v>
      </c>
      <c r="C22" s="7" t="s">
        <v>1</v>
      </c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7" t="s">
        <v>1</v>
      </c>
      <c r="J22" s="107" t="s">
        <v>1</v>
      </c>
      <c r="K22" s="107" t="s">
        <v>1</v>
      </c>
      <c r="L22" s="107" t="s">
        <v>1</v>
      </c>
      <c r="M22" s="7" t="s">
        <v>1</v>
      </c>
      <c r="N22" s="7" t="s">
        <v>1</v>
      </c>
      <c r="O22" s="7" t="s">
        <v>1</v>
      </c>
      <c r="P22" s="29" t="s">
        <v>1</v>
      </c>
      <c r="Q22" s="29" t="s">
        <v>1</v>
      </c>
      <c r="R22" s="29" t="s">
        <v>1</v>
      </c>
      <c r="S22" s="29" t="s">
        <v>1</v>
      </c>
      <c r="T22" s="27">
        <v>324000</v>
      </c>
    </row>
    <row r="23" spans="1:20" ht="24.75" customHeight="1">
      <c r="A23" s="115">
        <v>4</v>
      </c>
      <c r="B23" s="45" t="s">
        <v>78</v>
      </c>
      <c r="C23" s="7" t="s">
        <v>1</v>
      </c>
      <c r="D23" s="7" t="s">
        <v>1</v>
      </c>
      <c r="E23" s="7" t="s">
        <v>1</v>
      </c>
      <c r="F23" s="7" t="s">
        <v>1</v>
      </c>
      <c r="G23" s="7" t="s">
        <v>1</v>
      </c>
      <c r="H23" s="7" t="s">
        <v>1</v>
      </c>
      <c r="I23" s="7" t="s">
        <v>1</v>
      </c>
      <c r="J23" s="107" t="s">
        <v>1</v>
      </c>
      <c r="K23" s="107" t="s">
        <v>1</v>
      </c>
      <c r="L23" s="107" t="s">
        <v>1</v>
      </c>
      <c r="M23" s="7" t="s">
        <v>1</v>
      </c>
      <c r="N23" s="7" t="s">
        <v>1</v>
      </c>
      <c r="O23" s="7" t="s">
        <v>1</v>
      </c>
      <c r="P23" s="29" t="s">
        <v>1</v>
      </c>
      <c r="Q23" s="29" t="s">
        <v>1</v>
      </c>
      <c r="R23" s="29" t="s">
        <v>1</v>
      </c>
      <c r="S23" s="29" t="s">
        <v>1</v>
      </c>
      <c r="T23" s="27">
        <v>3090000</v>
      </c>
    </row>
    <row r="24" spans="1:20" s="30" customFormat="1" ht="21" customHeight="1">
      <c r="A24" s="166"/>
      <c r="B24" s="167" t="s">
        <v>35</v>
      </c>
      <c r="C24" s="153" t="s">
        <v>1</v>
      </c>
      <c r="D24" s="153" t="s">
        <v>1</v>
      </c>
      <c r="E24" s="153" t="s">
        <v>1</v>
      </c>
      <c r="F24" s="153" t="s">
        <v>1</v>
      </c>
      <c r="G24" s="153" t="s">
        <v>1</v>
      </c>
      <c r="H24" s="153" t="s">
        <v>1</v>
      </c>
      <c r="I24" s="153" t="s">
        <v>1</v>
      </c>
      <c r="J24" s="168" t="s">
        <v>1</v>
      </c>
      <c r="K24" s="168" t="s">
        <v>1</v>
      </c>
      <c r="L24" s="168" t="s">
        <v>1</v>
      </c>
      <c r="M24" s="153" t="s">
        <v>1</v>
      </c>
      <c r="N24" s="153" t="s">
        <v>1</v>
      </c>
      <c r="O24" s="153" t="s">
        <v>1</v>
      </c>
      <c r="P24" s="169" t="s">
        <v>1</v>
      </c>
      <c r="Q24" s="169" t="s">
        <v>1</v>
      </c>
      <c r="R24" s="169" t="s">
        <v>1</v>
      </c>
      <c r="S24" s="169" t="s">
        <v>1</v>
      </c>
      <c r="T24" s="169">
        <f>T18+T20</f>
        <v>6696587.1359999999</v>
      </c>
    </row>
    <row r="25" spans="1:20" ht="17.25">
      <c r="A25" s="170"/>
      <c r="B25" s="176" t="s">
        <v>193</v>
      </c>
      <c r="C25" s="171"/>
      <c r="D25" s="171"/>
      <c r="E25" s="171"/>
      <c r="F25" s="171"/>
      <c r="G25" s="171"/>
      <c r="H25" s="171"/>
      <c r="I25" s="172"/>
      <c r="J25" s="173"/>
      <c r="K25" s="173"/>
      <c r="L25" s="173"/>
      <c r="M25" s="172"/>
      <c r="N25" s="172"/>
      <c r="O25" s="172"/>
      <c r="P25" s="174"/>
      <c r="Q25" s="174"/>
      <c r="R25" s="174"/>
      <c r="S25" s="174"/>
      <c r="T25" s="175">
        <f>T24/1000</f>
        <v>6696.5871360000001</v>
      </c>
    </row>
    <row r="26" spans="1:20">
      <c r="B26" s="116"/>
      <c r="C26" s="31"/>
      <c r="D26" s="31"/>
      <c r="E26" s="31"/>
      <c r="F26" s="31"/>
      <c r="G26" s="31"/>
      <c r="H26" s="31"/>
    </row>
  </sheetData>
  <mergeCells count="3">
    <mergeCell ref="B1:F1"/>
    <mergeCell ref="R2:T2"/>
    <mergeCell ref="B3:S3"/>
  </mergeCells>
  <pageMargins left="0.24" right="0.24" top="0.39370078740157483" bottom="0.33" header="0.23622047244094491" footer="0.2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A4" sqref="A4:Q4"/>
    </sheetView>
  </sheetViews>
  <sheetFormatPr defaultRowHeight="13.5"/>
  <cols>
    <col min="1" max="1" width="6" style="5" customWidth="1"/>
    <col min="2" max="2" width="21.85546875" style="6" customWidth="1"/>
    <col min="3" max="3" width="8" style="139" customWidth="1"/>
    <col min="4" max="4" width="7" style="139" customWidth="1"/>
    <col min="5" max="5" width="6.85546875" style="6" customWidth="1"/>
    <col min="6" max="7" width="8.28515625" style="6" customWidth="1"/>
    <col min="8" max="8" width="9.85546875" style="6" customWidth="1"/>
    <col min="9" max="9" width="9.140625" style="6"/>
    <col min="10" max="11" width="9.140625" style="139" customWidth="1"/>
    <col min="12" max="12" width="8" style="6" customWidth="1"/>
    <col min="13" max="13" width="8.28515625" style="6" customWidth="1"/>
    <col min="14" max="14" width="7.42578125" style="6" customWidth="1"/>
    <col min="15" max="15" width="8.28515625" style="6" customWidth="1"/>
    <col min="16" max="16" width="9.28515625" style="6" customWidth="1"/>
    <col min="17" max="18" width="9.140625" style="6" customWidth="1"/>
    <col min="19" max="16384" width="9.140625" style="6"/>
  </cols>
  <sheetData>
    <row r="1" spans="1:21" ht="28.5" customHeight="1">
      <c r="A1" s="1"/>
      <c r="B1" s="4"/>
      <c r="C1" s="4"/>
      <c r="D1" s="32"/>
      <c r="E1" s="32"/>
      <c r="F1" s="32"/>
      <c r="G1" s="4"/>
      <c r="J1" s="135"/>
      <c r="K1" s="135"/>
      <c r="L1" s="135"/>
      <c r="M1" s="135"/>
      <c r="N1" s="11"/>
      <c r="O1" s="179"/>
      <c r="P1" s="227" t="s">
        <v>182</v>
      </c>
      <c r="Q1" s="227"/>
      <c r="R1" s="180"/>
      <c r="S1" s="223"/>
      <c r="T1" s="223"/>
      <c r="U1" s="223"/>
    </row>
    <row r="2" spans="1:21" ht="13.5" customHeight="1">
      <c r="A2" s="1"/>
      <c r="B2" s="4"/>
      <c r="C2" s="4"/>
      <c r="D2" s="32"/>
      <c r="E2" s="32"/>
      <c r="F2" s="32"/>
      <c r="G2" s="4"/>
      <c r="H2" s="4"/>
      <c r="I2" s="135"/>
      <c r="J2" s="135"/>
      <c r="K2" s="135"/>
      <c r="L2" s="135"/>
      <c r="M2" s="135"/>
      <c r="N2" s="212"/>
      <c r="O2" s="212"/>
      <c r="P2" s="212"/>
      <c r="Q2" s="223"/>
      <c r="R2" s="223"/>
      <c r="S2" s="223"/>
      <c r="T2" s="223"/>
      <c r="U2" s="223"/>
    </row>
    <row r="3" spans="1:21" ht="17.25" customHeight="1">
      <c r="A3" s="229" t="s">
        <v>14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21" ht="30" customHeight="1">
      <c r="A4" s="228" t="s">
        <v>187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21" ht="31.5" customHeight="1"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</row>
    <row r="6" spans="1:21" ht="15" customHeight="1" thickBot="1">
      <c r="A6" s="221"/>
      <c r="B6" s="221"/>
      <c r="C6" s="221"/>
      <c r="D6" s="221"/>
      <c r="E6" s="221"/>
      <c r="F6" s="221"/>
      <c r="G6" s="221"/>
      <c r="H6" s="221" t="s">
        <v>194</v>
      </c>
      <c r="I6" s="221"/>
      <c r="J6" s="221"/>
      <c r="K6" s="221"/>
      <c r="L6" s="221"/>
      <c r="M6" s="221"/>
      <c r="N6" s="221"/>
      <c r="O6" s="182"/>
      <c r="P6" s="221" t="s">
        <v>158</v>
      </c>
      <c r="Q6" s="221"/>
    </row>
    <row r="7" spans="1:21" ht="34.5" customHeight="1">
      <c r="A7" s="214" t="s">
        <v>36</v>
      </c>
      <c r="B7" s="214" t="s">
        <v>160</v>
      </c>
      <c r="C7" s="222" t="s">
        <v>245</v>
      </c>
      <c r="D7" s="222"/>
      <c r="E7" s="222"/>
      <c r="F7" s="222"/>
      <c r="G7" s="222"/>
      <c r="H7" s="222"/>
      <c r="I7" s="222"/>
      <c r="J7" s="222" t="s">
        <v>195</v>
      </c>
      <c r="K7" s="222"/>
      <c r="L7" s="222"/>
      <c r="M7" s="222"/>
      <c r="N7" s="222"/>
      <c r="O7" s="222"/>
      <c r="P7" s="222"/>
      <c r="Q7" s="217" t="s">
        <v>244</v>
      </c>
    </row>
    <row r="8" spans="1:21" ht="14.25" customHeight="1">
      <c r="A8" s="215"/>
      <c r="B8" s="215"/>
      <c r="C8" s="214" t="s">
        <v>161</v>
      </c>
      <c r="D8" s="214" t="s">
        <v>162</v>
      </c>
      <c r="E8" s="214" t="s">
        <v>163</v>
      </c>
      <c r="F8" s="224" t="s">
        <v>159</v>
      </c>
      <c r="G8" s="224"/>
      <c r="H8" s="214" t="s">
        <v>165</v>
      </c>
      <c r="I8" s="214" t="s">
        <v>166</v>
      </c>
      <c r="J8" s="214" t="s">
        <v>161</v>
      </c>
      <c r="K8" s="214" t="s">
        <v>162</v>
      </c>
      <c r="L8" s="214" t="s">
        <v>163</v>
      </c>
      <c r="M8" s="225" t="s">
        <v>159</v>
      </c>
      <c r="N8" s="226"/>
      <c r="O8" s="214" t="s">
        <v>167</v>
      </c>
      <c r="P8" s="230" t="s">
        <v>166</v>
      </c>
      <c r="Q8" s="218"/>
    </row>
    <row r="9" spans="1:21" s="10" customFormat="1" ht="41.25" thickBot="1">
      <c r="A9" s="216" t="s">
        <v>36</v>
      </c>
      <c r="B9" s="216"/>
      <c r="C9" s="220"/>
      <c r="D9" s="220"/>
      <c r="E9" s="220"/>
      <c r="F9" s="210" t="s">
        <v>164</v>
      </c>
      <c r="G9" s="210" t="s">
        <v>35</v>
      </c>
      <c r="H9" s="220"/>
      <c r="I9" s="220"/>
      <c r="J9" s="220"/>
      <c r="K9" s="220"/>
      <c r="L9" s="220"/>
      <c r="M9" s="210" t="s">
        <v>164</v>
      </c>
      <c r="N9" s="210" t="s">
        <v>35</v>
      </c>
      <c r="O9" s="220"/>
      <c r="P9" s="231"/>
      <c r="Q9" s="219"/>
    </row>
    <row r="10" spans="1:21" s="10" customFormat="1" ht="14.25" thickBot="1">
      <c r="A10" s="209">
        <v>1</v>
      </c>
      <c r="B10" s="209">
        <v>2</v>
      </c>
      <c r="C10" s="209">
        <v>3</v>
      </c>
      <c r="D10" s="209">
        <v>4</v>
      </c>
      <c r="E10" s="209">
        <v>5</v>
      </c>
      <c r="F10" s="209">
        <v>6</v>
      </c>
      <c r="G10" s="209">
        <v>7</v>
      </c>
      <c r="H10" s="209">
        <v>8</v>
      </c>
      <c r="I10" s="209">
        <v>9</v>
      </c>
      <c r="J10" s="209">
        <v>10</v>
      </c>
      <c r="K10" s="208">
        <v>11</v>
      </c>
      <c r="L10" s="207">
        <v>12</v>
      </c>
      <c r="M10" s="206">
        <v>13</v>
      </c>
      <c r="N10" s="208">
        <v>14</v>
      </c>
      <c r="O10" s="207">
        <v>15</v>
      </c>
      <c r="P10" s="206">
        <v>16</v>
      </c>
      <c r="Q10" s="205">
        <v>17</v>
      </c>
    </row>
    <row r="11" spans="1:21">
      <c r="A11" s="203">
        <v>1</v>
      </c>
      <c r="B11" s="204" t="s">
        <v>168</v>
      </c>
      <c r="C11" s="196">
        <v>12</v>
      </c>
      <c r="D11" s="196">
        <v>2</v>
      </c>
      <c r="E11" s="195">
        <f t="shared" ref="E11:E20" si="0">C11*D11*2</f>
        <v>48</v>
      </c>
      <c r="F11" s="195">
        <v>15</v>
      </c>
      <c r="G11" s="195">
        <f t="shared" ref="G11:G20" si="1">(C11-1)*D11*F11</f>
        <v>330</v>
      </c>
      <c r="H11" s="196">
        <v>0.25</v>
      </c>
      <c r="I11" s="195">
        <f t="shared" ref="I11:I20" si="2">E11+G11+(H11*D11*2)</f>
        <v>379</v>
      </c>
      <c r="J11" s="196">
        <v>12</v>
      </c>
      <c r="K11" s="196">
        <v>2</v>
      </c>
      <c r="L11" s="195">
        <f t="shared" ref="L11:L21" si="3">J11*K11*3</f>
        <v>72</v>
      </c>
      <c r="M11" s="195">
        <v>20</v>
      </c>
      <c r="N11" s="195">
        <f t="shared" ref="N11:N21" si="4">(J11-1)*K11*M11</f>
        <v>440</v>
      </c>
      <c r="O11" s="196">
        <v>0.25</v>
      </c>
      <c r="P11" s="195">
        <f t="shared" ref="P11:P21" si="5">L11+N11+(O11*K11*2)</f>
        <v>513</v>
      </c>
      <c r="Q11" s="193">
        <f t="shared" ref="Q11:Q21" si="6">P11-I11</f>
        <v>134</v>
      </c>
    </row>
    <row r="12" spans="1:21">
      <c r="A12" s="192">
        <v>2</v>
      </c>
      <c r="B12" s="204" t="s">
        <v>169</v>
      </c>
      <c r="C12" s="196">
        <v>13</v>
      </c>
      <c r="D12" s="196">
        <v>3</v>
      </c>
      <c r="E12" s="195">
        <f t="shared" si="0"/>
        <v>78</v>
      </c>
      <c r="F12" s="195">
        <v>15</v>
      </c>
      <c r="G12" s="195">
        <f t="shared" si="1"/>
        <v>540</v>
      </c>
      <c r="H12" s="196">
        <v>1.5</v>
      </c>
      <c r="I12" s="80">
        <f t="shared" si="2"/>
        <v>627</v>
      </c>
      <c r="J12" s="196">
        <v>13</v>
      </c>
      <c r="K12" s="196">
        <v>3</v>
      </c>
      <c r="L12" s="195">
        <f t="shared" si="3"/>
        <v>117</v>
      </c>
      <c r="M12" s="195">
        <v>20</v>
      </c>
      <c r="N12" s="195">
        <f t="shared" si="4"/>
        <v>720</v>
      </c>
      <c r="O12" s="196">
        <v>1.5</v>
      </c>
      <c r="P12" s="80">
        <f t="shared" si="5"/>
        <v>846</v>
      </c>
      <c r="Q12" s="193">
        <f t="shared" si="6"/>
        <v>219</v>
      </c>
    </row>
    <row r="13" spans="1:21">
      <c r="A13" s="192">
        <v>3</v>
      </c>
      <c r="B13" s="204" t="s">
        <v>170</v>
      </c>
      <c r="C13" s="196">
        <v>10</v>
      </c>
      <c r="D13" s="196">
        <v>2</v>
      </c>
      <c r="E13" s="195">
        <f t="shared" si="0"/>
        <v>40</v>
      </c>
      <c r="F13" s="195">
        <v>15</v>
      </c>
      <c r="G13" s="195">
        <f t="shared" si="1"/>
        <v>270</v>
      </c>
      <c r="H13" s="196">
        <v>2</v>
      </c>
      <c r="I13" s="80">
        <f t="shared" si="2"/>
        <v>318</v>
      </c>
      <c r="J13" s="196">
        <v>10</v>
      </c>
      <c r="K13" s="196">
        <v>2</v>
      </c>
      <c r="L13" s="195">
        <f t="shared" si="3"/>
        <v>60</v>
      </c>
      <c r="M13" s="195">
        <v>20</v>
      </c>
      <c r="N13" s="195">
        <f t="shared" si="4"/>
        <v>360</v>
      </c>
      <c r="O13" s="196">
        <v>2</v>
      </c>
      <c r="P13" s="80">
        <f t="shared" si="5"/>
        <v>428</v>
      </c>
      <c r="Q13" s="193">
        <f t="shared" si="6"/>
        <v>110</v>
      </c>
    </row>
    <row r="14" spans="1:21">
      <c r="A14" s="203">
        <v>4</v>
      </c>
      <c r="B14" s="204" t="s">
        <v>171</v>
      </c>
      <c r="C14" s="196">
        <v>10</v>
      </c>
      <c r="D14" s="196">
        <v>2</v>
      </c>
      <c r="E14" s="195">
        <f t="shared" si="0"/>
        <v>40</v>
      </c>
      <c r="F14" s="195">
        <v>15</v>
      </c>
      <c r="G14" s="195">
        <f t="shared" si="1"/>
        <v>270</v>
      </c>
      <c r="H14" s="196">
        <v>2</v>
      </c>
      <c r="I14" s="80">
        <f t="shared" si="2"/>
        <v>318</v>
      </c>
      <c r="J14" s="196">
        <v>10</v>
      </c>
      <c r="K14" s="196">
        <v>2</v>
      </c>
      <c r="L14" s="195">
        <f t="shared" si="3"/>
        <v>60</v>
      </c>
      <c r="M14" s="195">
        <v>20</v>
      </c>
      <c r="N14" s="195">
        <f t="shared" si="4"/>
        <v>360</v>
      </c>
      <c r="O14" s="196">
        <v>2</v>
      </c>
      <c r="P14" s="80">
        <f t="shared" si="5"/>
        <v>428</v>
      </c>
      <c r="Q14" s="193">
        <f t="shared" si="6"/>
        <v>110</v>
      </c>
    </row>
    <row r="15" spans="1:21">
      <c r="A15" s="192">
        <v>5</v>
      </c>
      <c r="B15" s="204" t="s">
        <v>172</v>
      </c>
      <c r="C15" s="196">
        <v>17</v>
      </c>
      <c r="D15" s="196">
        <v>2</v>
      </c>
      <c r="E15" s="195">
        <f t="shared" si="0"/>
        <v>68</v>
      </c>
      <c r="F15" s="195">
        <v>15</v>
      </c>
      <c r="G15" s="195">
        <f t="shared" si="1"/>
        <v>480</v>
      </c>
      <c r="H15" s="196">
        <v>0.4</v>
      </c>
      <c r="I15" s="80">
        <f t="shared" si="2"/>
        <v>549.6</v>
      </c>
      <c r="J15" s="196">
        <v>17</v>
      </c>
      <c r="K15" s="196">
        <v>2</v>
      </c>
      <c r="L15" s="195">
        <f t="shared" si="3"/>
        <v>102</v>
      </c>
      <c r="M15" s="195">
        <v>20</v>
      </c>
      <c r="N15" s="195">
        <f t="shared" si="4"/>
        <v>640</v>
      </c>
      <c r="O15" s="196">
        <v>0.4</v>
      </c>
      <c r="P15" s="80">
        <f t="shared" si="5"/>
        <v>743.6</v>
      </c>
      <c r="Q15" s="193">
        <f t="shared" si="6"/>
        <v>194</v>
      </c>
    </row>
    <row r="16" spans="1:21">
      <c r="A16" s="192">
        <v>6</v>
      </c>
      <c r="B16" s="204" t="s">
        <v>173</v>
      </c>
      <c r="C16" s="196">
        <v>8</v>
      </c>
      <c r="D16" s="196">
        <v>2</v>
      </c>
      <c r="E16" s="195">
        <f t="shared" si="0"/>
        <v>32</v>
      </c>
      <c r="F16" s="195">
        <v>15</v>
      </c>
      <c r="G16" s="195">
        <f t="shared" si="1"/>
        <v>210</v>
      </c>
      <c r="H16" s="196">
        <v>4</v>
      </c>
      <c r="I16" s="80">
        <f t="shared" si="2"/>
        <v>258</v>
      </c>
      <c r="J16" s="196">
        <v>8</v>
      </c>
      <c r="K16" s="196">
        <v>2</v>
      </c>
      <c r="L16" s="195">
        <f t="shared" si="3"/>
        <v>48</v>
      </c>
      <c r="M16" s="195">
        <v>20</v>
      </c>
      <c r="N16" s="195">
        <f t="shared" si="4"/>
        <v>280</v>
      </c>
      <c r="O16" s="196">
        <v>4</v>
      </c>
      <c r="P16" s="80">
        <f t="shared" si="5"/>
        <v>344</v>
      </c>
      <c r="Q16" s="193">
        <f t="shared" si="6"/>
        <v>86</v>
      </c>
    </row>
    <row r="17" spans="1:17">
      <c r="A17" s="203">
        <v>7</v>
      </c>
      <c r="B17" s="204" t="s">
        <v>174</v>
      </c>
      <c r="C17" s="196">
        <v>16</v>
      </c>
      <c r="D17" s="196">
        <v>2</v>
      </c>
      <c r="E17" s="195">
        <f t="shared" si="0"/>
        <v>64</v>
      </c>
      <c r="F17" s="195">
        <v>15</v>
      </c>
      <c r="G17" s="195">
        <f t="shared" si="1"/>
        <v>450</v>
      </c>
      <c r="H17" s="196">
        <v>0.35</v>
      </c>
      <c r="I17" s="80">
        <f t="shared" si="2"/>
        <v>515.4</v>
      </c>
      <c r="J17" s="196">
        <v>16</v>
      </c>
      <c r="K17" s="196">
        <v>2</v>
      </c>
      <c r="L17" s="195">
        <f t="shared" si="3"/>
        <v>96</v>
      </c>
      <c r="M17" s="195">
        <v>20</v>
      </c>
      <c r="N17" s="195">
        <f t="shared" si="4"/>
        <v>600</v>
      </c>
      <c r="O17" s="196">
        <v>0.35</v>
      </c>
      <c r="P17" s="80">
        <f t="shared" si="5"/>
        <v>697.4</v>
      </c>
      <c r="Q17" s="193">
        <f t="shared" si="6"/>
        <v>182</v>
      </c>
    </row>
    <row r="18" spans="1:17">
      <c r="A18" s="192">
        <v>8</v>
      </c>
      <c r="B18" s="204" t="s">
        <v>175</v>
      </c>
      <c r="C18" s="196">
        <v>14</v>
      </c>
      <c r="D18" s="196">
        <v>3</v>
      </c>
      <c r="E18" s="195">
        <f t="shared" si="0"/>
        <v>84</v>
      </c>
      <c r="F18" s="195">
        <v>15</v>
      </c>
      <c r="G18" s="195">
        <f t="shared" si="1"/>
        <v>585</v>
      </c>
      <c r="H18" s="196">
        <v>0</v>
      </c>
      <c r="I18" s="80">
        <f t="shared" si="2"/>
        <v>669</v>
      </c>
      <c r="J18" s="196">
        <v>14</v>
      </c>
      <c r="K18" s="196">
        <v>3</v>
      </c>
      <c r="L18" s="195">
        <f t="shared" si="3"/>
        <v>126</v>
      </c>
      <c r="M18" s="195">
        <v>20</v>
      </c>
      <c r="N18" s="195">
        <f t="shared" si="4"/>
        <v>780</v>
      </c>
      <c r="O18" s="196">
        <v>0.4</v>
      </c>
      <c r="P18" s="80">
        <f t="shared" si="5"/>
        <v>908.4</v>
      </c>
      <c r="Q18" s="193">
        <f t="shared" si="6"/>
        <v>239.39999999999998</v>
      </c>
    </row>
    <row r="19" spans="1:17">
      <c r="A19" s="192">
        <v>9</v>
      </c>
      <c r="B19" s="204" t="s">
        <v>176</v>
      </c>
      <c r="C19" s="196">
        <v>6</v>
      </c>
      <c r="D19" s="196">
        <v>2</v>
      </c>
      <c r="E19" s="195">
        <f t="shared" si="0"/>
        <v>24</v>
      </c>
      <c r="F19" s="195">
        <v>15</v>
      </c>
      <c r="G19" s="195">
        <f t="shared" si="1"/>
        <v>150</v>
      </c>
      <c r="H19" s="196">
        <v>0.5</v>
      </c>
      <c r="I19" s="80">
        <f t="shared" si="2"/>
        <v>176</v>
      </c>
      <c r="J19" s="196">
        <v>6</v>
      </c>
      <c r="K19" s="196">
        <v>2</v>
      </c>
      <c r="L19" s="195">
        <f t="shared" si="3"/>
        <v>36</v>
      </c>
      <c r="M19" s="195">
        <v>20</v>
      </c>
      <c r="N19" s="195">
        <f t="shared" si="4"/>
        <v>200</v>
      </c>
      <c r="O19" s="196">
        <v>1.5</v>
      </c>
      <c r="P19" s="80">
        <f t="shared" si="5"/>
        <v>242</v>
      </c>
      <c r="Q19" s="193">
        <f t="shared" si="6"/>
        <v>66</v>
      </c>
    </row>
    <row r="20" spans="1:17">
      <c r="A20" s="203">
        <v>10</v>
      </c>
      <c r="B20" s="26" t="s">
        <v>177</v>
      </c>
      <c r="C20" s="196">
        <v>12</v>
      </c>
      <c r="D20" s="196">
        <v>2</v>
      </c>
      <c r="E20" s="195">
        <f t="shared" si="0"/>
        <v>48</v>
      </c>
      <c r="F20" s="195">
        <v>15</v>
      </c>
      <c r="G20" s="195">
        <f t="shared" si="1"/>
        <v>330</v>
      </c>
      <c r="H20" s="196">
        <v>3</v>
      </c>
      <c r="I20" s="80">
        <f t="shared" si="2"/>
        <v>390</v>
      </c>
      <c r="J20" s="196">
        <v>12</v>
      </c>
      <c r="K20" s="196">
        <v>2</v>
      </c>
      <c r="L20" s="195">
        <f t="shared" si="3"/>
        <v>72</v>
      </c>
      <c r="M20" s="195">
        <v>20</v>
      </c>
      <c r="N20" s="195">
        <f t="shared" si="4"/>
        <v>440</v>
      </c>
      <c r="O20" s="196">
        <v>3</v>
      </c>
      <c r="P20" s="80">
        <f t="shared" si="5"/>
        <v>524</v>
      </c>
      <c r="Q20" s="193">
        <f t="shared" si="6"/>
        <v>134</v>
      </c>
    </row>
    <row r="21" spans="1:17" ht="20.25" customHeight="1">
      <c r="A21" s="202"/>
      <c r="B21" s="201"/>
      <c r="C21" s="199"/>
      <c r="D21" s="199"/>
      <c r="E21" s="200"/>
      <c r="F21" s="200"/>
      <c r="G21" s="200"/>
      <c r="H21" s="199"/>
      <c r="I21" s="198"/>
      <c r="J21" s="197"/>
      <c r="K21" s="196"/>
      <c r="L21" s="195">
        <f t="shared" si="3"/>
        <v>0</v>
      </c>
      <c r="M21" s="195"/>
      <c r="N21" s="195">
        <f t="shared" si="4"/>
        <v>0</v>
      </c>
      <c r="O21" s="194"/>
      <c r="P21" s="80">
        <f t="shared" si="5"/>
        <v>0</v>
      </c>
      <c r="Q21" s="193">
        <f t="shared" si="6"/>
        <v>0</v>
      </c>
    </row>
    <row r="22" spans="1:17" ht="27.75" customHeight="1">
      <c r="A22" s="192"/>
      <c r="B22" s="191" t="s">
        <v>35</v>
      </c>
      <c r="C22" s="190" t="s">
        <v>243</v>
      </c>
      <c r="D22" s="190" t="s">
        <v>243</v>
      </c>
      <c r="E22" s="190">
        <f>SUM(E11:E21)</f>
        <v>526</v>
      </c>
      <c r="F22" s="190" t="s">
        <v>243</v>
      </c>
      <c r="G22" s="190">
        <f>SUM(G11:G21)</f>
        <v>3615</v>
      </c>
      <c r="H22" s="190">
        <f>SUM(H11:H21)</f>
        <v>14</v>
      </c>
      <c r="I22" s="190">
        <f>SUM(I11:I21)</f>
        <v>4200</v>
      </c>
      <c r="J22" s="190" t="s">
        <v>243</v>
      </c>
      <c r="K22" s="190" t="s">
        <v>243</v>
      </c>
      <c r="L22" s="190">
        <f>SUM(L11:L21)</f>
        <v>789</v>
      </c>
      <c r="M22" s="190" t="s">
        <v>243</v>
      </c>
      <c r="N22" s="190">
        <f>SUM(N11:N21)</f>
        <v>4820</v>
      </c>
      <c r="O22" s="190">
        <f>SUM(O11:O21)</f>
        <v>15.4</v>
      </c>
      <c r="P22" s="190">
        <f>SUM(P11:P21)</f>
        <v>5674.4</v>
      </c>
      <c r="Q22" s="190">
        <f>SUM(Q11:Q21)</f>
        <v>1474.4</v>
      </c>
    </row>
    <row r="23" spans="1:17" ht="14.25">
      <c r="B23" s="136"/>
      <c r="C23" s="137"/>
      <c r="D23" s="138"/>
      <c r="E23" s="138"/>
      <c r="F23" s="138"/>
      <c r="G23" s="138"/>
      <c r="H23" s="138"/>
      <c r="I23" s="138"/>
      <c r="J23" s="137"/>
      <c r="K23" s="138"/>
      <c r="L23" s="138"/>
      <c r="M23" s="138"/>
      <c r="N23" s="138"/>
      <c r="O23" s="138"/>
      <c r="P23" s="138"/>
    </row>
  </sheetData>
  <mergeCells count="32">
    <mergeCell ref="S1:U1"/>
    <mergeCell ref="N2:P2"/>
    <mergeCell ref="Q2:R2"/>
    <mergeCell ref="S2:U2"/>
    <mergeCell ref="A7:A9"/>
    <mergeCell ref="F8:G8"/>
    <mergeCell ref="M8:N8"/>
    <mergeCell ref="P1:Q1"/>
    <mergeCell ref="P6:Q6"/>
    <mergeCell ref="C7:I7"/>
    <mergeCell ref="A4:Q4"/>
    <mergeCell ref="A3:Q3"/>
    <mergeCell ref="O8:O9"/>
    <mergeCell ref="P8:P9"/>
    <mergeCell ref="A6:B6"/>
    <mergeCell ref="C6:D6"/>
    <mergeCell ref="E6:F6"/>
    <mergeCell ref="G6:H6"/>
    <mergeCell ref="I6:J6"/>
    <mergeCell ref="K6:L6"/>
    <mergeCell ref="J7:P7"/>
    <mergeCell ref="M6:N6"/>
    <mergeCell ref="B7:B9"/>
    <mergeCell ref="Q7:Q9"/>
    <mergeCell ref="J8:J9"/>
    <mergeCell ref="K8:K9"/>
    <mergeCell ref="L8:L9"/>
    <mergeCell ref="E8:E9"/>
    <mergeCell ref="D8:D9"/>
    <mergeCell ref="C8:C9"/>
    <mergeCell ref="H8:H9"/>
    <mergeCell ref="I8:I9"/>
  </mergeCells>
  <pageMargins left="0.2" right="0.19685039370078741" top="0.39370078740157483" bottom="0.74803149606299213" header="0.23622047244094491" footer="0.31496062992125984"/>
  <pageSetup paperSize="9" scale="95" orientation="landscape" verticalDpi="0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220"/>
  <sheetViews>
    <sheetView tabSelected="1" workbookViewId="0">
      <pane ySplit="8" topLeftCell="A83" activePane="bottomLeft" state="frozen"/>
      <selection pane="bottomLeft" activeCell="G9" sqref="G9"/>
    </sheetView>
  </sheetViews>
  <sheetFormatPr defaultRowHeight="13.5"/>
  <cols>
    <col min="1" max="1" width="5" style="5" customWidth="1"/>
    <col min="2" max="2" width="6.85546875" style="6" customWidth="1"/>
    <col min="3" max="3" width="51.42578125" style="6" customWidth="1"/>
    <col min="4" max="4" width="8.28515625" style="6" customWidth="1"/>
    <col min="5" max="5" width="9.140625" style="6" customWidth="1"/>
    <col min="6" max="6" width="9.7109375" style="6" customWidth="1"/>
    <col min="7" max="7" width="10.42578125" style="6" customWidth="1"/>
    <col min="8" max="8" width="7.85546875" style="6" customWidth="1"/>
    <col min="9" max="9" width="8" style="6" customWidth="1"/>
    <col min="10" max="10" width="10.85546875" style="6" customWidth="1"/>
    <col min="11" max="11" width="14.140625" style="6" customWidth="1"/>
    <col min="12" max="12" width="13.5703125" style="6" customWidth="1"/>
    <col min="13" max="16384" width="9.140625" style="6"/>
  </cols>
  <sheetData>
    <row r="1" spans="1:12" ht="14.25">
      <c r="A1" s="1"/>
      <c r="B1" s="4"/>
      <c r="C1" s="46"/>
      <c r="D1" s="32"/>
      <c r="E1" s="32"/>
      <c r="F1" s="4"/>
      <c r="G1" s="4"/>
      <c r="H1" s="223"/>
      <c r="I1" s="223"/>
      <c r="J1" s="5"/>
      <c r="K1" s="227" t="s">
        <v>186</v>
      </c>
      <c r="L1" s="227"/>
    </row>
    <row r="2" spans="1:12" ht="12.75" customHeight="1">
      <c r="A2" s="1"/>
      <c r="B2" s="4"/>
      <c r="C2" s="46"/>
      <c r="D2" s="32"/>
      <c r="E2" s="32"/>
      <c r="F2" s="4"/>
      <c r="G2" s="4"/>
      <c r="H2" s="223"/>
      <c r="I2" s="223"/>
      <c r="J2" s="223"/>
      <c r="K2" s="5"/>
      <c r="L2" s="5"/>
    </row>
    <row r="3" spans="1:12" s="152" customFormat="1" ht="38.25" customHeight="1">
      <c r="A3" s="142"/>
      <c r="B3" s="229" t="s">
        <v>14</v>
      </c>
      <c r="C3" s="229"/>
      <c r="D3" s="229"/>
      <c r="E3" s="229"/>
      <c r="F3" s="229"/>
      <c r="G3" s="229"/>
      <c r="H3" s="229"/>
      <c r="I3" s="229"/>
      <c r="J3" s="229"/>
      <c r="K3" s="229"/>
    </row>
    <row r="4" spans="1:12" s="134" customFormat="1" ht="39.75" customHeight="1">
      <c r="A4" s="239" t="s">
        <v>188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2" ht="14.25" thickBot="1">
      <c r="C5" s="47"/>
    </row>
    <row r="6" spans="1:12" s="30" customFormat="1" ht="26.25" customHeight="1" thickBot="1">
      <c r="A6" s="117"/>
      <c r="B6" s="118"/>
      <c r="C6" s="119"/>
      <c r="D6" s="236" t="s">
        <v>192</v>
      </c>
      <c r="E6" s="237"/>
      <c r="F6" s="237"/>
      <c r="G6" s="238"/>
      <c r="H6" s="236" t="s">
        <v>189</v>
      </c>
      <c r="I6" s="237"/>
      <c r="J6" s="237"/>
      <c r="K6" s="238"/>
      <c r="L6" s="120"/>
    </row>
    <row r="7" spans="1:12" s="123" customFormat="1" ht="90" customHeight="1" thickBot="1">
      <c r="A7" s="121"/>
      <c r="B7" s="232" t="s">
        <v>6</v>
      </c>
      <c r="C7" s="233"/>
      <c r="D7" s="240" t="s">
        <v>48</v>
      </c>
      <c r="E7" s="234" t="s">
        <v>132</v>
      </c>
      <c r="F7" s="234" t="s">
        <v>49</v>
      </c>
      <c r="G7" s="234" t="s">
        <v>50</v>
      </c>
      <c r="H7" s="240" t="s">
        <v>48</v>
      </c>
      <c r="I7" s="234" t="s">
        <v>132</v>
      </c>
      <c r="J7" s="234" t="s">
        <v>49</v>
      </c>
      <c r="K7" s="234" t="s">
        <v>50</v>
      </c>
      <c r="L7" s="122" t="s">
        <v>246</v>
      </c>
    </row>
    <row r="8" spans="1:12" s="123" customFormat="1" ht="14.25" thickBot="1">
      <c r="A8" s="124" t="s">
        <v>2</v>
      </c>
      <c r="B8" s="125" t="s">
        <v>7</v>
      </c>
      <c r="C8" s="126" t="s">
        <v>8</v>
      </c>
      <c r="D8" s="235"/>
      <c r="E8" s="235"/>
      <c r="F8" s="235"/>
      <c r="G8" s="235"/>
      <c r="H8" s="235"/>
      <c r="I8" s="235"/>
      <c r="J8" s="235"/>
      <c r="K8" s="235"/>
      <c r="L8" s="127"/>
    </row>
    <row r="9" spans="1:12" s="35" customFormat="1" thickBot="1">
      <c r="A9" s="128">
        <v>1</v>
      </c>
      <c r="B9" s="129">
        <v>2</v>
      </c>
      <c r="C9" s="130">
        <v>3</v>
      </c>
      <c r="D9" s="128">
        <v>4</v>
      </c>
      <c r="E9" s="129">
        <v>5</v>
      </c>
      <c r="F9" s="130">
        <v>6</v>
      </c>
      <c r="G9" s="129">
        <v>7</v>
      </c>
      <c r="H9" s="130">
        <v>8</v>
      </c>
      <c r="I9" s="128">
        <v>9</v>
      </c>
      <c r="J9" s="129">
        <v>10</v>
      </c>
      <c r="K9" s="129">
        <v>11</v>
      </c>
      <c r="L9" s="154">
        <v>12</v>
      </c>
    </row>
    <row r="10" spans="1:12" s="131" customFormat="1" ht="22.5" customHeight="1">
      <c r="A10" s="48"/>
      <c r="B10" s="49"/>
      <c r="C10" s="50" t="s">
        <v>121</v>
      </c>
      <c r="D10" s="48"/>
      <c r="E10" s="48"/>
      <c r="F10" s="48"/>
      <c r="G10" s="52">
        <f>+G11+G14+G25+G36+G45+G52+G129+G133</f>
        <v>12079.87</v>
      </c>
      <c r="H10" s="48"/>
      <c r="I10" s="48"/>
      <c r="J10" s="48"/>
      <c r="K10" s="52">
        <f>+K11+K14+K25+K36+K45+K52+K129+K133</f>
        <v>37850.670000000006</v>
      </c>
      <c r="L10" s="60">
        <f>+L11+L14+L25+L36+L45+L52+L129+L133</f>
        <v>26274.120000000003</v>
      </c>
    </row>
    <row r="11" spans="1:12" s="131" customFormat="1" ht="22.5" customHeight="1">
      <c r="A11" s="48">
        <v>1</v>
      </c>
      <c r="B11" s="49"/>
      <c r="C11" s="50" t="s">
        <v>9</v>
      </c>
      <c r="D11" s="48"/>
      <c r="E11" s="48"/>
      <c r="F11" s="48"/>
      <c r="G11" s="51">
        <f>SUM(G13:G13)</f>
        <v>2557.8000000000002</v>
      </c>
      <c r="H11" s="48"/>
      <c r="I11" s="48"/>
      <c r="J11" s="48"/>
      <c r="K11" s="52">
        <f>SUM(K13:K13)</f>
        <v>3606.4</v>
      </c>
      <c r="L11" s="51">
        <f>K11-G11</f>
        <v>1048.5999999999999</v>
      </c>
    </row>
    <row r="12" spans="1:12" s="17" customFormat="1" ht="40.5" customHeight="1">
      <c r="A12" s="53"/>
      <c r="B12" s="54"/>
      <c r="C12" s="40" t="s">
        <v>51</v>
      </c>
      <c r="D12" s="54"/>
      <c r="E12" s="54"/>
      <c r="F12" s="54"/>
      <c r="G12" s="55"/>
      <c r="H12" s="54"/>
      <c r="I12" s="54"/>
      <c r="J12" s="54"/>
      <c r="K12" s="56"/>
      <c r="L12" s="54"/>
    </row>
    <row r="13" spans="1:12" s="17" customFormat="1" ht="30.75" customHeight="1">
      <c r="A13" s="53" t="s">
        <v>3</v>
      </c>
      <c r="B13" s="54"/>
      <c r="C13" s="41" t="s">
        <v>74</v>
      </c>
      <c r="D13" s="54" t="s">
        <v>25</v>
      </c>
      <c r="E13" s="54">
        <v>1</v>
      </c>
      <c r="F13" s="54">
        <v>2257800</v>
      </c>
      <c r="G13" s="57">
        <v>2557.8000000000002</v>
      </c>
      <c r="H13" s="54" t="s">
        <v>25</v>
      </c>
      <c r="I13" s="54">
        <v>1</v>
      </c>
      <c r="J13" s="54">
        <v>3606400</v>
      </c>
      <c r="K13" s="58">
        <f>I13*J13/1000</f>
        <v>3606.4</v>
      </c>
      <c r="L13" s="55">
        <f t="shared" ref="L13:L21" si="0">K13-G13</f>
        <v>1048.5999999999999</v>
      </c>
    </row>
    <row r="14" spans="1:12" s="17" customFormat="1" ht="29.25" customHeight="1">
      <c r="A14" s="59">
        <v>2</v>
      </c>
      <c r="B14" s="50">
        <v>4214</v>
      </c>
      <c r="C14" s="50" t="s">
        <v>10</v>
      </c>
      <c r="D14" s="59"/>
      <c r="E14" s="59"/>
      <c r="F14" s="59"/>
      <c r="G14" s="60">
        <f>SUM(G16:G21)</f>
        <v>1976</v>
      </c>
      <c r="H14" s="60"/>
      <c r="I14" s="60"/>
      <c r="J14" s="60"/>
      <c r="K14" s="60">
        <f>SUM(K16:K21)</f>
        <v>6696.6</v>
      </c>
      <c r="L14" s="60">
        <f t="shared" si="0"/>
        <v>4720.6000000000004</v>
      </c>
    </row>
    <row r="15" spans="1:12" s="17" customFormat="1" ht="44.25" customHeight="1">
      <c r="A15" s="61"/>
      <c r="B15" s="54"/>
      <c r="C15" s="40" t="s">
        <v>51</v>
      </c>
      <c r="D15" s="53"/>
      <c r="E15" s="62"/>
      <c r="F15" s="63"/>
      <c r="G15" s="64"/>
      <c r="H15" s="65"/>
      <c r="I15" s="65"/>
      <c r="J15" s="65"/>
      <c r="K15" s="65"/>
      <c r="L15" s="65"/>
    </row>
    <row r="16" spans="1:12" s="131" customFormat="1" ht="43.5" customHeight="1">
      <c r="A16" s="53" t="s">
        <v>133</v>
      </c>
      <c r="B16" s="54"/>
      <c r="C16" s="41" t="s">
        <v>134</v>
      </c>
      <c r="D16" s="132" t="s">
        <v>25</v>
      </c>
      <c r="E16" s="54">
        <v>1</v>
      </c>
      <c r="F16" s="54">
        <v>20000</v>
      </c>
      <c r="G16" s="66">
        <f t="shared" ref="G16:G21" si="1">F16*E16/1000</f>
        <v>20</v>
      </c>
      <c r="H16" s="62" t="s">
        <v>25</v>
      </c>
      <c r="I16" s="54">
        <v>1</v>
      </c>
      <c r="J16" s="54">
        <v>20000</v>
      </c>
      <c r="K16" s="55">
        <f>I16*J16/1000</f>
        <v>20</v>
      </c>
      <c r="L16" s="55">
        <f t="shared" si="0"/>
        <v>0</v>
      </c>
    </row>
    <row r="17" spans="1:13" s="131" customFormat="1" ht="75" customHeight="1">
      <c r="A17" s="53" t="s">
        <v>4</v>
      </c>
      <c r="B17" s="54"/>
      <c r="C17" s="41" t="s">
        <v>109</v>
      </c>
      <c r="D17" s="132" t="s">
        <v>25</v>
      </c>
      <c r="E17" s="54">
        <v>1</v>
      </c>
      <c r="F17" s="54">
        <v>0</v>
      </c>
      <c r="G17" s="66">
        <f t="shared" si="1"/>
        <v>0</v>
      </c>
      <c r="H17" s="62" t="s">
        <v>25</v>
      </c>
      <c r="I17" s="54">
        <v>1</v>
      </c>
      <c r="J17" s="54">
        <f>+'[1]5KAP'!T34</f>
        <v>324000</v>
      </c>
      <c r="K17" s="55">
        <f>I17*J17/1000</f>
        <v>324</v>
      </c>
      <c r="L17" s="55">
        <f t="shared" si="0"/>
        <v>324</v>
      </c>
    </row>
    <row r="18" spans="1:13" s="131" customFormat="1" ht="31.5" customHeight="1">
      <c r="A18" s="53" t="s">
        <v>5</v>
      </c>
      <c r="B18" s="54"/>
      <c r="C18" s="41" t="s">
        <v>135</v>
      </c>
      <c r="D18" s="132" t="s">
        <v>25</v>
      </c>
      <c r="E18" s="54">
        <v>1</v>
      </c>
      <c r="F18" s="54">
        <v>576000</v>
      </c>
      <c r="G18" s="66">
        <f t="shared" si="1"/>
        <v>576</v>
      </c>
      <c r="H18" s="62" t="s">
        <v>25</v>
      </c>
      <c r="I18" s="54">
        <v>1</v>
      </c>
      <c r="J18" s="133">
        <f>+'[1]5KAP'!H30</f>
        <v>604800</v>
      </c>
      <c r="K18" s="55">
        <f>I18*J18/1000</f>
        <v>604.79999999999995</v>
      </c>
      <c r="L18" s="55">
        <f t="shared" si="0"/>
        <v>28.799999999999955</v>
      </c>
    </row>
    <row r="19" spans="1:13" s="17" customFormat="1" ht="31.5" customHeight="1">
      <c r="A19" s="53" t="s">
        <v>75</v>
      </c>
      <c r="B19" s="54"/>
      <c r="C19" s="41" t="s">
        <v>135</v>
      </c>
      <c r="D19" s="132" t="s">
        <v>25</v>
      </c>
      <c r="E19" s="54">
        <v>1</v>
      </c>
      <c r="F19" s="54">
        <v>241500</v>
      </c>
      <c r="G19" s="66">
        <f t="shared" si="1"/>
        <v>241.5</v>
      </c>
      <c r="H19" s="62" t="s">
        <v>25</v>
      </c>
      <c r="I19" s="54">
        <v>1</v>
      </c>
      <c r="J19" s="67">
        <v>1457800</v>
      </c>
      <c r="K19" s="55">
        <f>I19*J19/1000</f>
        <v>1457.8</v>
      </c>
      <c r="L19" s="55">
        <f t="shared" si="0"/>
        <v>1216.3</v>
      </c>
    </row>
    <row r="20" spans="1:13" s="17" customFormat="1" ht="43.5" customHeight="1">
      <c r="A20" s="53" t="s">
        <v>76</v>
      </c>
      <c r="B20" s="54"/>
      <c r="C20" s="41" t="s">
        <v>136</v>
      </c>
      <c r="D20" s="132" t="s">
        <v>25</v>
      </c>
      <c r="E20" s="54">
        <v>1</v>
      </c>
      <c r="F20" s="54">
        <v>600000</v>
      </c>
      <c r="G20" s="66">
        <f t="shared" si="1"/>
        <v>600</v>
      </c>
      <c r="H20" s="62" t="s">
        <v>25</v>
      </c>
      <c r="I20" s="54">
        <v>1</v>
      </c>
      <c r="J20" s="67">
        <v>1200000</v>
      </c>
      <c r="K20" s="55">
        <f>I20*J20/1000</f>
        <v>1200</v>
      </c>
      <c r="L20" s="55">
        <f t="shared" si="0"/>
        <v>600</v>
      </c>
    </row>
    <row r="21" spans="1:13" s="17" customFormat="1" ht="36" customHeight="1">
      <c r="A21" s="53" t="s">
        <v>104</v>
      </c>
      <c r="B21" s="54"/>
      <c r="C21" s="41" t="s">
        <v>137</v>
      </c>
      <c r="D21" s="132" t="s">
        <v>25</v>
      </c>
      <c r="E21" s="54">
        <v>1</v>
      </c>
      <c r="F21" s="54">
        <v>538500</v>
      </c>
      <c r="G21" s="66">
        <f t="shared" si="1"/>
        <v>538.5</v>
      </c>
      <c r="H21" s="62" t="s">
        <v>25</v>
      </c>
      <c r="I21" s="54">
        <v>1</v>
      </c>
      <c r="J21" s="67">
        <f>+'[1]5KAP'!T35</f>
        <v>3090000</v>
      </c>
      <c r="K21" s="55">
        <f>J21*I21/1000</f>
        <v>3090</v>
      </c>
      <c r="L21" s="55">
        <f t="shared" si="0"/>
        <v>2551.5</v>
      </c>
    </row>
    <row r="22" spans="1:13" ht="32.25" hidden="1" customHeight="1">
      <c r="A22" s="59"/>
      <c r="B22" s="50"/>
      <c r="C22" s="50"/>
      <c r="D22" s="59"/>
      <c r="E22" s="59"/>
      <c r="F22" s="59"/>
      <c r="G22" s="60"/>
      <c r="H22" s="59"/>
      <c r="I22" s="59"/>
      <c r="J22" s="59"/>
      <c r="K22" s="60"/>
      <c r="L22" s="60"/>
    </row>
    <row r="23" spans="1:13" ht="45" hidden="1" customHeight="1">
      <c r="A23" s="61"/>
      <c r="B23" s="54"/>
      <c r="C23" s="40"/>
      <c r="D23" s="54"/>
      <c r="E23" s="54"/>
      <c r="F23" s="54"/>
      <c r="G23" s="55"/>
      <c r="H23" s="54"/>
      <c r="I23" s="54"/>
      <c r="J23" s="54"/>
      <c r="K23" s="56"/>
      <c r="L23" s="54"/>
    </row>
    <row r="24" spans="1:13" ht="44.25" hidden="1" customHeight="1">
      <c r="A24" s="53"/>
      <c r="B24" s="54"/>
      <c r="C24" s="41"/>
      <c r="D24" s="53"/>
      <c r="E24" s="53"/>
      <c r="F24" s="54"/>
      <c r="G24" s="57"/>
      <c r="H24" s="53"/>
      <c r="I24" s="53"/>
      <c r="J24" s="67"/>
      <c r="K24" s="58"/>
      <c r="L24" s="55"/>
    </row>
    <row r="25" spans="1:13" ht="29.25" customHeight="1">
      <c r="A25" s="59">
        <v>3</v>
      </c>
      <c r="B25" s="50">
        <v>4232</v>
      </c>
      <c r="C25" s="50" t="s">
        <v>11</v>
      </c>
      <c r="D25" s="59"/>
      <c r="E25" s="59"/>
      <c r="F25" s="59"/>
      <c r="G25" s="60">
        <f>SUM(G27:G35)</f>
        <v>665.8</v>
      </c>
      <c r="H25" s="59"/>
      <c r="I25" s="59"/>
      <c r="J25" s="59"/>
      <c r="K25" s="60">
        <f>SUM(K27:K35)</f>
        <v>2696.1000000000004</v>
      </c>
      <c r="L25" s="60">
        <f>SUM(L27:L35)</f>
        <v>2533.6000000000004</v>
      </c>
      <c r="M25" s="241"/>
    </row>
    <row r="26" spans="1:13" ht="46.5" customHeight="1">
      <c r="A26" s="61"/>
      <c r="B26" s="54"/>
      <c r="C26" s="40" t="s">
        <v>51</v>
      </c>
      <c r="D26" s="54"/>
      <c r="E26" s="54"/>
      <c r="F26" s="54"/>
      <c r="G26" s="55"/>
      <c r="H26" s="54"/>
      <c r="I26" s="54"/>
      <c r="J26" s="54"/>
      <c r="K26" s="56"/>
      <c r="L26" s="54"/>
    </row>
    <row r="27" spans="1:13" ht="40.5">
      <c r="A27" s="53" t="s">
        <v>190</v>
      </c>
      <c r="B27" s="54"/>
      <c r="C27" s="68" t="s">
        <v>130</v>
      </c>
      <c r="D27" s="53" t="s">
        <v>25</v>
      </c>
      <c r="E27" s="53">
        <v>1</v>
      </c>
      <c r="F27" s="54">
        <v>503300</v>
      </c>
      <c r="G27" s="57">
        <f>F27*E27/1000</f>
        <v>503.3</v>
      </c>
      <c r="H27" s="53" t="s">
        <v>25</v>
      </c>
      <c r="I27" s="53"/>
      <c r="J27" s="54"/>
      <c r="K27" s="69"/>
      <c r="L27" s="55"/>
    </row>
    <row r="28" spans="1:13" ht="27">
      <c r="A28" s="242" t="s">
        <v>247</v>
      </c>
      <c r="B28" s="54"/>
      <c r="C28" s="68" t="s">
        <v>197</v>
      </c>
      <c r="D28" s="53"/>
      <c r="E28" s="53"/>
      <c r="F28" s="54"/>
      <c r="G28" s="57"/>
      <c r="H28" s="53" t="s">
        <v>25</v>
      </c>
      <c r="I28" s="53">
        <v>1</v>
      </c>
      <c r="J28" s="54">
        <v>903000</v>
      </c>
      <c r="K28" s="69">
        <f>J28*I28/1000</f>
        <v>903</v>
      </c>
      <c r="L28" s="55">
        <f>K28-G28</f>
        <v>903</v>
      </c>
    </row>
    <row r="29" spans="1:13" ht="46.5" customHeight="1">
      <c r="A29" s="53" t="s">
        <v>191</v>
      </c>
      <c r="B29" s="54"/>
      <c r="C29" s="68" t="s">
        <v>131</v>
      </c>
      <c r="D29" s="53" t="s">
        <v>25</v>
      </c>
      <c r="E29" s="53">
        <v>1</v>
      </c>
      <c r="F29" s="54">
        <v>162500</v>
      </c>
      <c r="G29" s="57">
        <f>F29*E29/1000</f>
        <v>162.5</v>
      </c>
      <c r="H29" s="53" t="s">
        <v>25</v>
      </c>
      <c r="I29" s="53">
        <v>1</v>
      </c>
      <c r="J29" s="54">
        <v>434400</v>
      </c>
      <c r="K29" s="55">
        <f>J29*I29/1000</f>
        <v>434.4</v>
      </c>
      <c r="L29" s="55">
        <f>K29-G29</f>
        <v>271.89999999999998</v>
      </c>
    </row>
    <row r="30" spans="1:13" ht="46.5" customHeight="1">
      <c r="A30" s="53" t="s">
        <v>248</v>
      </c>
      <c r="B30" s="54"/>
      <c r="C30" s="70" t="s">
        <v>99</v>
      </c>
      <c r="D30" s="62"/>
      <c r="E30" s="62"/>
      <c r="F30" s="63"/>
      <c r="G30" s="66"/>
      <c r="H30" s="53" t="s">
        <v>25</v>
      </c>
      <c r="I30" s="53">
        <v>1</v>
      </c>
      <c r="J30" s="54">
        <v>360000</v>
      </c>
      <c r="K30" s="55">
        <f>J30*I30/1000</f>
        <v>360</v>
      </c>
      <c r="L30" s="55">
        <f>K30-G30</f>
        <v>360</v>
      </c>
    </row>
    <row r="31" spans="1:13" ht="33" hidden="1" customHeight="1">
      <c r="A31" s="59"/>
      <c r="B31" s="50"/>
      <c r="C31" s="50"/>
      <c r="D31" s="59"/>
      <c r="E31" s="59"/>
      <c r="F31" s="59"/>
      <c r="G31" s="60"/>
      <c r="H31" s="59"/>
      <c r="I31" s="59"/>
      <c r="J31" s="59"/>
      <c r="K31" s="60"/>
      <c r="L31" s="60"/>
    </row>
    <row r="32" spans="1:13" ht="45.75" hidden="1" customHeight="1">
      <c r="A32" s="61"/>
      <c r="B32" s="54"/>
      <c r="C32" s="40"/>
      <c r="D32" s="54"/>
      <c r="E32" s="54"/>
      <c r="F32" s="54"/>
      <c r="G32" s="55"/>
      <c r="H32" s="54"/>
      <c r="I32" s="54"/>
      <c r="J32" s="54"/>
      <c r="K32" s="56"/>
      <c r="L32" s="54"/>
    </row>
    <row r="33" spans="1:12" ht="57" hidden="1" customHeight="1">
      <c r="A33" s="53"/>
      <c r="B33" s="54"/>
      <c r="C33" s="68"/>
      <c r="D33" s="53"/>
      <c r="E33" s="53"/>
      <c r="F33" s="54"/>
      <c r="G33" s="57"/>
      <c r="H33" s="53"/>
      <c r="I33" s="53"/>
      <c r="J33" s="54"/>
      <c r="K33" s="55"/>
      <c r="L33" s="55"/>
    </row>
    <row r="34" spans="1:12" ht="32.25" hidden="1" customHeight="1">
      <c r="A34" s="53"/>
      <c r="B34" s="54"/>
      <c r="C34" s="68"/>
      <c r="D34" s="53"/>
      <c r="E34" s="53"/>
      <c r="F34" s="54"/>
      <c r="G34" s="57"/>
      <c r="H34" s="53"/>
      <c r="I34" s="53"/>
      <c r="J34" s="54"/>
      <c r="K34" s="55"/>
      <c r="L34" s="55"/>
    </row>
    <row r="35" spans="1:12" ht="29.25" customHeight="1">
      <c r="A35" s="53" t="s">
        <v>249</v>
      </c>
      <c r="B35" s="54"/>
      <c r="C35" s="70" t="s">
        <v>250</v>
      </c>
      <c r="D35" s="62"/>
      <c r="E35" s="62"/>
      <c r="F35" s="63"/>
      <c r="G35" s="66"/>
      <c r="H35" s="53" t="s">
        <v>25</v>
      </c>
      <c r="I35" s="53">
        <v>1</v>
      </c>
      <c r="J35" s="54">
        <v>998700</v>
      </c>
      <c r="K35" s="55">
        <v>998.7</v>
      </c>
      <c r="L35" s="55">
        <f>K35-G35</f>
        <v>998.7</v>
      </c>
    </row>
    <row r="36" spans="1:12" ht="45.75" customHeight="1">
      <c r="A36" s="59">
        <v>4</v>
      </c>
      <c r="B36" s="50">
        <v>4237</v>
      </c>
      <c r="C36" s="50" t="s">
        <v>71</v>
      </c>
      <c r="D36" s="59"/>
      <c r="E36" s="59"/>
      <c r="F36" s="59"/>
      <c r="G36" s="60">
        <f>SUM(G38:G41)</f>
        <v>150</v>
      </c>
      <c r="H36" s="59"/>
      <c r="I36" s="59"/>
      <c r="J36" s="59"/>
      <c r="K36" s="60">
        <f>SUM(K38:K41)</f>
        <v>516</v>
      </c>
      <c r="L36" s="60">
        <f>SUM(L38:L41)</f>
        <v>366</v>
      </c>
    </row>
    <row r="37" spans="1:12" ht="18.75" customHeight="1">
      <c r="A37" s="61"/>
      <c r="B37" s="54"/>
      <c r="C37" s="40" t="s">
        <v>51</v>
      </c>
      <c r="D37" s="54"/>
      <c r="E37" s="54"/>
      <c r="F37" s="54"/>
      <c r="G37" s="55"/>
      <c r="H37" s="54"/>
      <c r="I37" s="54"/>
      <c r="J37" s="54"/>
      <c r="K37" s="56"/>
      <c r="L37" s="54"/>
    </row>
    <row r="38" spans="1:12" ht="29.25" hidden="1" customHeight="1">
      <c r="A38" s="53">
        <v>4.0999999999999996</v>
      </c>
      <c r="B38" s="54"/>
      <c r="C38" s="68" t="s">
        <v>138</v>
      </c>
      <c r="D38" s="53" t="s">
        <v>79</v>
      </c>
      <c r="E38" s="71">
        <v>75</v>
      </c>
      <c r="F38" s="54">
        <v>2000</v>
      </c>
      <c r="G38" s="57">
        <f>F38*E38/1000</f>
        <v>150</v>
      </c>
      <c r="H38" s="53" t="s">
        <v>79</v>
      </c>
      <c r="I38" s="72">
        <f>516/2</f>
        <v>258</v>
      </c>
      <c r="J38" s="73">
        <v>2000</v>
      </c>
      <c r="K38" s="55">
        <f>+I38*J38/1000</f>
        <v>516</v>
      </c>
      <c r="L38" s="55">
        <f>K38-G38</f>
        <v>366</v>
      </c>
    </row>
    <row r="39" spans="1:12" ht="18.75" hidden="1" customHeight="1">
      <c r="A39" s="53">
        <v>4.2</v>
      </c>
      <c r="B39" s="54"/>
      <c r="C39" s="68" t="s">
        <v>184</v>
      </c>
      <c r="D39" s="53" t="s">
        <v>79</v>
      </c>
      <c r="E39" s="71"/>
      <c r="F39" s="54"/>
      <c r="G39" s="57"/>
      <c r="H39" s="53" t="s">
        <v>79</v>
      </c>
      <c r="I39" s="72"/>
      <c r="J39" s="73">
        <v>1440</v>
      </c>
      <c r="K39" s="55">
        <f>+I39*J39/1000</f>
        <v>0</v>
      </c>
      <c r="L39" s="55">
        <f>K39-G39</f>
        <v>0</v>
      </c>
    </row>
    <row r="40" spans="1:12" ht="18.75" hidden="1" customHeight="1">
      <c r="A40" s="53">
        <v>4.3</v>
      </c>
      <c r="B40" s="54"/>
      <c r="C40" s="68" t="s">
        <v>185</v>
      </c>
      <c r="D40" s="53" t="s">
        <v>79</v>
      </c>
      <c r="E40" s="71"/>
      <c r="F40" s="54"/>
      <c r="G40" s="57"/>
      <c r="H40" s="53" t="s">
        <v>79</v>
      </c>
      <c r="I40" s="72"/>
      <c r="J40" s="73">
        <v>480</v>
      </c>
      <c r="K40" s="55">
        <f>+I40*J40/1000</f>
        <v>0</v>
      </c>
      <c r="L40" s="55">
        <f>K40-G40</f>
        <v>0</v>
      </c>
    </row>
    <row r="41" spans="1:12" ht="31.5" hidden="1" customHeight="1">
      <c r="A41" s="53">
        <v>4.4000000000000004</v>
      </c>
      <c r="B41" s="54"/>
      <c r="C41" s="68" t="s">
        <v>183</v>
      </c>
      <c r="D41" s="53" t="s">
        <v>79</v>
      </c>
      <c r="E41" s="71"/>
      <c r="F41" s="54"/>
      <c r="G41" s="57"/>
      <c r="H41" s="53" t="s">
        <v>79</v>
      </c>
      <c r="I41" s="72"/>
      <c r="J41" s="73">
        <v>80</v>
      </c>
      <c r="K41" s="55">
        <f>+I41*J41/1000</f>
        <v>0</v>
      </c>
      <c r="L41" s="55">
        <f>K41-G41</f>
        <v>0</v>
      </c>
    </row>
    <row r="42" spans="1:12" ht="43.5" hidden="1" customHeight="1">
      <c r="A42" s="59"/>
      <c r="B42" s="50"/>
      <c r="C42" s="50"/>
      <c r="D42" s="59"/>
      <c r="E42" s="59"/>
      <c r="F42" s="59"/>
      <c r="G42" s="60"/>
      <c r="H42" s="59"/>
      <c r="I42" s="59"/>
      <c r="J42" s="59"/>
      <c r="K42" s="60"/>
      <c r="L42" s="60"/>
    </row>
    <row r="43" spans="1:12" ht="57.75" hidden="1" customHeight="1">
      <c r="A43" s="61"/>
      <c r="B43" s="54"/>
      <c r="C43" s="40"/>
      <c r="D43" s="54"/>
      <c r="E43" s="54"/>
      <c r="F43" s="54"/>
      <c r="G43" s="55"/>
      <c r="H43" s="54"/>
      <c r="I43" s="54"/>
      <c r="J43" s="54"/>
      <c r="K43" s="56"/>
      <c r="L43" s="54"/>
    </row>
    <row r="44" spans="1:12" ht="43.5" customHeight="1">
      <c r="A44" s="53"/>
      <c r="B44" s="54"/>
      <c r="C44" s="70"/>
      <c r="D44" s="62"/>
      <c r="E44" s="62"/>
      <c r="F44" s="63"/>
      <c r="G44" s="66"/>
      <c r="H44" s="62"/>
      <c r="I44" s="53"/>
      <c r="J44" s="54"/>
      <c r="K44" s="55"/>
      <c r="L44" s="55"/>
    </row>
    <row r="45" spans="1:12" ht="43.5" customHeight="1">
      <c r="A45" s="59">
        <v>5</v>
      </c>
      <c r="B45" s="50">
        <v>4252</v>
      </c>
      <c r="C45" s="50" t="s">
        <v>12</v>
      </c>
      <c r="D45" s="59"/>
      <c r="E45" s="59"/>
      <c r="F45" s="59"/>
      <c r="G45" s="60">
        <f>SUM(G47:G51)</f>
        <v>1828</v>
      </c>
      <c r="H45" s="59"/>
      <c r="I45" s="59"/>
      <c r="J45" s="59"/>
      <c r="K45" s="60">
        <f>SUM(K47:K51)</f>
        <v>6141</v>
      </c>
      <c r="L45" s="60">
        <f>K45-G45</f>
        <v>4313</v>
      </c>
    </row>
    <row r="46" spans="1:12" ht="34.5" customHeight="1">
      <c r="A46" s="61"/>
      <c r="B46" s="54"/>
      <c r="C46" s="40" t="s">
        <v>51</v>
      </c>
      <c r="D46" s="54"/>
      <c r="E46" s="54"/>
      <c r="F46" s="54"/>
      <c r="G46" s="55"/>
      <c r="H46" s="54"/>
      <c r="I46" s="54"/>
      <c r="J46" s="54"/>
      <c r="K46" s="56"/>
      <c r="L46" s="54"/>
    </row>
    <row r="47" spans="1:12" ht="46.5" customHeight="1">
      <c r="A47" s="53">
        <v>5.0999999999999996</v>
      </c>
      <c r="B47" s="54"/>
      <c r="C47" s="68" t="s">
        <v>139</v>
      </c>
      <c r="D47" s="53" t="s">
        <v>25</v>
      </c>
      <c r="E47" s="53">
        <v>1</v>
      </c>
      <c r="F47" s="54">
        <v>700000</v>
      </c>
      <c r="G47" s="57">
        <f>F47*E47/1000</f>
        <v>700</v>
      </c>
      <c r="H47" s="53" t="s">
        <v>25</v>
      </c>
      <c r="I47" s="53">
        <v>1</v>
      </c>
      <c r="J47" s="54">
        <f>2100000+200000</f>
        <v>2300000</v>
      </c>
      <c r="K47" s="55">
        <f>J47*I47/1000</f>
        <v>2300</v>
      </c>
      <c r="L47" s="55">
        <f t="shared" ref="L47:L52" si="2">K47-G47</f>
        <v>1600</v>
      </c>
    </row>
    <row r="48" spans="1:12" ht="45" customHeight="1">
      <c r="A48" s="53">
        <v>5.2</v>
      </c>
      <c r="B48" s="54"/>
      <c r="C48" s="68" t="s">
        <v>140</v>
      </c>
      <c r="D48" s="53" t="s">
        <v>25</v>
      </c>
      <c r="E48" s="53">
        <v>1</v>
      </c>
      <c r="F48" s="54">
        <v>78000</v>
      </c>
      <c r="G48" s="57">
        <f>F48*E48/1000</f>
        <v>78</v>
      </c>
      <c r="H48" s="53" t="s">
        <v>25</v>
      </c>
      <c r="I48" s="53">
        <v>1</v>
      </c>
      <c r="J48" s="54">
        <v>678000</v>
      </c>
      <c r="K48" s="55">
        <f>J48*I48/1000</f>
        <v>678</v>
      </c>
      <c r="L48" s="55">
        <f t="shared" si="2"/>
        <v>600</v>
      </c>
    </row>
    <row r="49" spans="1:12" ht="45" customHeight="1">
      <c r="A49" s="53">
        <v>5.3</v>
      </c>
      <c r="B49" s="54"/>
      <c r="C49" s="68" t="s">
        <v>198</v>
      </c>
      <c r="D49" s="53" t="s">
        <v>25</v>
      </c>
      <c r="E49" s="53">
        <v>1</v>
      </c>
      <c r="F49" s="54">
        <v>1000000</v>
      </c>
      <c r="G49" s="57">
        <f>F49*E49/1000</f>
        <v>1000</v>
      </c>
      <c r="H49" s="53" t="s">
        <v>25</v>
      </c>
      <c r="I49" s="53">
        <v>1</v>
      </c>
      <c r="J49" s="54">
        <v>1985000</v>
      </c>
      <c r="K49" s="55">
        <f>J49*I49/1000</f>
        <v>1985</v>
      </c>
      <c r="L49" s="55">
        <f t="shared" si="2"/>
        <v>985</v>
      </c>
    </row>
    <row r="50" spans="1:12" ht="57" customHeight="1">
      <c r="A50" s="53">
        <v>5.4</v>
      </c>
      <c r="B50" s="54"/>
      <c r="C50" s="68" t="s">
        <v>199</v>
      </c>
      <c r="D50" s="53"/>
      <c r="E50" s="53"/>
      <c r="F50" s="54"/>
      <c r="G50" s="57"/>
      <c r="H50" s="53" t="s">
        <v>25</v>
      </c>
      <c r="I50" s="53">
        <v>1</v>
      </c>
      <c r="J50" s="54">
        <v>995000</v>
      </c>
      <c r="K50" s="55">
        <f>J50*I50/1000</f>
        <v>995</v>
      </c>
      <c r="L50" s="55">
        <f t="shared" si="2"/>
        <v>995</v>
      </c>
    </row>
    <row r="51" spans="1:12" ht="37.5" customHeight="1">
      <c r="A51" s="53">
        <v>5.5</v>
      </c>
      <c r="B51" s="54"/>
      <c r="C51" s="68" t="s">
        <v>141</v>
      </c>
      <c r="D51" s="53" t="s">
        <v>25</v>
      </c>
      <c r="E51" s="53">
        <v>1</v>
      </c>
      <c r="F51" s="54">
        <v>50000</v>
      </c>
      <c r="G51" s="57">
        <f>F51*E51/1000</f>
        <v>50</v>
      </c>
      <c r="H51" s="53" t="s">
        <v>25</v>
      </c>
      <c r="I51" s="53">
        <v>1</v>
      </c>
      <c r="J51" s="54">
        <v>183000</v>
      </c>
      <c r="K51" s="55">
        <f>J51*I51/1000</f>
        <v>183</v>
      </c>
      <c r="L51" s="55">
        <f t="shared" si="2"/>
        <v>133</v>
      </c>
    </row>
    <row r="52" spans="1:12" ht="30.75" customHeight="1">
      <c r="A52" s="48">
        <v>6</v>
      </c>
      <c r="B52" s="49">
        <v>4261</v>
      </c>
      <c r="C52" s="50" t="s">
        <v>13</v>
      </c>
      <c r="D52" s="48"/>
      <c r="E52" s="48"/>
      <c r="F52" s="48"/>
      <c r="G52" s="51">
        <f>SUM(G54:G123)</f>
        <v>720.8</v>
      </c>
      <c r="H52" s="48"/>
      <c r="I52" s="48"/>
      <c r="J52" s="48"/>
      <c r="K52" s="51">
        <f>SUM(K54:K127)</f>
        <v>2947.7</v>
      </c>
      <c r="L52" s="178">
        <f t="shared" si="2"/>
        <v>2226.8999999999996</v>
      </c>
    </row>
    <row r="53" spans="1:12" ht="27">
      <c r="A53" s="53"/>
      <c r="B53" s="54"/>
      <c r="C53" s="68" t="s">
        <v>51</v>
      </c>
      <c r="D53" s="53"/>
      <c r="E53" s="53"/>
      <c r="F53" s="54"/>
      <c r="G53" s="57"/>
      <c r="H53" s="53"/>
      <c r="I53" s="53"/>
      <c r="J53" s="54"/>
      <c r="K53" s="55"/>
      <c r="L53" s="55"/>
    </row>
    <row r="54" spans="1:12">
      <c r="A54" s="74">
        <v>6.1</v>
      </c>
      <c r="B54" s="54"/>
      <c r="C54" s="68" t="s">
        <v>142</v>
      </c>
      <c r="D54" s="53" t="s">
        <v>79</v>
      </c>
      <c r="E54" s="53">
        <v>4</v>
      </c>
      <c r="F54" s="54">
        <v>250</v>
      </c>
      <c r="G54" s="57">
        <f t="shared" ref="G54:G74" si="3">F54*E54/1000</f>
        <v>1</v>
      </c>
      <c r="H54" s="75" t="s">
        <v>79</v>
      </c>
      <c r="I54" s="53">
        <v>4</v>
      </c>
      <c r="J54" s="76">
        <v>250</v>
      </c>
      <c r="K54" s="74">
        <f>J54*I54/1000</f>
        <v>1</v>
      </c>
      <c r="L54" s="55">
        <f t="shared" ref="L54:L124" si="4">K54-G54</f>
        <v>0</v>
      </c>
    </row>
    <row r="55" spans="1:12">
      <c r="A55" s="74">
        <v>6.2</v>
      </c>
      <c r="B55" s="54"/>
      <c r="C55" s="68" t="s">
        <v>54</v>
      </c>
      <c r="D55" s="53" t="s">
        <v>79</v>
      </c>
      <c r="E55" s="53">
        <v>12</v>
      </c>
      <c r="F55" s="54">
        <v>275</v>
      </c>
      <c r="G55" s="57">
        <f t="shared" si="3"/>
        <v>3.3</v>
      </c>
      <c r="H55" s="75" t="s">
        <v>79</v>
      </c>
      <c r="I55" s="53">
        <v>12</v>
      </c>
      <c r="J55" s="76">
        <v>275</v>
      </c>
      <c r="K55" s="74">
        <f t="shared" ref="K55:K74" si="5">I55*J55/1000</f>
        <v>3.3</v>
      </c>
      <c r="L55" s="55">
        <f t="shared" si="4"/>
        <v>0</v>
      </c>
    </row>
    <row r="56" spans="1:12">
      <c r="A56" s="74">
        <v>6.3</v>
      </c>
      <c r="B56" s="54"/>
      <c r="C56" s="68" t="s">
        <v>55</v>
      </c>
      <c r="D56" s="53" t="s">
        <v>79</v>
      </c>
      <c r="E56" s="53">
        <v>10</v>
      </c>
      <c r="F56" s="54">
        <v>100</v>
      </c>
      <c r="G56" s="57">
        <f t="shared" si="3"/>
        <v>1</v>
      </c>
      <c r="H56" s="75" t="s">
        <v>79</v>
      </c>
      <c r="I56" s="53">
        <v>10</v>
      </c>
      <c r="J56" s="76">
        <v>100</v>
      </c>
      <c r="K56" s="74">
        <f t="shared" si="5"/>
        <v>1</v>
      </c>
      <c r="L56" s="55">
        <f t="shared" si="4"/>
        <v>0</v>
      </c>
    </row>
    <row r="57" spans="1:12">
      <c r="A57" s="74">
        <v>6.4</v>
      </c>
      <c r="B57" s="54"/>
      <c r="C57" s="68" t="s">
        <v>143</v>
      </c>
      <c r="D57" s="53" t="s">
        <v>79</v>
      </c>
      <c r="E57" s="53">
        <v>90</v>
      </c>
      <c r="F57" s="54">
        <v>70</v>
      </c>
      <c r="G57" s="57">
        <f t="shared" si="3"/>
        <v>6.3</v>
      </c>
      <c r="H57" s="75" t="s">
        <v>79</v>
      </c>
      <c r="I57" s="53">
        <v>90</v>
      </c>
      <c r="J57" s="76">
        <v>70</v>
      </c>
      <c r="K57" s="74">
        <f t="shared" si="5"/>
        <v>6.3</v>
      </c>
      <c r="L57" s="55">
        <f t="shared" si="4"/>
        <v>0</v>
      </c>
    </row>
    <row r="58" spans="1:12">
      <c r="A58" s="74">
        <v>6.5</v>
      </c>
      <c r="B58" s="54"/>
      <c r="C58" s="68" t="s">
        <v>144</v>
      </c>
      <c r="D58" s="53" t="s">
        <v>79</v>
      </c>
      <c r="E58" s="53">
        <v>1200</v>
      </c>
      <c r="F58" s="54">
        <v>10</v>
      </c>
      <c r="G58" s="57">
        <f t="shared" si="3"/>
        <v>12</v>
      </c>
      <c r="H58" s="75" t="s">
        <v>79</v>
      </c>
      <c r="I58" s="53">
        <v>1200</v>
      </c>
      <c r="J58" s="76">
        <v>10</v>
      </c>
      <c r="K58" s="74">
        <f>J58*I58/1000</f>
        <v>12</v>
      </c>
      <c r="L58" s="55">
        <f t="shared" si="4"/>
        <v>0</v>
      </c>
    </row>
    <row r="59" spans="1:12">
      <c r="A59" s="74">
        <v>6.6</v>
      </c>
      <c r="B59" s="54"/>
      <c r="C59" s="68" t="s">
        <v>57</v>
      </c>
      <c r="D59" s="53" t="s">
        <v>80</v>
      </c>
      <c r="E59" s="53">
        <v>745</v>
      </c>
      <c r="F59" s="54">
        <v>780</v>
      </c>
      <c r="G59" s="57">
        <f t="shared" si="3"/>
        <v>581.1</v>
      </c>
      <c r="H59" s="75" t="s">
        <v>79</v>
      </c>
      <c r="I59" s="53">
        <v>745</v>
      </c>
      <c r="J59" s="76">
        <v>780</v>
      </c>
      <c r="K59" s="74">
        <f>J59*I59/1000</f>
        <v>581.1</v>
      </c>
      <c r="L59" s="55">
        <f t="shared" si="4"/>
        <v>0</v>
      </c>
    </row>
    <row r="60" spans="1:12">
      <c r="A60" s="74">
        <v>6.7</v>
      </c>
      <c r="B60" s="54"/>
      <c r="C60" s="68" t="s">
        <v>58</v>
      </c>
      <c r="D60" s="53" t="s">
        <v>79</v>
      </c>
      <c r="E60" s="53">
        <v>2</v>
      </c>
      <c r="F60" s="54">
        <v>1000</v>
      </c>
      <c r="G60" s="57">
        <f t="shared" si="3"/>
        <v>2</v>
      </c>
      <c r="H60" s="75" t="s">
        <v>79</v>
      </c>
      <c r="I60" s="53">
        <v>2</v>
      </c>
      <c r="J60" s="76">
        <v>1000</v>
      </c>
      <c r="K60" s="74">
        <f t="shared" si="5"/>
        <v>2</v>
      </c>
      <c r="L60" s="55">
        <f t="shared" si="4"/>
        <v>0</v>
      </c>
    </row>
    <row r="61" spans="1:12">
      <c r="A61" s="74">
        <v>6.8</v>
      </c>
      <c r="B61" s="54"/>
      <c r="C61" s="68" t="s">
        <v>59</v>
      </c>
      <c r="D61" s="53" t="s">
        <v>79</v>
      </c>
      <c r="E61" s="53">
        <v>165</v>
      </c>
      <c r="F61" s="54">
        <v>20</v>
      </c>
      <c r="G61" s="57">
        <f t="shared" si="3"/>
        <v>3.3</v>
      </c>
      <c r="H61" s="75" t="s">
        <v>79</v>
      </c>
      <c r="I61" s="53">
        <v>165</v>
      </c>
      <c r="J61" s="76">
        <v>20</v>
      </c>
      <c r="K61" s="74">
        <f t="shared" si="5"/>
        <v>3.3</v>
      </c>
      <c r="L61" s="55">
        <f t="shared" si="4"/>
        <v>0</v>
      </c>
    </row>
    <row r="62" spans="1:12">
      <c r="A62" s="74">
        <v>6.9</v>
      </c>
      <c r="B62" s="54"/>
      <c r="C62" s="68" t="s">
        <v>110</v>
      </c>
      <c r="D62" s="53" t="s">
        <v>79</v>
      </c>
      <c r="E62" s="53">
        <v>15</v>
      </c>
      <c r="F62" s="54">
        <v>700</v>
      </c>
      <c r="G62" s="57">
        <f t="shared" si="3"/>
        <v>10.5</v>
      </c>
      <c r="H62" s="75" t="s">
        <v>79</v>
      </c>
      <c r="I62" s="53">
        <v>15</v>
      </c>
      <c r="J62" s="76">
        <v>700</v>
      </c>
      <c r="K62" s="74">
        <f t="shared" si="5"/>
        <v>10.5</v>
      </c>
      <c r="L62" s="55">
        <f t="shared" si="4"/>
        <v>0</v>
      </c>
    </row>
    <row r="63" spans="1:12">
      <c r="A63" s="74">
        <v>6.1</v>
      </c>
      <c r="B63" s="54"/>
      <c r="C63" s="68" t="s">
        <v>60</v>
      </c>
      <c r="D63" s="53" t="s">
        <v>79</v>
      </c>
      <c r="E63" s="53">
        <v>5</v>
      </c>
      <c r="F63" s="54">
        <v>900</v>
      </c>
      <c r="G63" s="57">
        <f t="shared" si="3"/>
        <v>4.5</v>
      </c>
      <c r="H63" s="75" t="s">
        <v>79</v>
      </c>
      <c r="I63" s="53">
        <v>5</v>
      </c>
      <c r="J63" s="76">
        <v>900</v>
      </c>
      <c r="K63" s="74">
        <f t="shared" si="5"/>
        <v>4.5</v>
      </c>
      <c r="L63" s="55">
        <f t="shared" si="4"/>
        <v>0</v>
      </c>
    </row>
    <row r="64" spans="1:12">
      <c r="A64" s="74">
        <v>6.11</v>
      </c>
      <c r="B64" s="54"/>
      <c r="C64" s="68" t="s">
        <v>61</v>
      </c>
      <c r="D64" s="53" t="s">
        <v>79</v>
      </c>
      <c r="E64" s="53">
        <v>35</v>
      </c>
      <c r="F64" s="54">
        <v>900</v>
      </c>
      <c r="G64" s="57">
        <f t="shared" si="3"/>
        <v>31.5</v>
      </c>
      <c r="H64" s="75" t="s">
        <v>79</v>
      </c>
      <c r="I64" s="53">
        <v>35</v>
      </c>
      <c r="J64" s="76">
        <v>900</v>
      </c>
      <c r="K64" s="74">
        <f t="shared" si="5"/>
        <v>31.5</v>
      </c>
      <c r="L64" s="55">
        <f t="shared" si="4"/>
        <v>0</v>
      </c>
    </row>
    <row r="65" spans="1:12">
      <c r="A65" s="74">
        <v>6.12</v>
      </c>
      <c r="B65" s="54"/>
      <c r="C65" s="68" t="s">
        <v>62</v>
      </c>
      <c r="D65" s="53" t="s">
        <v>79</v>
      </c>
      <c r="E65" s="53">
        <v>15</v>
      </c>
      <c r="F65" s="54">
        <v>800</v>
      </c>
      <c r="G65" s="57">
        <f t="shared" si="3"/>
        <v>12</v>
      </c>
      <c r="H65" s="75" t="s">
        <v>79</v>
      </c>
      <c r="I65" s="53">
        <v>15</v>
      </c>
      <c r="J65" s="76">
        <v>800</v>
      </c>
      <c r="K65" s="74">
        <f t="shared" si="5"/>
        <v>12</v>
      </c>
      <c r="L65" s="55">
        <f t="shared" si="4"/>
        <v>0</v>
      </c>
    </row>
    <row r="66" spans="1:12">
      <c r="A66" s="74">
        <v>6.13</v>
      </c>
      <c r="B66" s="54"/>
      <c r="C66" s="68" t="s">
        <v>145</v>
      </c>
      <c r="D66" s="53" t="s">
        <v>79</v>
      </c>
      <c r="E66" s="53">
        <v>4</v>
      </c>
      <c r="F66" s="54">
        <v>1100</v>
      </c>
      <c r="G66" s="57">
        <f t="shared" si="3"/>
        <v>4.4000000000000004</v>
      </c>
      <c r="H66" s="75" t="s">
        <v>79</v>
      </c>
      <c r="I66" s="53">
        <v>4</v>
      </c>
      <c r="J66" s="76">
        <v>1100</v>
      </c>
      <c r="K66" s="74">
        <f t="shared" si="5"/>
        <v>4.4000000000000004</v>
      </c>
      <c r="L66" s="55">
        <f t="shared" si="4"/>
        <v>0</v>
      </c>
    </row>
    <row r="67" spans="1:12">
      <c r="A67" s="74">
        <v>6.14</v>
      </c>
      <c r="B67" s="54"/>
      <c r="C67" s="68" t="s">
        <v>145</v>
      </c>
      <c r="D67" s="53" t="s">
        <v>79</v>
      </c>
      <c r="E67" s="53">
        <v>24</v>
      </c>
      <c r="F67" s="54">
        <f>6000/24</f>
        <v>250</v>
      </c>
      <c r="G67" s="57">
        <f t="shared" si="3"/>
        <v>6</v>
      </c>
      <c r="H67" s="75" t="s">
        <v>79</v>
      </c>
      <c r="I67" s="53">
        <v>24</v>
      </c>
      <c r="J67" s="76">
        <f>6000/24</f>
        <v>250</v>
      </c>
      <c r="K67" s="74">
        <f t="shared" si="5"/>
        <v>6</v>
      </c>
      <c r="L67" s="55">
        <f t="shared" si="4"/>
        <v>0</v>
      </c>
    </row>
    <row r="68" spans="1:12">
      <c r="A68" s="74">
        <v>6.15</v>
      </c>
      <c r="B68" s="54"/>
      <c r="C68" s="68" t="s">
        <v>63</v>
      </c>
      <c r="D68" s="53" t="s">
        <v>81</v>
      </c>
      <c r="E68" s="53">
        <v>30</v>
      </c>
      <c r="F68" s="54">
        <v>80</v>
      </c>
      <c r="G68" s="57">
        <f t="shared" si="3"/>
        <v>2.4</v>
      </c>
      <c r="H68" s="75" t="s">
        <v>81</v>
      </c>
      <c r="I68" s="53">
        <v>30</v>
      </c>
      <c r="J68" s="76">
        <v>80</v>
      </c>
      <c r="K68" s="74">
        <f t="shared" si="5"/>
        <v>2.4</v>
      </c>
      <c r="L68" s="55">
        <f t="shared" si="4"/>
        <v>0</v>
      </c>
    </row>
    <row r="69" spans="1:12">
      <c r="A69" s="74">
        <v>6.16</v>
      </c>
      <c r="B69" s="54"/>
      <c r="C69" s="68" t="s">
        <v>63</v>
      </c>
      <c r="D69" s="53" t="s">
        <v>81</v>
      </c>
      <c r="E69" s="53">
        <v>30</v>
      </c>
      <c r="F69" s="54">
        <v>140</v>
      </c>
      <c r="G69" s="57">
        <f t="shared" si="3"/>
        <v>4.2</v>
      </c>
      <c r="H69" s="75" t="s">
        <v>81</v>
      </c>
      <c r="I69" s="53">
        <v>30</v>
      </c>
      <c r="J69" s="76">
        <v>140</v>
      </c>
      <c r="K69" s="74">
        <f t="shared" si="5"/>
        <v>4.2</v>
      </c>
      <c r="L69" s="55">
        <f t="shared" si="4"/>
        <v>0</v>
      </c>
    </row>
    <row r="70" spans="1:12">
      <c r="A70" s="74">
        <v>6.17</v>
      </c>
      <c r="B70" s="54"/>
      <c r="C70" s="68" t="s">
        <v>146</v>
      </c>
      <c r="D70" s="53" t="s">
        <v>81</v>
      </c>
      <c r="E70" s="53">
        <v>50</v>
      </c>
      <c r="F70" s="54">
        <v>100</v>
      </c>
      <c r="G70" s="57">
        <f t="shared" si="3"/>
        <v>5</v>
      </c>
      <c r="H70" s="75" t="s">
        <v>81</v>
      </c>
      <c r="I70" s="53">
        <v>50</v>
      </c>
      <c r="J70" s="76">
        <v>100</v>
      </c>
      <c r="K70" s="74">
        <f t="shared" si="5"/>
        <v>5</v>
      </c>
      <c r="L70" s="55">
        <f t="shared" si="4"/>
        <v>0</v>
      </c>
    </row>
    <row r="71" spans="1:12">
      <c r="A71" s="74">
        <v>6.1800000000000104</v>
      </c>
      <c r="B71" s="54"/>
      <c r="C71" s="68" t="s">
        <v>147</v>
      </c>
      <c r="D71" s="53" t="s">
        <v>81</v>
      </c>
      <c r="E71" s="53">
        <v>26</v>
      </c>
      <c r="F71" s="54">
        <v>250</v>
      </c>
      <c r="G71" s="57">
        <f t="shared" si="3"/>
        <v>6.5</v>
      </c>
      <c r="H71" s="75" t="s">
        <v>81</v>
      </c>
      <c r="I71" s="53">
        <v>26</v>
      </c>
      <c r="J71" s="76">
        <v>250</v>
      </c>
      <c r="K71" s="74">
        <f t="shared" si="5"/>
        <v>6.5</v>
      </c>
      <c r="L71" s="55">
        <f t="shared" si="4"/>
        <v>0</v>
      </c>
    </row>
    <row r="72" spans="1:12">
      <c r="A72" s="74">
        <v>6.1900000000000102</v>
      </c>
      <c r="B72" s="54"/>
      <c r="C72" s="68" t="s">
        <v>65</v>
      </c>
      <c r="D72" s="53" t="s">
        <v>79</v>
      </c>
      <c r="E72" s="53">
        <v>2</v>
      </c>
      <c r="F72" s="54">
        <v>500</v>
      </c>
      <c r="G72" s="57">
        <f t="shared" si="3"/>
        <v>1</v>
      </c>
      <c r="H72" s="75" t="s">
        <v>79</v>
      </c>
      <c r="I72" s="53">
        <v>2</v>
      </c>
      <c r="J72" s="76">
        <v>500</v>
      </c>
      <c r="K72" s="74">
        <f t="shared" si="5"/>
        <v>1</v>
      </c>
      <c r="L72" s="55">
        <f t="shared" si="4"/>
        <v>0</v>
      </c>
    </row>
    <row r="73" spans="1:12">
      <c r="A73" s="74">
        <v>6.2000000000000099</v>
      </c>
      <c r="B73" s="54"/>
      <c r="C73" s="68" t="s">
        <v>67</v>
      </c>
      <c r="D73" s="53" t="s">
        <v>79</v>
      </c>
      <c r="E73" s="53">
        <v>100</v>
      </c>
      <c r="F73" s="54">
        <f>20000/100</f>
        <v>200</v>
      </c>
      <c r="G73" s="57">
        <f t="shared" si="3"/>
        <v>20</v>
      </c>
      <c r="H73" s="75" t="s">
        <v>79</v>
      </c>
      <c r="I73" s="53">
        <v>100</v>
      </c>
      <c r="J73" s="76">
        <f>20000/100</f>
        <v>200</v>
      </c>
      <c r="K73" s="74">
        <f t="shared" si="5"/>
        <v>20</v>
      </c>
      <c r="L73" s="55">
        <f t="shared" si="4"/>
        <v>0</v>
      </c>
    </row>
    <row r="74" spans="1:12">
      <c r="A74" s="74">
        <v>6.2100000000000097</v>
      </c>
      <c r="B74" s="54"/>
      <c r="C74" s="68" t="s">
        <v>69</v>
      </c>
      <c r="D74" s="53" t="s">
        <v>79</v>
      </c>
      <c r="E74" s="53">
        <v>2</v>
      </c>
      <c r="F74" s="54">
        <v>1400</v>
      </c>
      <c r="G74" s="57">
        <f t="shared" si="3"/>
        <v>2.8</v>
      </c>
      <c r="H74" s="75" t="s">
        <v>79</v>
      </c>
      <c r="I74" s="53">
        <v>2</v>
      </c>
      <c r="J74" s="76">
        <v>1400</v>
      </c>
      <c r="K74" s="74">
        <f t="shared" si="5"/>
        <v>2.8</v>
      </c>
      <c r="L74" s="55">
        <f t="shared" si="4"/>
        <v>0</v>
      </c>
    </row>
    <row r="75" spans="1:12">
      <c r="A75" s="74">
        <v>6.2200000000000104</v>
      </c>
      <c r="B75" s="54"/>
      <c r="C75" s="183" t="s">
        <v>200</v>
      </c>
      <c r="D75" s="53"/>
      <c r="E75" s="53"/>
      <c r="F75" s="54"/>
      <c r="G75" s="57"/>
      <c r="H75" s="184" t="s">
        <v>79</v>
      </c>
      <c r="I75" s="184">
        <v>10</v>
      </c>
      <c r="J75" s="76">
        <f t="shared" ref="J75:J127" si="6">+K75/I75*1000</f>
        <v>250</v>
      </c>
      <c r="K75" s="74">
        <v>2.5</v>
      </c>
      <c r="L75" s="55">
        <f t="shared" si="4"/>
        <v>2.5</v>
      </c>
    </row>
    <row r="76" spans="1:12">
      <c r="A76" s="74">
        <v>6.2300000000000102</v>
      </c>
      <c r="B76" s="54"/>
      <c r="C76" s="183" t="s">
        <v>234</v>
      </c>
      <c r="D76" s="53"/>
      <c r="E76" s="53"/>
      <c r="F76" s="54"/>
      <c r="G76" s="57"/>
      <c r="H76" s="184" t="s">
        <v>79</v>
      </c>
      <c r="I76" s="184">
        <v>72</v>
      </c>
      <c r="J76" s="76">
        <f t="shared" si="6"/>
        <v>1000</v>
      </c>
      <c r="K76" s="74">
        <v>72</v>
      </c>
      <c r="L76" s="55">
        <f t="shared" si="4"/>
        <v>72</v>
      </c>
    </row>
    <row r="77" spans="1:12">
      <c r="A77" s="74">
        <v>6.24000000000001</v>
      </c>
      <c r="B77" s="54"/>
      <c r="C77" s="183" t="s">
        <v>143</v>
      </c>
      <c r="D77" s="53"/>
      <c r="E77" s="53"/>
      <c r="F77" s="54"/>
      <c r="G77" s="57"/>
      <c r="H77" s="184" t="s">
        <v>79</v>
      </c>
      <c r="I77" s="184">
        <v>221</v>
      </c>
      <c r="J77" s="76">
        <f t="shared" si="6"/>
        <v>100</v>
      </c>
      <c r="K77" s="74">
        <f>221*0.1</f>
        <v>22.1</v>
      </c>
      <c r="L77" s="55">
        <f t="shared" si="4"/>
        <v>22.1</v>
      </c>
    </row>
    <row r="78" spans="1:12">
      <c r="A78" s="74">
        <v>6.2500000000000098</v>
      </c>
      <c r="B78" s="54"/>
      <c r="C78" s="183" t="s">
        <v>56</v>
      </c>
      <c r="D78" s="53"/>
      <c r="E78" s="53"/>
      <c r="F78" s="54"/>
      <c r="G78" s="57"/>
      <c r="H78" s="185" t="s">
        <v>95</v>
      </c>
      <c r="I78" s="184">
        <v>32</v>
      </c>
      <c r="J78" s="76">
        <f t="shared" si="6"/>
        <v>100</v>
      </c>
      <c r="K78" s="74">
        <v>3.2</v>
      </c>
      <c r="L78" s="55">
        <f t="shared" si="4"/>
        <v>3.2</v>
      </c>
    </row>
    <row r="79" spans="1:12">
      <c r="A79" s="74">
        <v>6.2600000000000096</v>
      </c>
      <c r="B79" s="54"/>
      <c r="C79" s="183" t="s">
        <v>201</v>
      </c>
      <c r="D79" s="53"/>
      <c r="E79" s="53"/>
      <c r="F79" s="54"/>
      <c r="G79" s="57"/>
      <c r="H79" s="184" t="s">
        <v>81</v>
      </c>
      <c r="I79" s="184">
        <v>162</v>
      </c>
      <c r="J79" s="76">
        <f t="shared" si="6"/>
        <v>2500</v>
      </c>
      <c r="K79" s="74">
        <f>162*2.5</f>
        <v>405</v>
      </c>
      <c r="L79" s="55">
        <f t="shared" si="4"/>
        <v>405</v>
      </c>
    </row>
    <row r="80" spans="1:12">
      <c r="A80" s="74">
        <v>6.2700000000000102</v>
      </c>
      <c r="B80" s="54"/>
      <c r="C80" s="183" t="s">
        <v>202</v>
      </c>
      <c r="D80" s="53"/>
      <c r="E80" s="53"/>
      <c r="F80" s="54"/>
      <c r="G80" s="57"/>
      <c r="H80" s="184" t="s">
        <v>79</v>
      </c>
      <c r="I80" s="184">
        <v>500</v>
      </c>
      <c r="J80" s="76">
        <f t="shared" si="6"/>
        <v>20</v>
      </c>
      <c r="K80" s="74">
        <f>20*500/1000</f>
        <v>10</v>
      </c>
      <c r="L80" s="55">
        <f t="shared" si="4"/>
        <v>10</v>
      </c>
    </row>
    <row r="81" spans="1:12">
      <c r="A81" s="74">
        <v>6.28000000000001</v>
      </c>
      <c r="B81" s="54"/>
      <c r="C81" s="183" t="s">
        <v>203</v>
      </c>
      <c r="D81" s="53"/>
      <c r="E81" s="53"/>
      <c r="F81" s="54"/>
      <c r="G81" s="57"/>
      <c r="H81" s="184" t="s">
        <v>79</v>
      </c>
      <c r="I81" s="184">
        <v>150</v>
      </c>
      <c r="J81" s="76">
        <f t="shared" si="6"/>
        <v>60</v>
      </c>
      <c r="K81" s="74">
        <f>60*0.15</f>
        <v>9</v>
      </c>
      <c r="L81" s="55">
        <f t="shared" si="4"/>
        <v>9</v>
      </c>
    </row>
    <row r="82" spans="1:12">
      <c r="A82" s="74">
        <v>6.2900000000000098</v>
      </c>
      <c r="B82" s="54"/>
      <c r="C82" s="183" t="s">
        <v>204</v>
      </c>
      <c r="D82" s="53"/>
      <c r="E82" s="53"/>
      <c r="F82" s="54"/>
      <c r="G82" s="57"/>
      <c r="H82" s="184" t="s">
        <v>79</v>
      </c>
      <c r="I82" s="184">
        <v>10</v>
      </c>
      <c r="J82" s="76">
        <f t="shared" si="6"/>
        <v>800</v>
      </c>
      <c r="K82" s="74">
        <v>8</v>
      </c>
      <c r="L82" s="55">
        <f t="shared" si="4"/>
        <v>8</v>
      </c>
    </row>
    <row r="83" spans="1:12">
      <c r="A83" s="74">
        <v>6.3000000000000096</v>
      </c>
      <c r="B83" s="54"/>
      <c r="C83" s="183" t="s">
        <v>53</v>
      </c>
      <c r="D83" s="53"/>
      <c r="E83" s="53"/>
      <c r="F83" s="54"/>
      <c r="G83" s="57"/>
      <c r="H83" s="184" t="s">
        <v>79</v>
      </c>
      <c r="I83" s="184">
        <v>32</v>
      </c>
      <c r="J83" s="76">
        <f t="shared" si="6"/>
        <v>350</v>
      </c>
      <c r="K83" s="74">
        <f>32*0.35</f>
        <v>11.2</v>
      </c>
      <c r="L83" s="55">
        <f t="shared" si="4"/>
        <v>11.2</v>
      </c>
    </row>
    <row r="84" spans="1:12">
      <c r="A84" s="74">
        <v>6.3100000000000103</v>
      </c>
      <c r="B84" s="54"/>
      <c r="C84" s="183" t="s">
        <v>205</v>
      </c>
      <c r="D84" s="53"/>
      <c r="E84" s="53"/>
      <c r="F84" s="54"/>
      <c r="G84" s="57"/>
      <c r="H84" s="184" t="s">
        <v>80</v>
      </c>
      <c r="I84" s="184">
        <v>2</v>
      </c>
      <c r="J84" s="76">
        <f t="shared" si="6"/>
        <v>1800</v>
      </c>
      <c r="K84" s="74">
        <f>2*1800/1000</f>
        <v>3.6</v>
      </c>
      <c r="L84" s="55">
        <f t="shared" si="4"/>
        <v>3.6</v>
      </c>
    </row>
    <row r="85" spans="1:12" ht="27">
      <c r="A85" s="74">
        <v>6.3200000000000101</v>
      </c>
      <c r="B85" s="54"/>
      <c r="C85" s="183" t="s">
        <v>206</v>
      </c>
      <c r="D85" s="53"/>
      <c r="E85" s="53"/>
      <c r="F85" s="54"/>
      <c r="G85" s="57"/>
      <c r="H85" s="184" t="s">
        <v>79</v>
      </c>
      <c r="I85" s="184">
        <v>34</v>
      </c>
      <c r="J85" s="76">
        <f t="shared" si="6"/>
        <v>250</v>
      </c>
      <c r="K85" s="74">
        <f>34*0.25</f>
        <v>8.5</v>
      </c>
      <c r="L85" s="55">
        <f t="shared" si="4"/>
        <v>8.5</v>
      </c>
    </row>
    <row r="86" spans="1:12">
      <c r="A86" s="74">
        <v>6.3300000000000098</v>
      </c>
      <c r="B86" s="54"/>
      <c r="C86" s="183" t="s">
        <v>207</v>
      </c>
      <c r="D86" s="53"/>
      <c r="E86" s="53"/>
      <c r="F86" s="54"/>
      <c r="G86" s="57"/>
      <c r="H86" s="184" t="s">
        <v>79</v>
      </c>
      <c r="I86" s="184">
        <v>35</v>
      </c>
      <c r="J86" s="76">
        <f t="shared" si="6"/>
        <v>30.000000000000004</v>
      </c>
      <c r="K86" s="74">
        <f>35*0.03</f>
        <v>1.05</v>
      </c>
      <c r="L86" s="55">
        <f t="shared" si="4"/>
        <v>1.05</v>
      </c>
    </row>
    <row r="87" spans="1:12">
      <c r="A87" s="74">
        <v>6.3400000000000096</v>
      </c>
      <c r="B87" s="54"/>
      <c r="C87" s="183" t="s">
        <v>208</v>
      </c>
      <c r="D87" s="53"/>
      <c r="E87" s="53"/>
      <c r="F87" s="54"/>
      <c r="G87" s="57"/>
      <c r="H87" s="184" t="s">
        <v>79</v>
      </c>
      <c r="I87" s="184">
        <v>201</v>
      </c>
      <c r="J87" s="76">
        <f t="shared" si="6"/>
        <v>119.99999999999999</v>
      </c>
      <c r="K87" s="74">
        <f>201*0.12</f>
        <v>24.119999999999997</v>
      </c>
      <c r="L87" s="55">
        <f t="shared" si="4"/>
        <v>24.119999999999997</v>
      </c>
    </row>
    <row r="88" spans="1:12">
      <c r="A88" s="74">
        <v>6.3500000000000103</v>
      </c>
      <c r="B88" s="54"/>
      <c r="C88" s="183" t="s">
        <v>209</v>
      </c>
      <c r="D88" s="53"/>
      <c r="E88" s="53"/>
      <c r="F88" s="54"/>
      <c r="G88" s="57"/>
      <c r="H88" s="184" t="s">
        <v>79</v>
      </c>
      <c r="I88" s="184">
        <v>200</v>
      </c>
      <c r="J88" s="76">
        <f t="shared" si="6"/>
        <v>150</v>
      </c>
      <c r="K88" s="74">
        <f>200*0.15</f>
        <v>30</v>
      </c>
      <c r="L88" s="55">
        <f t="shared" si="4"/>
        <v>30</v>
      </c>
    </row>
    <row r="89" spans="1:12">
      <c r="A89" s="74">
        <v>6.3600000000000101</v>
      </c>
      <c r="B89" s="54"/>
      <c r="C89" s="183" t="s">
        <v>69</v>
      </c>
      <c r="D89" s="53"/>
      <c r="E89" s="53"/>
      <c r="F89" s="54"/>
      <c r="G89" s="57"/>
      <c r="H89" s="184" t="s">
        <v>79</v>
      </c>
      <c r="I89" s="184">
        <v>15</v>
      </c>
      <c r="J89" s="76">
        <f t="shared" si="6"/>
        <v>3500</v>
      </c>
      <c r="K89" s="74">
        <f>15*3.5</f>
        <v>52.5</v>
      </c>
      <c r="L89" s="55">
        <f t="shared" si="4"/>
        <v>52.5</v>
      </c>
    </row>
    <row r="90" spans="1:12">
      <c r="A90" s="74">
        <v>6.3700000000000099</v>
      </c>
      <c r="B90" s="54"/>
      <c r="C90" s="183" t="s">
        <v>210</v>
      </c>
      <c r="D90" s="53"/>
      <c r="E90" s="53"/>
      <c r="F90" s="54"/>
      <c r="G90" s="57"/>
      <c r="H90" s="184" t="s">
        <v>81</v>
      </c>
      <c r="I90" s="184">
        <v>149</v>
      </c>
      <c r="J90" s="76">
        <v>333</v>
      </c>
      <c r="K90" s="74">
        <v>49.62</v>
      </c>
      <c r="L90" s="55">
        <f t="shared" si="4"/>
        <v>49.62</v>
      </c>
    </row>
    <row r="91" spans="1:12">
      <c r="A91" s="74">
        <v>6.3800000000000097</v>
      </c>
      <c r="B91" s="54"/>
      <c r="C91" s="183" t="s">
        <v>235</v>
      </c>
      <c r="D91" s="53"/>
      <c r="E91" s="53"/>
      <c r="F91" s="54"/>
      <c r="G91" s="57"/>
      <c r="H91" s="184" t="s">
        <v>81</v>
      </c>
      <c r="I91" s="184">
        <v>202</v>
      </c>
      <c r="J91" s="76">
        <f t="shared" si="6"/>
        <v>250</v>
      </c>
      <c r="K91" s="74">
        <f>202*0.25</f>
        <v>50.5</v>
      </c>
      <c r="L91" s="55">
        <f t="shared" si="4"/>
        <v>50.5</v>
      </c>
    </row>
    <row r="92" spans="1:12">
      <c r="A92" s="74">
        <v>6.3900000000000103</v>
      </c>
      <c r="B92" s="54"/>
      <c r="C92" s="183" t="s">
        <v>211</v>
      </c>
      <c r="D92" s="53"/>
      <c r="E92" s="53"/>
      <c r="F92" s="54"/>
      <c r="G92" s="57"/>
      <c r="H92" s="184" t="s">
        <v>81</v>
      </c>
      <c r="I92" s="184">
        <v>60</v>
      </c>
      <c r="J92" s="76">
        <f t="shared" si="6"/>
        <v>100</v>
      </c>
      <c r="K92" s="74">
        <v>6</v>
      </c>
      <c r="L92" s="55">
        <f t="shared" si="4"/>
        <v>6</v>
      </c>
    </row>
    <row r="93" spans="1:12">
      <c r="A93" s="74">
        <v>6.4000000000000101</v>
      </c>
      <c r="B93" s="54"/>
      <c r="C93" s="183" t="s">
        <v>212</v>
      </c>
      <c r="D93" s="53"/>
      <c r="E93" s="53"/>
      <c r="F93" s="54"/>
      <c r="G93" s="57"/>
      <c r="H93" s="184" t="s">
        <v>81</v>
      </c>
      <c r="I93" s="184">
        <v>60</v>
      </c>
      <c r="J93" s="76">
        <f t="shared" si="6"/>
        <v>200</v>
      </c>
      <c r="K93" s="74">
        <v>12</v>
      </c>
      <c r="L93" s="55">
        <f t="shared" si="4"/>
        <v>12</v>
      </c>
    </row>
    <row r="94" spans="1:12">
      <c r="A94" s="74">
        <v>6.4100000000000099</v>
      </c>
      <c r="B94" s="54"/>
      <c r="C94" s="183" t="s">
        <v>213</v>
      </c>
      <c r="D94" s="53"/>
      <c r="E94" s="53"/>
      <c r="F94" s="54"/>
      <c r="G94" s="57"/>
      <c r="H94" s="184" t="s">
        <v>81</v>
      </c>
      <c r="I94" s="184">
        <v>10</v>
      </c>
      <c r="J94" s="76">
        <f t="shared" si="6"/>
        <v>180</v>
      </c>
      <c r="K94" s="74">
        <v>1.8</v>
      </c>
      <c r="L94" s="55">
        <f t="shared" si="4"/>
        <v>1.8</v>
      </c>
    </row>
    <row r="95" spans="1:12">
      <c r="A95" s="74">
        <v>6.4200000000000097</v>
      </c>
      <c r="B95" s="54"/>
      <c r="C95" s="183" t="s">
        <v>214</v>
      </c>
      <c r="D95" s="53"/>
      <c r="E95" s="53"/>
      <c r="F95" s="54"/>
      <c r="G95" s="57"/>
      <c r="H95" s="184" t="s">
        <v>81</v>
      </c>
      <c r="I95" s="184">
        <v>22</v>
      </c>
      <c r="J95" s="76">
        <f t="shared" si="6"/>
        <v>400</v>
      </c>
      <c r="K95" s="74">
        <f>22*0.4</f>
        <v>8.8000000000000007</v>
      </c>
      <c r="L95" s="55">
        <f t="shared" si="4"/>
        <v>8.8000000000000007</v>
      </c>
    </row>
    <row r="96" spans="1:12">
      <c r="A96" s="74">
        <v>6.4300000000000104</v>
      </c>
      <c r="B96" s="54"/>
      <c r="C96" s="183" t="s">
        <v>215</v>
      </c>
      <c r="D96" s="53"/>
      <c r="E96" s="53"/>
      <c r="F96" s="54"/>
      <c r="G96" s="57"/>
      <c r="H96" s="184" t="s">
        <v>79</v>
      </c>
      <c r="I96" s="184">
        <v>20</v>
      </c>
      <c r="J96" s="76">
        <f t="shared" si="6"/>
        <v>150</v>
      </c>
      <c r="K96" s="74">
        <f>20*0.15</f>
        <v>3</v>
      </c>
      <c r="L96" s="55">
        <f t="shared" si="4"/>
        <v>3</v>
      </c>
    </row>
    <row r="97" spans="1:12">
      <c r="A97" s="74">
        <v>6.4400000000000102</v>
      </c>
      <c r="B97" s="54"/>
      <c r="C97" s="183" t="s">
        <v>64</v>
      </c>
      <c r="D97" s="53"/>
      <c r="E97" s="53"/>
      <c r="F97" s="54"/>
      <c r="G97" s="57"/>
      <c r="H97" s="184" t="s">
        <v>79</v>
      </c>
      <c r="I97" s="184">
        <v>20</v>
      </c>
      <c r="J97" s="76">
        <f t="shared" si="6"/>
        <v>200</v>
      </c>
      <c r="K97" s="74">
        <v>4</v>
      </c>
      <c r="L97" s="55">
        <f t="shared" si="4"/>
        <v>4</v>
      </c>
    </row>
    <row r="98" spans="1:12">
      <c r="A98" s="74">
        <v>6.4500000000000099</v>
      </c>
      <c r="B98" s="54"/>
      <c r="C98" s="183" t="s">
        <v>216</v>
      </c>
      <c r="D98" s="53"/>
      <c r="E98" s="53"/>
      <c r="F98" s="54"/>
      <c r="G98" s="57"/>
      <c r="H98" s="184" t="s">
        <v>79</v>
      </c>
      <c r="I98" s="184">
        <v>398</v>
      </c>
      <c r="J98" s="76">
        <f t="shared" si="6"/>
        <v>25</v>
      </c>
      <c r="K98" s="74">
        <f>398*0.025</f>
        <v>9.9500000000000011</v>
      </c>
      <c r="L98" s="55">
        <f t="shared" si="4"/>
        <v>9.9500000000000011</v>
      </c>
    </row>
    <row r="99" spans="1:12">
      <c r="A99" s="74">
        <v>6.4600000000000097</v>
      </c>
      <c r="B99" s="54"/>
      <c r="C99" s="183" t="s">
        <v>217</v>
      </c>
      <c r="D99" s="53"/>
      <c r="E99" s="53"/>
      <c r="F99" s="54"/>
      <c r="G99" s="57"/>
      <c r="H99" s="184" t="s">
        <v>79</v>
      </c>
      <c r="I99" s="184">
        <v>401</v>
      </c>
      <c r="J99" s="76">
        <f t="shared" si="6"/>
        <v>60</v>
      </c>
      <c r="K99" s="74">
        <f>401*0.06</f>
        <v>24.06</v>
      </c>
      <c r="L99" s="55">
        <f t="shared" si="4"/>
        <v>24.06</v>
      </c>
    </row>
    <row r="100" spans="1:12">
      <c r="A100" s="74">
        <v>6.4700000000000104</v>
      </c>
      <c r="B100" s="54"/>
      <c r="C100" s="183" t="s">
        <v>218</v>
      </c>
      <c r="D100" s="53"/>
      <c r="E100" s="53"/>
      <c r="F100" s="54"/>
      <c r="G100" s="57"/>
      <c r="H100" s="184" t="s">
        <v>79</v>
      </c>
      <c r="I100" s="184">
        <v>200</v>
      </c>
      <c r="J100" s="76">
        <f t="shared" si="6"/>
        <v>80</v>
      </c>
      <c r="K100" s="74">
        <f>200*0.08</f>
        <v>16</v>
      </c>
      <c r="L100" s="55">
        <f t="shared" si="4"/>
        <v>16</v>
      </c>
    </row>
    <row r="101" spans="1:12">
      <c r="A101" s="74">
        <v>6.4800000000000102</v>
      </c>
      <c r="B101" s="54"/>
      <c r="C101" s="183" t="s">
        <v>66</v>
      </c>
      <c r="D101" s="53"/>
      <c r="E101" s="53"/>
      <c r="F101" s="54"/>
      <c r="G101" s="57"/>
      <c r="H101" s="184" t="s">
        <v>79</v>
      </c>
      <c r="I101" s="184">
        <v>7</v>
      </c>
      <c r="J101" s="76">
        <f t="shared" si="6"/>
        <v>5000</v>
      </c>
      <c r="K101" s="74">
        <v>35</v>
      </c>
      <c r="L101" s="55">
        <f t="shared" si="4"/>
        <v>35</v>
      </c>
    </row>
    <row r="102" spans="1:12">
      <c r="A102" s="74">
        <v>6.49000000000001</v>
      </c>
      <c r="B102" s="54"/>
      <c r="C102" s="183" t="s">
        <v>219</v>
      </c>
      <c r="D102" s="53"/>
      <c r="E102" s="53"/>
      <c r="F102" s="54"/>
      <c r="G102" s="57"/>
      <c r="H102" s="184" t="s">
        <v>79</v>
      </c>
      <c r="I102" s="184">
        <v>10</v>
      </c>
      <c r="J102" s="76">
        <f t="shared" si="6"/>
        <v>2500</v>
      </c>
      <c r="K102" s="74">
        <v>25</v>
      </c>
      <c r="L102" s="55">
        <f t="shared" si="4"/>
        <v>25</v>
      </c>
    </row>
    <row r="103" spans="1:12">
      <c r="A103" s="74">
        <v>6.5000000000000098</v>
      </c>
      <c r="B103" s="54"/>
      <c r="C103" s="183" t="s">
        <v>220</v>
      </c>
      <c r="D103" s="53"/>
      <c r="E103" s="53"/>
      <c r="F103" s="54"/>
      <c r="G103" s="57"/>
      <c r="H103" s="184" t="s">
        <v>79</v>
      </c>
      <c r="I103" s="184">
        <v>8</v>
      </c>
      <c r="J103" s="76">
        <f t="shared" si="6"/>
        <v>8500</v>
      </c>
      <c r="K103" s="74">
        <f>8*8.5</f>
        <v>68</v>
      </c>
      <c r="L103" s="55">
        <f t="shared" si="4"/>
        <v>68</v>
      </c>
    </row>
    <row r="104" spans="1:12">
      <c r="A104" s="74">
        <v>6.5100000000000096</v>
      </c>
      <c r="B104" s="54"/>
      <c r="C104" s="183" t="s">
        <v>221</v>
      </c>
      <c r="D104" s="53"/>
      <c r="E104" s="53"/>
      <c r="F104" s="54"/>
      <c r="G104" s="57"/>
      <c r="H104" s="184" t="s">
        <v>79</v>
      </c>
      <c r="I104" s="184">
        <v>30</v>
      </c>
      <c r="J104" s="76">
        <f t="shared" si="6"/>
        <v>220</v>
      </c>
      <c r="K104" s="74">
        <f>220*0.03</f>
        <v>6.6</v>
      </c>
      <c r="L104" s="55">
        <f t="shared" si="4"/>
        <v>6.6</v>
      </c>
    </row>
    <row r="105" spans="1:12">
      <c r="A105" s="74">
        <v>6.52</v>
      </c>
      <c r="B105" s="54"/>
      <c r="C105" s="183" t="s">
        <v>222</v>
      </c>
      <c r="D105" s="53"/>
      <c r="E105" s="53"/>
      <c r="F105" s="54"/>
      <c r="G105" s="57"/>
      <c r="H105" s="184" t="s">
        <v>79</v>
      </c>
      <c r="I105" s="184">
        <v>40</v>
      </c>
      <c r="J105" s="76">
        <f t="shared" si="6"/>
        <v>220.00000000000003</v>
      </c>
      <c r="K105" s="74">
        <f>220*0.04</f>
        <v>8.8000000000000007</v>
      </c>
      <c r="L105" s="55">
        <f t="shared" si="4"/>
        <v>8.8000000000000007</v>
      </c>
    </row>
    <row r="106" spans="1:12">
      <c r="A106" s="74">
        <v>6.53</v>
      </c>
      <c r="B106" s="54"/>
      <c r="C106" s="183" t="s">
        <v>223</v>
      </c>
      <c r="D106" s="53"/>
      <c r="E106" s="53"/>
      <c r="F106" s="54"/>
      <c r="G106" s="57"/>
      <c r="H106" s="184" t="s">
        <v>79</v>
      </c>
      <c r="I106" s="184">
        <v>20</v>
      </c>
      <c r="J106" s="76">
        <f t="shared" si="6"/>
        <v>3600</v>
      </c>
      <c r="K106" s="74">
        <f>20*3.6</f>
        <v>72</v>
      </c>
      <c r="L106" s="55">
        <f t="shared" si="4"/>
        <v>72</v>
      </c>
    </row>
    <row r="107" spans="1:12">
      <c r="A107" s="74">
        <v>6.54</v>
      </c>
      <c r="B107" s="54"/>
      <c r="C107" s="183" t="s">
        <v>224</v>
      </c>
      <c r="D107" s="53"/>
      <c r="E107" s="53"/>
      <c r="F107" s="54"/>
      <c r="G107" s="57"/>
      <c r="H107" s="184" t="s">
        <v>79</v>
      </c>
      <c r="I107" s="184">
        <v>32</v>
      </c>
      <c r="J107" s="76">
        <f t="shared" si="6"/>
        <v>250</v>
      </c>
      <c r="K107" s="74">
        <f>32*0.25</f>
        <v>8</v>
      </c>
      <c r="L107" s="55">
        <f t="shared" si="4"/>
        <v>8</v>
      </c>
    </row>
    <row r="108" spans="1:12">
      <c r="A108" s="74">
        <v>6.55</v>
      </c>
      <c r="B108" s="54"/>
      <c r="C108" s="183" t="s">
        <v>68</v>
      </c>
      <c r="D108" s="53"/>
      <c r="E108" s="53"/>
      <c r="F108" s="54"/>
      <c r="G108" s="57"/>
      <c r="H108" s="184" t="s">
        <v>79</v>
      </c>
      <c r="I108" s="184">
        <v>60</v>
      </c>
      <c r="J108" s="76">
        <f t="shared" si="6"/>
        <v>250</v>
      </c>
      <c r="K108" s="74">
        <f>60*0.25</f>
        <v>15</v>
      </c>
      <c r="L108" s="55">
        <f t="shared" si="4"/>
        <v>15</v>
      </c>
    </row>
    <row r="109" spans="1:12">
      <c r="A109" s="74">
        <v>6.56</v>
      </c>
      <c r="B109" s="54"/>
      <c r="C109" s="183" t="s">
        <v>236</v>
      </c>
      <c r="D109" s="53"/>
      <c r="E109" s="53"/>
      <c r="F109" s="54"/>
      <c r="G109" s="57"/>
      <c r="H109" s="184" t="s">
        <v>79</v>
      </c>
      <c r="I109" s="184">
        <v>80</v>
      </c>
      <c r="J109" s="76">
        <f t="shared" si="6"/>
        <v>55.000000000000007</v>
      </c>
      <c r="K109" s="74">
        <f>0.055*80</f>
        <v>4.4000000000000004</v>
      </c>
      <c r="L109" s="55">
        <f t="shared" si="4"/>
        <v>4.4000000000000004</v>
      </c>
    </row>
    <row r="110" spans="1:12">
      <c r="A110" s="74">
        <v>6.57</v>
      </c>
      <c r="B110" s="54"/>
      <c r="C110" s="183" t="s">
        <v>225</v>
      </c>
      <c r="D110" s="53"/>
      <c r="E110" s="53"/>
      <c r="F110" s="54"/>
      <c r="G110" s="57"/>
      <c r="H110" s="184" t="s">
        <v>81</v>
      </c>
      <c r="I110" s="184">
        <v>64</v>
      </c>
      <c r="J110" s="76">
        <f t="shared" si="6"/>
        <v>50</v>
      </c>
      <c r="K110" s="74">
        <f>64*0.05</f>
        <v>3.2</v>
      </c>
      <c r="L110" s="55">
        <f t="shared" si="4"/>
        <v>3.2</v>
      </c>
    </row>
    <row r="111" spans="1:12">
      <c r="A111" s="74">
        <v>6.58</v>
      </c>
      <c r="B111" s="54"/>
      <c r="C111" s="183" t="s">
        <v>226</v>
      </c>
      <c r="D111" s="53"/>
      <c r="E111" s="53"/>
      <c r="F111" s="54"/>
      <c r="G111" s="57"/>
      <c r="H111" s="184" t="s">
        <v>79</v>
      </c>
      <c r="I111" s="184">
        <v>40</v>
      </c>
      <c r="J111" s="76">
        <f t="shared" si="6"/>
        <v>700</v>
      </c>
      <c r="K111" s="74">
        <f>40*0.7</f>
        <v>28</v>
      </c>
      <c r="L111" s="55">
        <f t="shared" si="4"/>
        <v>28</v>
      </c>
    </row>
    <row r="112" spans="1:12">
      <c r="A112" s="74">
        <v>6.59</v>
      </c>
      <c r="B112" s="54"/>
      <c r="C112" s="183" t="s">
        <v>227</v>
      </c>
      <c r="D112" s="53"/>
      <c r="E112" s="53"/>
      <c r="F112" s="54"/>
      <c r="G112" s="57"/>
      <c r="H112" s="184" t="s">
        <v>79</v>
      </c>
      <c r="I112" s="184">
        <v>20</v>
      </c>
      <c r="J112" s="76">
        <f t="shared" si="6"/>
        <v>250</v>
      </c>
      <c r="K112" s="74">
        <f>20*0.25</f>
        <v>5</v>
      </c>
      <c r="L112" s="55">
        <f t="shared" si="4"/>
        <v>5</v>
      </c>
    </row>
    <row r="113" spans="1:12">
      <c r="A113" s="74">
        <v>6.6</v>
      </c>
      <c r="B113" s="54"/>
      <c r="C113" s="183" t="s">
        <v>92</v>
      </c>
      <c r="D113" s="53"/>
      <c r="E113" s="53"/>
      <c r="F113" s="54"/>
      <c r="G113" s="57"/>
      <c r="H113" s="184" t="s">
        <v>79</v>
      </c>
      <c r="I113" s="184">
        <v>3</v>
      </c>
      <c r="J113" s="76">
        <f t="shared" si="6"/>
        <v>33000</v>
      </c>
      <c r="K113" s="74">
        <v>99</v>
      </c>
      <c r="L113" s="55">
        <f t="shared" si="4"/>
        <v>99</v>
      </c>
    </row>
    <row r="114" spans="1:12">
      <c r="A114" s="74">
        <v>6.61</v>
      </c>
      <c r="B114" s="54"/>
      <c r="C114" s="183" t="s">
        <v>93</v>
      </c>
      <c r="D114" s="53"/>
      <c r="E114" s="53"/>
      <c r="F114" s="54"/>
      <c r="G114" s="57"/>
      <c r="H114" s="184" t="s">
        <v>79</v>
      </c>
      <c r="I114" s="184">
        <v>3</v>
      </c>
      <c r="J114" s="76">
        <f t="shared" si="6"/>
        <v>31500</v>
      </c>
      <c r="K114" s="74">
        <v>94.5</v>
      </c>
      <c r="L114" s="55">
        <f t="shared" si="4"/>
        <v>94.5</v>
      </c>
    </row>
    <row r="115" spans="1:12">
      <c r="A115" s="74">
        <v>6.62</v>
      </c>
      <c r="B115" s="54"/>
      <c r="C115" s="183" t="s">
        <v>94</v>
      </c>
      <c r="D115" s="53"/>
      <c r="E115" s="53"/>
      <c r="F115" s="54"/>
      <c r="G115" s="57"/>
      <c r="H115" s="184" t="s">
        <v>79</v>
      </c>
      <c r="I115" s="184">
        <v>5</v>
      </c>
      <c r="J115" s="76">
        <f t="shared" si="6"/>
        <v>31500</v>
      </c>
      <c r="K115" s="74">
        <v>157.5</v>
      </c>
      <c r="L115" s="55">
        <f t="shared" si="4"/>
        <v>157.5</v>
      </c>
    </row>
    <row r="116" spans="1:12">
      <c r="A116" s="74">
        <v>6.63</v>
      </c>
      <c r="B116" s="54"/>
      <c r="C116" s="183" t="s">
        <v>101</v>
      </c>
      <c r="D116" s="53"/>
      <c r="E116" s="53"/>
      <c r="F116" s="54"/>
      <c r="G116" s="57"/>
      <c r="H116" s="184" t="s">
        <v>79</v>
      </c>
      <c r="I116" s="184">
        <v>5</v>
      </c>
      <c r="J116" s="76">
        <f t="shared" si="6"/>
        <v>5000</v>
      </c>
      <c r="K116" s="74">
        <v>25</v>
      </c>
      <c r="L116" s="55">
        <f t="shared" si="4"/>
        <v>25</v>
      </c>
    </row>
    <row r="117" spans="1:12">
      <c r="A117" s="74">
        <v>6.64</v>
      </c>
      <c r="B117" s="54"/>
      <c r="C117" s="183" t="s">
        <v>103</v>
      </c>
      <c r="D117" s="53"/>
      <c r="E117" s="53"/>
      <c r="F117" s="54"/>
      <c r="G117" s="57"/>
      <c r="H117" s="184" t="s">
        <v>79</v>
      </c>
      <c r="I117" s="184">
        <v>6</v>
      </c>
      <c r="J117" s="76">
        <f t="shared" si="6"/>
        <v>7000</v>
      </c>
      <c r="K117" s="74">
        <v>42</v>
      </c>
      <c r="L117" s="55">
        <f t="shared" si="4"/>
        <v>42</v>
      </c>
    </row>
    <row r="118" spans="1:12">
      <c r="A118" s="74">
        <v>6.65</v>
      </c>
      <c r="B118" s="54"/>
      <c r="C118" s="183" t="s">
        <v>111</v>
      </c>
      <c r="D118" s="53"/>
      <c r="E118" s="53"/>
      <c r="F118" s="54"/>
      <c r="G118" s="57"/>
      <c r="H118" s="184" t="s">
        <v>79</v>
      </c>
      <c r="I118" s="184">
        <v>30</v>
      </c>
      <c r="J118" s="76">
        <f t="shared" si="6"/>
        <v>5000</v>
      </c>
      <c r="K118" s="74">
        <v>150</v>
      </c>
      <c r="L118" s="55">
        <f t="shared" si="4"/>
        <v>150</v>
      </c>
    </row>
    <row r="119" spans="1:12">
      <c r="A119" s="74">
        <v>6.66</v>
      </c>
      <c r="B119" s="54"/>
      <c r="C119" s="183" t="s">
        <v>112</v>
      </c>
      <c r="D119" s="53"/>
      <c r="E119" s="53"/>
      <c r="F119" s="54"/>
      <c r="G119" s="57"/>
      <c r="H119" s="184" t="s">
        <v>79</v>
      </c>
      <c r="I119" s="184">
        <v>20</v>
      </c>
      <c r="J119" s="76">
        <f t="shared" si="6"/>
        <v>5000</v>
      </c>
      <c r="K119" s="74">
        <v>100</v>
      </c>
      <c r="L119" s="55">
        <f t="shared" si="4"/>
        <v>100</v>
      </c>
    </row>
    <row r="120" spans="1:12">
      <c r="A120" s="74">
        <v>6.67</v>
      </c>
      <c r="B120" s="54"/>
      <c r="C120" s="183" t="s">
        <v>102</v>
      </c>
      <c r="D120" s="53"/>
      <c r="E120" s="53"/>
      <c r="F120" s="54"/>
      <c r="G120" s="57"/>
      <c r="H120" s="184" t="s">
        <v>79</v>
      </c>
      <c r="I120" s="184">
        <v>10</v>
      </c>
      <c r="J120" s="76">
        <f t="shared" si="6"/>
        <v>11000</v>
      </c>
      <c r="K120" s="74">
        <v>110</v>
      </c>
      <c r="L120" s="55">
        <f t="shared" si="4"/>
        <v>110</v>
      </c>
    </row>
    <row r="121" spans="1:12">
      <c r="A121" s="74">
        <v>6.68</v>
      </c>
      <c r="B121" s="54"/>
      <c r="C121" s="183" t="s">
        <v>52</v>
      </c>
      <c r="D121" s="53"/>
      <c r="E121" s="53"/>
      <c r="F121" s="54"/>
      <c r="G121" s="57"/>
      <c r="H121" s="184" t="s">
        <v>79</v>
      </c>
      <c r="I121" s="184">
        <v>60</v>
      </c>
      <c r="J121" s="76">
        <f t="shared" si="6"/>
        <v>2000</v>
      </c>
      <c r="K121" s="74">
        <v>120</v>
      </c>
      <c r="L121" s="55">
        <f t="shared" si="4"/>
        <v>120</v>
      </c>
    </row>
    <row r="122" spans="1:12">
      <c r="A122" s="74">
        <v>6.69</v>
      </c>
      <c r="B122" s="54"/>
      <c r="C122" s="183" t="s">
        <v>52</v>
      </c>
      <c r="D122" s="53"/>
      <c r="E122" s="53"/>
      <c r="F122" s="54"/>
      <c r="G122" s="57"/>
      <c r="H122" s="184" t="s">
        <v>79</v>
      </c>
      <c r="I122" s="184">
        <v>70</v>
      </c>
      <c r="J122" s="76">
        <f t="shared" si="6"/>
        <v>2400</v>
      </c>
      <c r="K122" s="74">
        <v>168</v>
      </c>
      <c r="L122" s="55">
        <f t="shared" si="4"/>
        <v>168</v>
      </c>
    </row>
    <row r="123" spans="1:12">
      <c r="A123" s="74">
        <v>6.7</v>
      </c>
      <c r="B123" s="54"/>
      <c r="C123" s="183" t="s">
        <v>98</v>
      </c>
      <c r="D123" s="53"/>
      <c r="E123" s="53"/>
      <c r="F123" s="54"/>
      <c r="G123" s="57"/>
      <c r="H123" s="184" t="s">
        <v>79</v>
      </c>
      <c r="I123" s="184">
        <v>5</v>
      </c>
      <c r="J123" s="76">
        <f t="shared" si="6"/>
        <v>3000</v>
      </c>
      <c r="K123" s="74">
        <v>15</v>
      </c>
      <c r="L123" s="55">
        <f t="shared" si="4"/>
        <v>15</v>
      </c>
    </row>
    <row r="124" spans="1:12">
      <c r="A124" s="74">
        <v>6.71</v>
      </c>
      <c r="B124" s="54"/>
      <c r="C124" s="183" t="s">
        <v>237</v>
      </c>
      <c r="D124" s="53"/>
      <c r="E124" s="53"/>
      <c r="F124" s="54"/>
      <c r="G124" s="57"/>
      <c r="H124" s="184" t="s">
        <v>79</v>
      </c>
      <c r="I124" s="184">
        <v>3</v>
      </c>
      <c r="J124" s="76">
        <f t="shared" si="6"/>
        <v>600</v>
      </c>
      <c r="K124" s="74">
        <f>3*0.6</f>
        <v>1.7999999999999998</v>
      </c>
      <c r="L124" s="55">
        <f t="shared" si="4"/>
        <v>1.7999999999999998</v>
      </c>
    </row>
    <row r="125" spans="1:12">
      <c r="A125" s="74">
        <v>6.72</v>
      </c>
      <c r="B125" s="54"/>
      <c r="C125" s="183" t="s">
        <v>238</v>
      </c>
      <c r="D125" s="53"/>
      <c r="E125" s="53"/>
      <c r="F125" s="54"/>
      <c r="G125" s="57"/>
      <c r="H125" s="184" t="s">
        <v>79</v>
      </c>
      <c r="I125" s="184">
        <v>6</v>
      </c>
      <c r="J125" s="76">
        <f t="shared" si="6"/>
        <v>900</v>
      </c>
      <c r="K125" s="74">
        <f>6*0.9</f>
        <v>5.4</v>
      </c>
      <c r="L125" s="55">
        <f t="shared" ref="L125:L127" si="7">K125-G125</f>
        <v>5.4</v>
      </c>
    </row>
    <row r="126" spans="1:12">
      <c r="A126" s="74">
        <v>6.73</v>
      </c>
      <c r="B126" s="54"/>
      <c r="C126" s="183" t="s">
        <v>239</v>
      </c>
      <c r="D126" s="53"/>
      <c r="E126" s="53"/>
      <c r="F126" s="54"/>
      <c r="G126" s="57"/>
      <c r="H126" s="184" t="s">
        <v>79</v>
      </c>
      <c r="I126" s="184">
        <v>4</v>
      </c>
      <c r="J126" s="76">
        <f t="shared" si="6"/>
        <v>1200</v>
      </c>
      <c r="K126" s="74">
        <f>4*1.2</f>
        <v>4.8</v>
      </c>
      <c r="L126" s="55">
        <f t="shared" si="7"/>
        <v>4.8</v>
      </c>
    </row>
    <row r="127" spans="1:12" ht="15.75" customHeight="1">
      <c r="A127" s="74">
        <v>6.74</v>
      </c>
      <c r="B127" s="54"/>
      <c r="C127" s="183" t="s">
        <v>228</v>
      </c>
      <c r="D127" s="53"/>
      <c r="E127" s="53"/>
      <c r="F127" s="54"/>
      <c r="G127" s="57"/>
      <c r="H127" s="184" t="s">
        <v>81</v>
      </c>
      <c r="I127" s="184">
        <v>32</v>
      </c>
      <c r="J127" s="76">
        <f t="shared" si="6"/>
        <v>200</v>
      </c>
      <c r="K127" s="74">
        <f>200*0.032</f>
        <v>6.4</v>
      </c>
      <c r="L127" s="55">
        <f t="shared" si="7"/>
        <v>6.4</v>
      </c>
    </row>
    <row r="128" spans="1:12" ht="16.5" customHeight="1">
      <c r="A128" s="53"/>
      <c r="B128" s="54"/>
      <c r="C128" s="68"/>
      <c r="D128" s="53"/>
      <c r="E128" s="54"/>
      <c r="F128" s="54"/>
      <c r="G128" s="57"/>
      <c r="H128" s="54"/>
      <c r="I128" s="54"/>
      <c r="J128" s="54"/>
      <c r="K128" s="77"/>
      <c r="L128" s="55"/>
    </row>
    <row r="129" spans="1:12" ht="16.5" customHeight="1">
      <c r="A129" s="59">
        <v>7</v>
      </c>
      <c r="B129" s="50">
        <v>4264</v>
      </c>
      <c r="C129" s="50" t="s">
        <v>70</v>
      </c>
      <c r="D129" s="59"/>
      <c r="E129" s="59"/>
      <c r="F129" s="59"/>
      <c r="G129" s="51">
        <f>SUM(G131:G132)+0.1</f>
        <v>3990.02</v>
      </c>
      <c r="H129" s="59"/>
      <c r="I129" s="59"/>
      <c r="J129" s="59"/>
      <c r="K129" s="51">
        <f>SUM(K131:K132)</f>
        <v>14330</v>
      </c>
      <c r="L129" s="178">
        <f>SUM(L131:L132)</f>
        <v>10340</v>
      </c>
    </row>
    <row r="130" spans="1:12" ht="27">
      <c r="A130" s="61"/>
      <c r="B130" s="54"/>
      <c r="C130" s="40" t="s">
        <v>51</v>
      </c>
      <c r="D130" s="54"/>
      <c r="E130" s="54"/>
      <c r="F130" s="54"/>
      <c r="G130" s="55"/>
      <c r="H130" s="54"/>
      <c r="I130" s="54"/>
      <c r="J130" s="54"/>
      <c r="K130" s="58"/>
      <c r="L130" s="54"/>
    </row>
    <row r="131" spans="1:12">
      <c r="A131" s="55">
        <v>7.1</v>
      </c>
      <c r="B131" s="54"/>
      <c r="C131" s="68" t="s">
        <v>148</v>
      </c>
      <c r="D131" s="53" t="s">
        <v>72</v>
      </c>
      <c r="E131" s="54">
        <v>7729</v>
      </c>
      <c r="F131" s="54">
        <v>480</v>
      </c>
      <c r="G131" s="57">
        <f>F131*E131/1000</f>
        <v>3709.92</v>
      </c>
      <c r="H131" s="54" t="s">
        <v>72</v>
      </c>
      <c r="I131" s="54">
        <f>200*9*15</f>
        <v>27000</v>
      </c>
      <c r="J131" s="54">
        <v>510</v>
      </c>
      <c r="K131" s="74">
        <v>13770</v>
      </c>
      <c r="L131" s="74">
        <v>10060</v>
      </c>
    </row>
    <row r="132" spans="1:12">
      <c r="A132" s="55">
        <v>7.2</v>
      </c>
      <c r="B132" s="54"/>
      <c r="C132" s="78" t="s">
        <v>113</v>
      </c>
      <c r="D132" s="53" t="s">
        <v>79</v>
      </c>
      <c r="E132" s="54">
        <v>4</v>
      </c>
      <c r="F132" s="54">
        <v>70000</v>
      </c>
      <c r="G132" s="57">
        <f>F132*E132/1000</f>
        <v>280</v>
      </c>
      <c r="H132" s="54" t="s">
        <v>79</v>
      </c>
      <c r="I132" s="54">
        <v>8</v>
      </c>
      <c r="J132" s="76">
        <v>70000</v>
      </c>
      <c r="K132" s="74">
        <v>560</v>
      </c>
      <c r="L132" s="55">
        <f>K132-G132</f>
        <v>280</v>
      </c>
    </row>
    <row r="133" spans="1:12" ht="14.25">
      <c r="A133" s="59">
        <v>8</v>
      </c>
      <c r="B133" s="50">
        <v>4267</v>
      </c>
      <c r="C133" s="50" t="s">
        <v>73</v>
      </c>
      <c r="D133" s="59"/>
      <c r="E133" s="59"/>
      <c r="F133" s="59"/>
      <c r="G133" s="51">
        <f>SUM(G135:G151)</f>
        <v>191.45</v>
      </c>
      <c r="H133" s="59"/>
      <c r="I133" s="59"/>
      <c r="J133" s="59"/>
      <c r="K133" s="51">
        <f>SUM(K135:K168)</f>
        <v>916.87</v>
      </c>
      <c r="L133" s="60">
        <f>K133-G133</f>
        <v>725.42000000000007</v>
      </c>
    </row>
    <row r="134" spans="1:12" ht="27">
      <c r="A134" s="61"/>
      <c r="B134" s="54"/>
      <c r="C134" s="40" t="s">
        <v>51</v>
      </c>
      <c r="D134" s="54"/>
      <c r="E134" s="54"/>
      <c r="F134" s="54"/>
      <c r="G134" s="55"/>
      <c r="H134" s="54"/>
      <c r="I134" s="54"/>
      <c r="J134" s="54"/>
      <c r="K134" s="56"/>
      <c r="L134" s="54"/>
    </row>
    <row r="135" spans="1:12">
      <c r="A135" s="55">
        <v>8.1</v>
      </c>
      <c r="B135" s="54"/>
      <c r="C135" s="68" t="s">
        <v>82</v>
      </c>
      <c r="D135" s="53" t="s">
        <v>79</v>
      </c>
      <c r="E135" s="53"/>
      <c r="F135" s="54"/>
      <c r="G135" s="57">
        <f t="shared" ref="G135:G167" si="8">F135*E135/1000</f>
        <v>0</v>
      </c>
      <c r="H135" s="75" t="s">
        <v>79</v>
      </c>
      <c r="I135" s="53"/>
      <c r="J135" s="76"/>
      <c r="K135" s="74">
        <f>I135*J135/1000</f>
        <v>0</v>
      </c>
      <c r="L135" s="55">
        <f t="shared" ref="L135:L167" si="9">K135-G135</f>
        <v>0</v>
      </c>
    </row>
    <row r="136" spans="1:12">
      <c r="A136" s="55">
        <v>8.1999999999999993</v>
      </c>
      <c r="B136" s="54"/>
      <c r="C136" s="68" t="s">
        <v>83</v>
      </c>
      <c r="D136" s="53" t="s">
        <v>84</v>
      </c>
      <c r="E136" s="53"/>
      <c r="F136" s="54"/>
      <c r="G136" s="57">
        <f t="shared" si="8"/>
        <v>0</v>
      </c>
      <c r="H136" s="75" t="s">
        <v>84</v>
      </c>
      <c r="I136" s="53"/>
      <c r="J136" s="76"/>
      <c r="K136" s="74">
        <f t="shared" ref="K136:K151" si="10">I136*J136/1000</f>
        <v>0</v>
      </c>
      <c r="L136" s="55">
        <f t="shared" si="9"/>
        <v>0</v>
      </c>
    </row>
    <row r="137" spans="1:12">
      <c r="A137" s="55">
        <v>8.3000000000000007</v>
      </c>
      <c r="B137" s="54"/>
      <c r="C137" s="68" t="s">
        <v>96</v>
      </c>
      <c r="D137" s="53" t="s">
        <v>80</v>
      </c>
      <c r="E137" s="53">
        <v>5</v>
      </c>
      <c r="F137" s="54">
        <v>2400</v>
      </c>
      <c r="G137" s="57">
        <f t="shared" si="8"/>
        <v>12</v>
      </c>
      <c r="H137" s="75" t="s">
        <v>79</v>
      </c>
      <c r="I137" s="53">
        <v>5</v>
      </c>
      <c r="J137" s="54">
        <v>2400</v>
      </c>
      <c r="K137" s="74">
        <f t="shared" si="10"/>
        <v>12</v>
      </c>
      <c r="L137" s="55">
        <f t="shared" si="9"/>
        <v>0</v>
      </c>
    </row>
    <row r="138" spans="1:12" ht="29.25" customHeight="1">
      <c r="A138" s="55">
        <v>8.4</v>
      </c>
      <c r="B138" s="54"/>
      <c r="C138" s="68" t="s">
        <v>149</v>
      </c>
      <c r="D138" s="53" t="s">
        <v>79</v>
      </c>
      <c r="E138" s="53">
        <v>25</v>
      </c>
      <c r="F138" s="54">
        <v>50</v>
      </c>
      <c r="G138" s="57">
        <f t="shared" si="8"/>
        <v>1.25</v>
      </c>
      <c r="H138" s="75" t="s">
        <v>79</v>
      </c>
      <c r="I138" s="53">
        <v>25</v>
      </c>
      <c r="J138" s="54">
        <v>50</v>
      </c>
      <c r="K138" s="74">
        <f t="shared" si="10"/>
        <v>1.25</v>
      </c>
      <c r="L138" s="55">
        <f t="shared" si="9"/>
        <v>0</v>
      </c>
    </row>
    <row r="139" spans="1:12">
      <c r="A139" s="55">
        <v>8.5</v>
      </c>
      <c r="B139" s="54"/>
      <c r="C139" s="68" t="s">
        <v>97</v>
      </c>
      <c r="D139" s="53" t="s">
        <v>79</v>
      </c>
      <c r="E139" s="53">
        <v>5</v>
      </c>
      <c r="F139" s="54">
        <v>1500</v>
      </c>
      <c r="G139" s="57">
        <f t="shared" si="8"/>
        <v>7.5</v>
      </c>
      <c r="H139" s="75" t="s">
        <v>79</v>
      </c>
      <c r="I139" s="53">
        <v>5</v>
      </c>
      <c r="J139" s="54">
        <v>1500</v>
      </c>
      <c r="K139" s="74">
        <f t="shared" si="10"/>
        <v>7.5</v>
      </c>
      <c r="L139" s="55">
        <f t="shared" si="9"/>
        <v>0</v>
      </c>
    </row>
    <row r="140" spans="1:12">
      <c r="A140" s="55">
        <v>8.6</v>
      </c>
      <c r="B140" s="54"/>
      <c r="C140" s="68" t="s">
        <v>150</v>
      </c>
      <c r="D140" s="53" t="s">
        <v>79</v>
      </c>
      <c r="E140" s="53">
        <v>350</v>
      </c>
      <c r="F140" s="54">
        <f>80500/350</f>
        <v>230</v>
      </c>
      <c r="G140" s="57">
        <f t="shared" si="8"/>
        <v>80.5</v>
      </c>
      <c r="H140" s="75" t="s">
        <v>79</v>
      </c>
      <c r="I140" s="53">
        <v>350</v>
      </c>
      <c r="J140" s="54">
        <f>80500/350</f>
        <v>230</v>
      </c>
      <c r="K140" s="74">
        <f t="shared" si="10"/>
        <v>80.5</v>
      </c>
      <c r="L140" s="55">
        <f t="shared" si="9"/>
        <v>0</v>
      </c>
    </row>
    <row r="141" spans="1:12">
      <c r="A141" s="55">
        <v>8.6999999999999993</v>
      </c>
      <c r="B141" s="54"/>
      <c r="C141" s="68" t="s">
        <v>114</v>
      </c>
      <c r="D141" s="53" t="s">
        <v>79</v>
      </c>
      <c r="E141" s="53"/>
      <c r="F141" s="54"/>
      <c r="G141" s="57">
        <f t="shared" si="8"/>
        <v>0</v>
      </c>
      <c r="H141" s="75" t="s">
        <v>79</v>
      </c>
      <c r="I141" s="53"/>
      <c r="J141" s="54"/>
      <c r="K141" s="74">
        <f t="shared" si="10"/>
        <v>0</v>
      </c>
      <c r="L141" s="55">
        <f t="shared" si="9"/>
        <v>0</v>
      </c>
    </row>
    <row r="142" spans="1:12">
      <c r="A142" s="55">
        <v>8.8000000000000007</v>
      </c>
      <c r="B142" s="54"/>
      <c r="C142" s="68" t="s">
        <v>151</v>
      </c>
      <c r="D142" s="53" t="s">
        <v>79</v>
      </c>
      <c r="E142" s="53">
        <v>150</v>
      </c>
      <c r="F142" s="54">
        <f>21000/150</f>
        <v>140</v>
      </c>
      <c r="G142" s="57">
        <f t="shared" si="8"/>
        <v>21</v>
      </c>
      <c r="H142" s="75" t="s">
        <v>79</v>
      </c>
      <c r="I142" s="53">
        <v>150</v>
      </c>
      <c r="J142" s="54">
        <f>21000/150</f>
        <v>140</v>
      </c>
      <c r="K142" s="74">
        <f t="shared" si="10"/>
        <v>21</v>
      </c>
      <c r="L142" s="55">
        <f t="shared" si="9"/>
        <v>0</v>
      </c>
    </row>
    <row r="143" spans="1:12">
      <c r="A143" s="55">
        <v>8.9</v>
      </c>
      <c r="B143" s="54"/>
      <c r="C143" s="68" t="s">
        <v>115</v>
      </c>
      <c r="D143" s="53" t="s">
        <v>79</v>
      </c>
      <c r="E143" s="53"/>
      <c r="F143" s="54"/>
      <c r="G143" s="57">
        <f t="shared" si="8"/>
        <v>0</v>
      </c>
      <c r="H143" s="75" t="s">
        <v>79</v>
      </c>
      <c r="I143" s="53"/>
      <c r="J143" s="54"/>
      <c r="K143" s="74">
        <f t="shared" si="10"/>
        <v>0</v>
      </c>
      <c r="L143" s="55">
        <f t="shared" si="9"/>
        <v>0</v>
      </c>
    </row>
    <row r="144" spans="1:12">
      <c r="A144" s="74">
        <v>8.1</v>
      </c>
      <c r="B144" s="54"/>
      <c r="C144" s="68" t="s">
        <v>152</v>
      </c>
      <c r="D144" s="53" t="s">
        <v>79</v>
      </c>
      <c r="E144" s="53"/>
      <c r="F144" s="54"/>
      <c r="G144" s="57">
        <f t="shared" si="8"/>
        <v>0</v>
      </c>
      <c r="H144" s="75" t="s">
        <v>79</v>
      </c>
      <c r="I144" s="53"/>
      <c r="J144" s="54"/>
      <c r="K144" s="74">
        <f>I144*J144/1000</f>
        <v>0</v>
      </c>
      <c r="L144" s="55">
        <f t="shared" si="9"/>
        <v>0</v>
      </c>
    </row>
    <row r="145" spans="1:12">
      <c r="A145" s="74">
        <v>8.11</v>
      </c>
      <c r="B145" s="54"/>
      <c r="C145" s="68" t="s">
        <v>153</v>
      </c>
      <c r="D145" s="53" t="s">
        <v>154</v>
      </c>
      <c r="E145" s="53">
        <v>30</v>
      </c>
      <c r="F145" s="54">
        <v>1000</v>
      </c>
      <c r="G145" s="57">
        <f t="shared" si="8"/>
        <v>30</v>
      </c>
      <c r="H145" s="75" t="s">
        <v>79</v>
      </c>
      <c r="I145" s="53">
        <v>30</v>
      </c>
      <c r="J145" s="54">
        <v>1000</v>
      </c>
      <c r="K145" s="74">
        <f>I145*J145/1000</f>
        <v>30</v>
      </c>
      <c r="L145" s="55">
        <f t="shared" si="9"/>
        <v>0</v>
      </c>
    </row>
    <row r="146" spans="1:12">
      <c r="A146" s="74">
        <v>8.1199999999999992</v>
      </c>
      <c r="B146" s="54"/>
      <c r="C146" s="68" t="s">
        <v>116</v>
      </c>
      <c r="D146" s="53" t="s">
        <v>79</v>
      </c>
      <c r="E146" s="53"/>
      <c r="F146" s="54"/>
      <c r="G146" s="57">
        <f t="shared" si="8"/>
        <v>0</v>
      </c>
      <c r="H146" s="75" t="s">
        <v>79</v>
      </c>
      <c r="I146" s="53"/>
      <c r="J146" s="54"/>
      <c r="K146" s="74">
        <f t="shared" si="10"/>
        <v>0</v>
      </c>
      <c r="L146" s="55">
        <f t="shared" si="9"/>
        <v>0</v>
      </c>
    </row>
    <row r="147" spans="1:12">
      <c r="A147" s="74">
        <v>8.1300000000000008</v>
      </c>
      <c r="B147" s="54"/>
      <c r="C147" s="68" t="s">
        <v>117</v>
      </c>
      <c r="D147" s="53" t="s">
        <v>79</v>
      </c>
      <c r="E147" s="53"/>
      <c r="F147" s="54"/>
      <c r="G147" s="57">
        <f t="shared" si="8"/>
        <v>0</v>
      </c>
      <c r="H147" s="75" t="s">
        <v>79</v>
      </c>
      <c r="I147" s="53"/>
      <c r="J147" s="54"/>
      <c r="K147" s="74">
        <f t="shared" si="10"/>
        <v>0</v>
      </c>
      <c r="L147" s="55">
        <f t="shared" si="9"/>
        <v>0</v>
      </c>
    </row>
    <row r="148" spans="1:12">
      <c r="A148" s="74">
        <v>8.14</v>
      </c>
      <c r="B148" s="54"/>
      <c r="C148" s="68" t="s">
        <v>118</v>
      </c>
      <c r="D148" s="53" t="s">
        <v>79</v>
      </c>
      <c r="E148" s="53"/>
      <c r="F148" s="54"/>
      <c r="G148" s="57">
        <f t="shared" si="8"/>
        <v>0</v>
      </c>
      <c r="H148" s="75" t="s">
        <v>79</v>
      </c>
      <c r="I148" s="53"/>
      <c r="J148" s="54"/>
      <c r="K148" s="74">
        <f t="shared" si="10"/>
        <v>0</v>
      </c>
      <c r="L148" s="55">
        <f t="shared" si="9"/>
        <v>0</v>
      </c>
    </row>
    <row r="149" spans="1:12">
      <c r="A149" s="74">
        <v>8.15</v>
      </c>
      <c r="B149" s="54"/>
      <c r="C149" s="68" t="s">
        <v>100</v>
      </c>
      <c r="D149" s="53" t="s">
        <v>79</v>
      </c>
      <c r="E149" s="53">
        <v>2</v>
      </c>
      <c r="F149" s="54">
        <v>13500</v>
      </c>
      <c r="G149" s="57">
        <f t="shared" si="8"/>
        <v>27</v>
      </c>
      <c r="H149" s="75" t="s">
        <v>79</v>
      </c>
      <c r="I149" s="53">
        <v>2</v>
      </c>
      <c r="J149" s="54">
        <v>13500</v>
      </c>
      <c r="K149" s="74">
        <f t="shared" si="10"/>
        <v>27</v>
      </c>
      <c r="L149" s="55">
        <f t="shared" si="9"/>
        <v>0</v>
      </c>
    </row>
    <row r="150" spans="1:12">
      <c r="A150" s="74">
        <v>8.16</v>
      </c>
      <c r="B150" s="54"/>
      <c r="C150" s="68" t="s">
        <v>119</v>
      </c>
      <c r="D150" s="53" t="s">
        <v>79</v>
      </c>
      <c r="E150" s="53">
        <v>40</v>
      </c>
      <c r="F150" s="54">
        <v>180</v>
      </c>
      <c r="G150" s="57">
        <f t="shared" si="8"/>
        <v>7.2</v>
      </c>
      <c r="H150" s="75" t="s">
        <v>79</v>
      </c>
      <c r="I150" s="53">
        <v>40</v>
      </c>
      <c r="J150" s="54">
        <v>180</v>
      </c>
      <c r="K150" s="74">
        <f t="shared" si="10"/>
        <v>7.2</v>
      </c>
      <c r="L150" s="55">
        <f t="shared" si="9"/>
        <v>0</v>
      </c>
    </row>
    <row r="151" spans="1:12">
      <c r="A151" s="74">
        <v>8.17</v>
      </c>
      <c r="B151" s="54"/>
      <c r="C151" s="68" t="s">
        <v>120</v>
      </c>
      <c r="D151" s="53" t="s">
        <v>79</v>
      </c>
      <c r="E151" s="53">
        <v>2</v>
      </c>
      <c r="F151" s="54">
        <v>2500</v>
      </c>
      <c r="G151" s="57">
        <f t="shared" si="8"/>
        <v>5</v>
      </c>
      <c r="H151" s="75" t="s">
        <v>79</v>
      </c>
      <c r="I151" s="53">
        <v>2</v>
      </c>
      <c r="J151" s="54">
        <v>2500</v>
      </c>
      <c r="K151" s="74">
        <f t="shared" si="10"/>
        <v>5</v>
      </c>
      <c r="L151" s="55">
        <f t="shared" si="9"/>
        <v>0</v>
      </c>
    </row>
    <row r="152" spans="1:12">
      <c r="A152" s="55">
        <v>8.1</v>
      </c>
      <c r="B152" s="54"/>
      <c r="C152" s="177" t="s">
        <v>82</v>
      </c>
      <c r="D152" s="53"/>
      <c r="E152" s="53"/>
      <c r="F152" s="54"/>
      <c r="G152" s="57">
        <f t="shared" si="8"/>
        <v>0</v>
      </c>
      <c r="H152" s="53" t="s">
        <v>79</v>
      </c>
      <c r="I152" s="72">
        <v>20</v>
      </c>
      <c r="J152" s="76">
        <v>200</v>
      </c>
      <c r="K152" s="74">
        <f>I152*J152/1000</f>
        <v>4</v>
      </c>
      <c r="L152" s="55">
        <f t="shared" si="9"/>
        <v>4</v>
      </c>
    </row>
    <row r="153" spans="1:12">
      <c r="A153" s="55">
        <v>8.1999999999999993</v>
      </c>
      <c r="B153" s="54"/>
      <c r="C153" s="177" t="s">
        <v>83</v>
      </c>
      <c r="D153" s="53"/>
      <c r="E153" s="53"/>
      <c r="F153" s="54"/>
      <c r="G153" s="57">
        <f t="shared" si="8"/>
        <v>0</v>
      </c>
      <c r="H153" s="53" t="s">
        <v>84</v>
      </c>
      <c r="I153" s="72">
        <v>300</v>
      </c>
      <c r="J153" s="76">
        <v>50</v>
      </c>
      <c r="K153" s="74">
        <f t="shared" ref="K153:K160" si="11">I153*J153/1000</f>
        <v>15</v>
      </c>
      <c r="L153" s="55">
        <f t="shared" si="9"/>
        <v>15</v>
      </c>
    </row>
    <row r="154" spans="1:12">
      <c r="A154" s="55">
        <v>8.3000000000000007</v>
      </c>
      <c r="B154" s="54"/>
      <c r="C154" s="177" t="s">
        <v>229</v>
      </c>
      <c r="D154" s="53"/>
      <c r="E154" s="53"/>
      <c r="F154" s="54"/>
      <c r="G154" s="57">
        <f t="shared" si="8"/>
        <v>0</v>
      </c>
      <c r="H154" s="53" t="s">
        <v>79</v>
      </c>
      <c r="I154" s="72">
        <v>320</v>
      </c>
      <c r="J154" s="76">
        <v>240</v>
      </c>
      <c r="K154" s="74">
        <f t="shared" si="11"/>
        <v>76.8</v>
      </c>
      <c r="L154" s="55">
        <f t="shared" si="9"/>
        <v>76.8</v>
      </c>
    </row>
    <row r="155" spans="1:12" ht="29.25" customHeight="1">
      <c r="A155" s="55">
        <v>8.4</v>
      </c>
      <c r="B155" s="54"/>
      <c r="C155" s="177" t="s">
        <v>149</v>
      </c>
      <c r="D155" s="53"/>
      <c r="E155" s="53"/>
      <c r="F155" s="54"/>
      <c r="G155" s="57">
        <f t="shared" si="8"/>
        <v>0</v>
      </c>
      <c r="H155" s="53" t="s">
        <v>79</v>
      </c>
      <c r="I155" s="72">
        <v>196</v>
      </c>
      <c r="J155" s="76">
        <v>300</v>
      </c>
      <c r="K155" s="74">
        <f t="shared" si="11"/>
        <v>58.8</v>
      </c>
      <c r="L155" s="55">
        <f t="shared" si="9"/>
        <v>58.8</v>
      </c>
    </row>
    <row r="156" spans="1:12">
      <c r="A156" s="55">
        <v>8.5</v>
      </c>
      <c r="B156" s="54"/>
      <c r="C156" s="177" t="s">
        <v>97</v>
      </c>
      <c r="D156" s="53"/>
      <c r="E156" s="53"/>
      <c r="F156" s="54"/>
      <c r="G156" s="57">
        <f t="shared" si="8"/>
        <v>0</v>
      </c>
      <c r="H156" s="53" t="s">
        <v>79</v>
      </c>
      <c r="I156" s="72">
        <v>10</v>
      </c>
      <c r="J156" s="76">
        <v>1700</v>
      </c>
      <c r="K156" s="74">
        <f t="shared" si="11"/>
        <v>17</v>
      </c>
      <c r="L156" s="55">
        <f t="shared" si="9"/>
        <v>17</v>
      </c>
    </row>
    <row r="157" spans="1:12">
      <c r="A157" s="55">
        <v>8.6</v>
      </c>
      <c r="B157" s="54"/>
      <c r="C157" s="177" t="s">
        <v>230</v>
      </c>
      <c r="D157" s="53"/>
      <c r="E157" s="53"/>
      <c r="F157" s="54"/>
      <c r="G157" s="57">
        <f t="shared" si="8"/>
        <v>0</v>
      </c>
      <c r="H157" s="53" t="s">
        <v>79</v>
      </c>
      <c r="I157" s="72">
        <v>1600</v>
      </c>
      <c r="J157" s="76">
        <v>100</v>
      </c>
      <c r="K157" s="74">
        <f t="shared" si="11"/>
        <v>160</v>
      </c>
      <c r="L157" s="55">
        <f t="shared" si="9"/>
        <v>160</v>
      </c>
    </row>
    <row r="158" spans="1:12">
      <c r="A158" s="55">
        <v>8.6999999999999993</v>
      </c>
      <c r="B158" s="54"/>
      <c r="C158" s="177" t="s">
        <v>114</v>
      </c>
      <c r="D158" s="53"/>
      <c r="E158" s="53"/>
      <c r="F158" s="54"/>
      <c r="G158" s="57">
        <f t="shared" si="8"/>
        <v>0</v>
      </c>
      <c r="H158" s="53" t="s">
        <v>79</v>
      </c>
      <c r="I158" s="72">
        <v>100</v>
      </c>
      <c r="J158" s="76">
        <v>500</v>
      </c>
      <c r="K158" s="74">
        <f t="shared" si="11"/>
        <v>50</v>
      </c>
      <c r="L158" s="55">
        <f t="shared" si="9"/>
        <v>50</v>
      </c>
    </row>
    <row r="159" spans="1:12">
      <c r="A159" s="55">
        <v>8.8000000000000007</v>
      </c>
      <c r="B159" s="54"/>
      <c r="C159" s="177" t="s">
        <v>115</v>
      </c>
      <c r="D159" s="53"/>
      <c r="E159" s="53"/>
      <c r="F159" s="54"/>
      <c r="G159" s="57">
        <f t="shared" si="8"/>
        <v>0</v>
      </c>
      <c r="H159" s="53" t="s">
        <v>79</v>
      </c>
      <c r="I159" s="72">
        <v>450</v>
      </c>
      <c r="J159" s="76">
        <v>230</v>
      </c>
      <c r="K159" s="74">
        <f t="shared" si="11"/>
        <v>103.5</v>
      </c>
      <c r="L159" s="55">
        <f t="shared" si="9"/>
        <v>103.5</v>
      </c>
    </row>
    <row r="160" spans="1:12">
      <c r="A160" s="55">
        <v>8.9</v>
      </c>
      <c r="B160" s="54"/>
      <c r="C160" s="177" t="s">
        <v>231</v>
      </c>
      <c r="D160" s="53"/>
      <c r="E160" s="53"/>
      <c r="F160" s="54"/>
      <c r="G160" s="57">
        <f t="shared" si="8"/>
        <v>0</v>
      </c>
      <c r="H160" s="53" t="s">
        <v>79</v>
      </c>
      <c r="I160" s="72">
        <v>150</v>
      </c>
      <c r="J160" s="76">
        <v>230</v>
      </c>
      <c r="K160" s="74">
        <f t="shared" si="11"/>
        <v>34.5</v>
      </c>
      <c r="L160" s="55">
        <f t="shared" si="9"/>
        <v>34.5</v>
      </c>
    </row>
    <row r="161" spans="1:12">
      <c r="A161" s="74">
        <v>8.1</v>
      </c>
      <c r="B161" s="54"/>
      <c r="C161" s="177" t="s">
        <v>153</v>
      </c>
      <c r="D161" s="53"/>
      <c r="E161" s="53"/>
      <c r="F161" s="54"/>
      <c r="G161" s="57">
        <f t="shared" si="8"/>
        <v>0</v>
      </c>
      <c r="H161" s="53" t="s">
        <v>79</v>
      </c>
      <c r="I161" s="72">
        <v>1832</v>
      </c>
      <c r="J161" s="76">
        <v>10</v>
      </c>
      <c r="K161" s="74">
        <f>I161*J161/1000</f>
        <v>18.32</v>
      </c>
      <c r="L161" s="55">
        <f t="shared" si="9"/>
        <v>18.32</v>
      </c>
    </row>
    <row r="162" spans="1:12">
      <c r="A162" s="74">
        <v>8.11</v>
      </c>
      <c r="B162" s="54"/>
      <c r="C162" s="177" t="s">
        <v>116</v>
      </c>
      <c r="D162" s="53"/>
      <c r="E162" s="53"/>
      <c r="F162" s="54"/>
      <c r="G162" s="57">
        <f t="shared" si="8"/>
        <v>0</v>
      </c>
      <c r="H162" s="53" t="s">
        <v>79</v>
      </c>
      <c r="I162" s="72">
        <v>30</v>
      </c>
      <c r="J162" s="76">
        <v>700</v>
      </c>
      <c r="K162" s="74">
        <f>I162*J162/1000</f>
        <v>21</v>
      </c>
      <c r="L162" s="55">
        <f t="shared" si="9"/>
        <v>21</v>
      </c>
    </row>
    <row r="163" spans="1:12">
      <c r="A163" s="74">
        <v>8.1199999999999992</v>
      </c>
      <c r="B163" s="54"/>
      <c r="C163" s="177" t="s">
        <v>117</v>
      </c>
      <c r="D163" s="53"/>
      <c r="E163" s="53"/>
      <c r="F163" s="54"/>
      <c r="G163" s="57">
        <f t="shared" si="8"/>
        <v>0</v>
      </c>
      <c r="H163" s="53" t="s">
        <v>79</v>
      </c>
      <c r="I163" s="72">
        <v>10</v>
      </c>
      <c r="J163" s="76">
        <v>3600</v>
      </c>
      <c r="K163" s="74">
        <f t="shared" ref="K163:K167" si="12">I163*J163/1000</f>
        <v>36</v>
      </c>
      <c r="L163" s="55">
        <f t="shared" si="9"/>
        <v>36</v>
      </c>
    </row>
    <row r="164" spans="1:12">
      <c r="A164" s="74">
        <v>8.1300000000000008</v>
      </c>
      <c r="B164" s="54"/>
      <c r="C164" s="177" t="s">
        <v>232</v>
      </c>
      <c r="D164" s="53"/>
      <c r="E164" s="53"/>
      <c r="F164" s="54"/>
      <c r="G164" s="57">
        <f t="shared" si="8"/>
        <v>0</v>
      </c>
      <c r="H164" s="53" t="s">
        <v>79</v>
      </c>
      <c r="I164" s="72">
        <v>10</v>
      </c>
      <c r="J164" s="76">
        <v>1500</v>
      </c>
      <c r="K164" s="74">
        <f t="shared" si="12"/>
        <v>15</v>
      </c>
      <c r="L164" s="55">
        <f t="shared" si="9"/>
        <v>15</v>
      </c>
    </row>
    <row r="165" spans="1:12">
      <c r="A165" s="74">
        <v>8.14</v>
      </c>
      <c r="B165" s="54"/>
      <c r="C165" s="177" t="s">
        <v>100</v>
      </c>
      <c r="D165" s="53"/>
      <c r="E165" s="53"/>
      <c r="F165" s="54"/>
      <c r="G165" s="57">
        <f t="shared" si="8"/>
        <v>0</v>
      </c>
      <c r="H165" s="53" t="s">
        <v>79</v>
      </c>
      <c r="I165" s="72">
        <v>6</v>
      </c>
      <c r="J165" s="76">
        <v>16000</v>
      </c>
      <c r="K165" s="74">
        <f t="shared" si="12"/>
        <v>96</v>
      </c>
      <c r="L165" s="55">
        <f t="shared" si="9"/>
        <v>96</v>
      </c>
    </row>
    <row r="166" spans="1:12">
      <c r="A166" s="74">
        <v>8.15</v>
      </c>
      <c r="B166" s="54"/>
      <c r="C166" s="177" t="s">
        <v>233</v>
      </c>
      <c r="D166" s="53"/>
      <c r="E166" s="53"/>
      <c r="F166" s="54"/>
      <c r="G166" s="57">
        <f t="shared" si="8"/>
        <v>0</v>
      </c>
      <c r="H166" s="53" t="s">
        <v>79</v>
      </c>
      <c r="I166" s="72">
        <v>60</v>
      </c>
      <c r="J166" s="76">
        <v>200</v>
      </c>
      <c r="K166" s="74">
        <f t="shared" si="12"/>
        <v>12</v>
      </c>
      <c r="L166" s="55">
        <f t="shared" si="9"/>
        <v>12</v>
      </c>
    </row>
    <row r="167" spans="1:12">
      <c r="A167" s="74">
        <v>8.16</v>
      </c>
      <c r="B167" s="54"/>
      <c r="C167" s="177" t="s">
        <v>120</v>
      </c>
      <c r="D167" s="53"/>
      <c r="E167" s="53"/>
      <c r="F167" s="54"/>
      <c r="G167" s="57">
        <f t="shared" si="8"/>
        <v>0</v>
      </c>
      <c r="H167" s="53" t="s">
        <v>79</v>
      </c>
      <c r="I167" s="72">
        <v>3</v>
      </c>
      <c r="J167" s="76">
        <v>2500</v>
      </c>
      <c r="K167" s="74">
        <f t="shared" si="12"/>
        <v>7.5</v>
      </c>
      <c r="L167" s="55">
        <f t="shared" si="9"/>
        <v>7.5</v>
      </c>
    </row>
    <row r="168" spans="1:12" ht="14.25" hidden="1" customHeight="1">
      <c r="A168" s="74"/>
      <c r="B168" s="54"/>
      <c r="C168" s="68"/>
      <c r="D168" s="53"/>
      <c r="E168" s="53"/>
      <c r="F168" s="54"/>
      <c r="G168" s="57"/>
      <c r="H168" s="75"/>
      <c r="I168" s="53"/>
      <c r="J168" s="76"/>
      <c r="K168" s="74"/>
      <c r="L168" s="55"/>
    </row>
    <row r="169" spans="1:12" ht="27" hidden="1" customHeight="1">
      <c r="A169" s="59" t="s">
        <v>85</v>
      </c>
      <c r="B169" s="50">
        <v>5121</v>
      </c>
      <c r="C169" s="50" t="s">
        <v>87</v>
      </c>
      <c r="D169" s="59"/>
      <c r="E169" s="59"/>
      <c r="F169" s="59"/>
      <c r="G169" s="51">
        <f>SUM(G171:G172)</f>
        <v>0</v>
      </c>
      <c r="H169" s="59"/>
      <c r="I169" s="59"/>
      <c r="J169" s="59"/>
      <c r="K169" s="51">
        <f>SUM(K171:K172)</f>
        <v>0</v>
      </c>
      <c r="L169" s="60">
        <f>K169-G169</f>
        <v>0</v>
      </c>
    </row>
    <row r="170" spans="1:12" ht="13.5" hidden="1" customHeight="1">
      <c r="A170" s="61"/>
      <c r="B170" s="54"/>
      <c r="C170" s="40" t="s">
        <v>51</v>
      </c>
      <c r="D170" s="54"/>
      <c r="E170" s="54"/>
      <c r="F170" s="54"/>
      <c r="G170" s="55"/>
      <c r="H170" s="54"/>
      <c r="I170" s="54"/>
      <c r="J170" s="54"/>
      <c r="K170" s="56"/>
      <c r="L170" s="54"/>
    </row>
    <row r="171" spans="1:12" ht="29.25" hidden="1" customHeight="1">
      <c r="A171" s="53" t="s">
        <v>86</v>
      </c>
      <c r="B171" s="54"/>
      <c r="C171" s="68" t="s">
        <v>155</v>
      </c>
      <c r="D171" s="53" t="s">
        <v>79</v>
      </c>
      <c r="E171" s="54">
        <v>0</v>
      </c>
      <c r="F171" s="54"/>
      <c r="G171" s="58">
        <f>E171*F171</f>
        <v>0</v>
      </c>
      <c r="H171" s="53" t="s">
        <v>79</v>
      </c>
      <c r="I171" s="54">
        <v>1</v>
      </c>
      <c r="J171" s="54"/>
      <c r="K171" s="55"/>
      <c r="L171" s="55">
        <f>K171-G171</f>
        <v>0</v>
      </c>
    </row>
    <row r="172" spans="1:12" ht="42.75" hidden="1" customHeight="1">
      <c r="A172" s="74"/>
      <c r="B172" s="54"/>
      <c r="C172" s="68"/>
      <c r="D172" s="53"/>
      <c r="E172" s="53"/>
      <c r="F172" s="54"/>
      <c r="G172" s="57"/>
      <c r="H172" s="75"/>
      <c r="I172" s="53"/>
      <c r="J172" s="76"/>
      <c r="K172" s="74"/>
      <c r="L172" s="55"/>
    </row>
    <row r="173" spans="1:12" ht="27" hidden="1" customHeight="1">
      <c r="A173" s="59" t="s">
        <v>88</v>
      </c>
      <c r="B173" s="50">
        <v>5122</v>
      </c>
      <c r="C173" s="50" t="s">
        <v>89</v>
      </c>
      <c r="D173" s="59"/>
      <c r="E173" s="59"/>
      <c r="F173" s="59"/>
      <c r="G173" s="51">
        <f>SUM(G175:G180)</f>
        <v>0</v>
      </c>
      <c r="H173" s="59"/>
      <c r="I173" s="59"/>
      <c r="J173" s="59"/>
      <c r="K173" s="51">
        <f>SUM(K175:K180)</f>
        <v>0</v>
      </c>
      <c r="L173" s="60">
        <f>K173-G173</f>
        <v>0</v>
      </c>
    </row>
    <row r="174" spans="1:12" ht="13.5" hidden="1" customHeight="1">
      <c r="A174" s="61"/>
      <c r="B174" s="54"/>
      <c r="C174" s="40" t="s">
        <v>51</v>
      </c>
      <c r="D174" s="54"/>
      <c r="E174" s="54"/>
      <c r="F174" s="54"/>
      <c r="G174" s="55"/>
      <c r="H174" s="54"/>
      <c r="I174" s="54"/>
      <c r="J174" s="54"/>
      <c r="K174" s="56"/>
      <c r="L174" s="54"/>
    </row>
    <row r="175" spans="1:12" ht="27" hidden="1" customHeight="1">
      <c r="A175" s="55">
        <v>13.1</v>
      </c>
      <c r="B175" s="54"/>
      <c r="C175" s="68" t="s">
        <v>156</v>
      </c>
      <c r="D175" s="53" t="s">
        <v>79</v>
      </c>
      <c r="E175" s="54">
        <v>0</v>
      </c>
      <c r="F175" s="54"/>
      <c r="G175" s="54">
        <v>0</v>
      </c>
      <c r="H175" s="53" t="s">
        <v>79</v>
      </c>
      <c r="I175" s="54"/>
      <c r="J175" s="54"/>
      <c r="K175" s="55"/>
      <c r="L175" s="55"/>
    </row>
    <row r="176" spans="1:12" ht="13.5" hidden="1" customHeight="1">
      <c r="A176" s="55">
        <v>13.2</v>
      </c>
      <c r="B176" s="54"/>
      <c r="C176" s="68" t="s">
        <v>90</v>
      </c>
      <c r="D176" s="53" t="s">
        <v>79</v>
      </c>
      <c r="E176" s="54">
        <v>0</v>
      </c>
      <c r="F176" s="54"/>
      <c r="G176" s="54">
        <v>0</v>
      </c>
      <c r="H176" s="53" t="s">
        <v>79</v>
      </c>
      <c r="I176" s="68"/>
      <c r="J176" s="54"/>
      <c r="K176" s="55"/>
      <c r="L176" s="55"/>
    </row>
    <row r="177" spans="1:12" ht="13.5" hidden="1" customHeight="1">
      <c r="A177" s="55">
        <v>13.3</v>
      </c>
      <c r="B177" s="54"/>
      <c r="C177" s="68" t="s">
        <v>91</v>
      </c>
      <c r="D177" s="53" t="s">
        <v>79</v>
      </c>
      <c r="E177" s="54">
        <v>0</v>
      </c>
      <c r="F177" s="54"/>
      <c r="G177" s="54">
        <v>0</v>
      </c>
      <c r="H177" s="53" t="s">
        <v>79</v>
      </c>
      <c r="I177" s="68"/>
      <c r="J177" s="54"/>
      <c r="K177" s="55"/>
      <c r="L177" s="55"/>
    </row>
    <row r="178" spans="1:12" ht="13.5" hidden="1" customHeight="1">
      <c r="A178" s="55">
        <v>13.4</v>
      </c>
      <c r="B178" s="54"/>
      <c r="C178" s="68" t="s">
        <v>157</v>
      </c>
      <c r="D178" s="53" t="s">
        <v>79</v>
      </c>
      <c r="E178" s="54">
        <v>0</v>
      </c>
      <c r="F178" s="54"/>
      <c r="G178" s="54">
        <v>0</v>
      </c>
      <c r="H178" s="53" t="s">
        <v>79</v>
      </c>
      <c r="I178" s="68"/>
      <c r="J178" s="54"/>
      <c r="K178" s="55"/>
      <c r="L178" s="55"/>
    </row>
    <row r="179" spans="1:12" ht="13.5" hidden="1" customHeight="1">
      <c r="A179" s="55">
        <v>13.5</v>
      </c>
      <c r="B179" s="54"/>
      <c r="C179" s="68" t="s">
        <v>0</v>
      </c>
      <c r="D179" s="53" t="s">
        <v>79</v>
      </c>
      <c r="E179" s="54">
        <v>0</v>
      </c>
      <c r="F179" s="54"/>
      <c r="G179" s="54">
        <v>0</v>
      </c>
      <c r="H179" s="53" t="s">
        <v>79</v>
      </c>
      <c r="I179" s="68"/>
      <c r="J179" s="54"/>
      <c r="K179" s="55"/>
      <c r="L179" s="55"/>
    </row>
    <row r="180" spans="1:12">
      <c r="A180" s="55">
        <v>13.5</v>
      </c>
      <c r="B180" s="54"/>
      <c r="C180" s="68" t="s">
        <v>77</v>
      </c>
      <c r="D180" s="53" t="s">
        <v>79</v>
      </c>
      <c r="E180" s="54">
        <v>0</v>
      </c>
      <c r="F180" s="54"/>
      <c r="G180" s="54">
        <v>0</v>
      </c>
      <c r="H180" s="53" t="s">
        <v>79</v>
      </c>
      <c r="I180" s="68"/>
      <c r="J180" s="54"/>
      <c r="K180" s="55"/>
      <c r="L180" s="55"/>
    </row>
    <row r="181" spans="1:12" ht="30" customHeight="1"/>
    <row r="196" ht="39.75" customHeight="1"/>
    <row r="197" ht="45" customHeight="1"/>
    <row r="198" ht="17.25" customHeight="1"/>
    <row r="199" ht="16.5" customHeight="1"/>
    <row r="200" ht="16.5" customHeight="1"/>
    <row r="201" ht="29.25" customHeight="1"/>
    <row r="202" ht="45" customHeight="1"/>
    <row r="206" ht="14.25" customHeight="1"/>
    <row r="207" ht="18.75" customHeight="1"/>
    <row r="208" ht="18.75" customHeight="1"/>
    <row r="209" ht="42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mergeCells count="16">
    <mergeCell ref="H1:I1"/>
    <mergeCell ref="H2:J2"/>
    <mergeCell ref="K1:L1"/>
    <mergeCell ref="B3:K3"/>
    <mergeCell ref="B7:C7"/>
    <mergeCell ref="I7:I8"/>
    <mergeCell ref="D6:G6"/>
    <mergeCell ref="H6:K6"/>
    <mergeCell ref="A4:L4"/>
    <mergeCell ref="J7:J8"/>
    <mergeCell ref="K7:K8"/>
    <mergeCell ref="H7:H8"/>
    <mergeCell ref="G7:G8"/>
    <mergeCell ref="D7:D8"/>
    <mergeCell ref="E7:E8"/>
    <mergeCell ref="F7:F8"/>
  </mergeCells>
  <phoneticPr fontId="1" type="noConversion"/>
  <pageMargins left="0.47244094488188981" right="0.23622047244094491" top="0.23622047244094491" bottom="0.27559055118110237" header="0.19685039370078741" footer="0.19685039370078741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Energia-ax1</vt:lpstr>
      <vt:lpstr>Кап-ax2</vt:lpstr>
      <vt:lpstr>Gorcuxum-ax3 </vt:lpstr>
      <vt:lpstr>Gnumner-ax4</vt:lpstr>
      <vt:lpstr>'Gorcuxum-ax3 '!Print_Area</vt:lpstr>
      <vt:lpstr>'Gnumner-ax4'!Print_Titles</vt:lpstr>
    </vt:vector>
  </TitlesOfParts>
  <Company>MFE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Hmayak Hakobyan</dc:creator>
  <cp:lastModifiedBy>Mirzoyan Armine</cp:lastModifiedBy>
  <cp:lastPrinted>2013-04-23T06:31:45Z</cp:lastPrinted>
  <dcterms:created xsi:type="dcterms:W3CDTF">2003-05-20T07:22:10Z</dcterms:created>
  <dcterms:modified xsi:type="dcterms:W3CDTF">2013-06-04T12:55:00Z</dcterms:modified>
</cp:coreProperties>
</file>