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28800" windowHeight="11835" activeTab="4"/>
  </bookViews>
  <sheets>
    <sheet name="1" sheetId="1" r:id="rId1"/>
    <sheet name="2" sheetId="2" r:id="rId2"/>
    <sheet name="3" sheetId="3" r:id="rId3"/>
    <sheet name="4" sheetId="6" r:id="rId4"/>
    <sheet name="5" sheetId="7" r:id="rId5"/>
    <sheet name="6" sheetId="8" r:id="rId6"/>
  </sheets>
  <calcPr calcId="152511"/>
</workbook>
</file>

<file path=xl/calcChain.xml><?xml version="1.0" encoding="utf-8"?>
<calcChain xmlns="http://schemas.openxmlformats.org/spreadsheetml/2006/main">
  <c r="E126" i="8" l="1"/>
  <c r="E127" i="8"/>
  <c r="E128" i="8"/>
  <c r="E129" i="8"/>
  <c r="E130" i="8"/>
  <c r="E131" i="8"/>
  <c r="E132" i="8"/>
  <c r="E133" i="8"/>
  <c r="E134" i="8"/>
  <c r="E135" i="8"/>
  <c r="E136" i="8"/>
  <c r="E137" i="8"/>
  <c r="E138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25" i="8"/>
  <c r="G139" i="8"/>
  <c r="E139" i="8" s="1"/>
  <c r="G124" i="8"/>
  <c r="G65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67" i="8"/>
  <c r="D137" i="8"/>
  <c r="D138" i="8" s="1"/>
  <c r="C137" i="8"/>
  <c r="C138" i="8" s="1"/>
  <c r="E64" i="8"/>
  <c r="D64" i="8"/>
  <c r="C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G16" i="8"/>
  <c r="G15" i="8" s="1"/>
  <c r="G123" i="8" l="1"/>
  <c r="G25" i="1"/>
  <c r="G24" i="1" s="1"/>
  <c r="G19" i="1"/>
  <c r="I65" i="3"/>
  <c r="G112" i="2"/>
  <c r="H112" i="2"/>
  <c r="I112" i="2"/>
  <c r="F113" i="2"/>
  <c r="H70" i="2"/>
  <c r="F66" i="2"/>
  <c r="G79" i="2"/>
  <c r="F79" i="2" s="1"/>
  <c r="E26" i="7" l="1"/>
  <c r="F19" i="1"/>
  <c r="F18" i="1" s="1"/>
  <c r="G18" i="1"/>
  <c r="F25" i="1"/>
  <c r="E25" i="1"/>
  <c r="E19" i="1"/>
  <c r="E18" i="1" s="1"/>
  <c r="H25" i="3" l="1"/>
  <c r="G114" i="3" l="1"/>
  <c r="H114" i="3"/>
  <c r="I114" i="3"/>
  <c r="G112" i="3"/>
  <c r="H112" i="3"/>
  <c r="G116" i="3"/>
  <c r="H116" i="3"/>
  <c r="I116" i="3"/>
  <c r="G24" i="3"/>
  <c r="H24" i="3"/>
  <c r="I24" i="3"/>
  <c r="I109" i="3"/>
  <c r="I112" i="3"/>
  <c r="G97" i="3"/>
  <c r="H97" i="3"/>
  <c r="I97" i="3"/>
  <c r="G95" i="3"/>
  <c r="H95" i="3"/>
  <c r="I95" i="3"/>
  <c r="I94" i="3" s="1"/>
  <c r="G50" i="3"/>
  <c r="G48" i="3" s="1"/>
  <c r="H50" i="3"/>
  <c r="H48" i="3" s="1"/>
  <c r="I50" i="3"/>
  <c r="I48" i="3" s="1"/>
  <c r="G46" i="3"/>
  <c r="H46" i="3"/>
  <c r="I46" i="3"/>
  <c r="I44" i="3"/>
  <c r="G44" i="3"/>
  <c r="H44" i="3"/>
  <c r="G42" i="3"/>
  <c r="H42" i="3"/>
  <c r="I42" i="3"/>
  <c r="I35" i="3"/>
  <c r="G32" i="3"/>
  <c r="H32" i="3"/>
  <c r="I32" i="3"/>
  <c r="G30" i="3"/>
  <c r="H30" i="3"/>
  <c r="I30" i="3"/>
  <c r="G28" i="3"/>
  <c r="H28" i="3"/>
  <c r="I28" i="3"/>
  <c r="H40" i="3"/>
  <c r="I40" i="3"/>
  <c r="I38" i="3" s="1"/>
  <c r="G40" i="3"/>
  <c r="H35" i="3"/>
  <c r="H16" i="3"/>
  <c r="I16" i="3"/>
  <c r="I108" i="3" l="1"/>
  <c r="I92" i="3" s="1"/>
  <c r="I14" i="3"/>
  <c r="I13" i="3" s="1"/>
  <c r="I11" i="3" s="1"/>
  <c r="I9" i="3" s="1"/>
  <c r="H14" i="3"/>
  <c r="G94" i="3"/>
  <c r="H94" i="3"/>
  <c r="H38" i="3"/>
  <c r="I8" i="3" l="1"/>
  <c r="H45" i="2"/>
  <c r="I35" i="2"/>
  <c r="I106" i="2"/>
  <c r="I59" i="2"/>
  <c r="I56" i="2"/>
  <c r="I27" i="2" l="1"/>
  <c r="I105" i="2"/>
  <c r="I104" i="2"/>
  <c r="H103" i="2"/>
  <c r="H102" i="2"/>
  <c r="I100" i="2"/>
  <c r="I64" i="2"/>
  <c r="I58" i="2"/>
  <c r="I57" i="2"/>
  <c r="H55" i="2"/>
  <c r="I49" i="2"/>
  <c r="I47" i="2"/>
  <c r="H33" i="2"/>
  <c r="I24" i="2"/>
  <c r="H21" i="2"/>
  <c r="J112" i="2"/>
  <c r="F38" i="6" l="1"/>
  <c r="F35" i="6" s="1"/>
  <c r="F14" i="2" l="1"/>
  <c r="F48" i="3" l="1"/>
  <c r="G35" i="3"/>
  <c r="F36" i="3"/>
  <c r="F35" i="3" s="1"/>
  <c r="G16" i="3"/>
  <c r="F16" i="3"/>
  <c r="G38" i="3"/>
  <c r="F38" i="3"/>
  <c r="F32" i="3"/>
  <c r="F30" i="3"/>
  <c r="F14" i="3" l="1"/>
  <c r="G14" i="3"/>
  <c r="F31" i="1"/>
  <c r="F29" i="1" s="1"/>
  <c r="F27" i="1" s="1"/>
  <c r="G31" i="1"/>
  <c r="G29" i="1" s="1"/>
  <c r="G27" i="1" s="1"/>
  <c r="E31" i="1"/>
  <c r="E29" i="1" s="1"/>
  <c r="E27" i="1" s="1"/>
  <c r="G13" i="3" l="1"/>
  <c r="H13" i="3"/>
  <c r="F13" i="3"/>
  <c r="H11" i="3" l="1"/>
  <c r="G11" i="3"/>
  <c r="E24" i="1" l="1"/>
  <c r="E22" i="1" s="1"/>
  <c r="F24" i="1"/>
  <c r="F22" i="1" s="1"/>
  <c r="G22" i="1"/>
  <c r="E16" i="1"/>
  <c r="F16" i="1"/>
  <c r="G16" i="1"/>
  <c r="I60" i="2"/>
  <c r="I61" i="2"/>
  <c r="I62" i="2"/>
  <c r="I63" i="2"/>
  <c r="I65" i="2"/>
  <c r="F14" i="1" l="1"/>
  <c r="F12" i="1" s="1"/>
  <c r="F10" i="1" s="1"/>
  <c r="F8" i="1" s="1"/>
  <c r="E14" i="1"/>
  <c r="E12" i="1" s="1"/>
  <c r="E10" i="1" s="1"/>
  <c r="E8" i="1" s="1"/>
  <c r="G14" i="1"/>
  <c r="G12" i="1" s="1"/>
  <c r="G10" i="1" s="1"/>
  <c r="G8" i="1" s="1"/>
  <c r="F112" i="3"/>
  <c r="F94" i="3"/>
  <c r="F93" i="3" s="1"/>
  <c r="G108" i="3" l="1"/>
  <c r="G92" i="3" s="1"/>
  <c r="G9" i="3" s="1"/>
  <c r="G8" i="3" s="1"/>
  <c r="F65" i="3"/>
  <c r="F110" i="3"/>
  <c r="F109" i="3" s="1"/>
  <c r="I110" i="2"/>
  <c r="I109" i="2"/>
  <c r="I108" i="2"/>
  <c r="I107" i="2"/>
  <c r="G99" i="2"/>
  <c r="H99" i="2"/>
  <c r="I99" i="2"/>
  <c r="J99" i="2"/>
  <c r="F100" i="2"/>
  <c r="F99" i="2" s="1"/>
  <c r="I51" i="2"/>
  <c r="G48" i="2"/>
  <c r="H48" i="2"/>
  <c r="I48" i="2"/>
  <c r="J48" i="2"/>
  <c r="F49" i="2"/>
  <c r="F48" i="2" s="1"/>
  <c r="I40" i="2"/>
  <c r="F40" i="2" s="1"/>
  <c r="F31" i="2"/>
  <c r="F30" i="2"/>
  <c r="I28" i="2"/>
  <c r="G28" i="2"/>
  <c r="H28" i="2"/>
  <c r="F11" i="3" l="1"/>
  <c r="F9" i="3" s="1"/>
  <c r="H108" i="3"/>
  <c r="H92" i="3" s="1"/>
  <c r="H9" i="3" l="1"/>
  <c r="H8" i="3" s="1"/>
  <c r="F8" i="3"/>
  <c r="I26" i="2"/>
  <c r="I23" i="2"/>
  <c r="I22" i="2"/>
  <c r="F21" i="2" l="1"/>
  <c r="J18" i="2"/>
  <c r="I73" i="2"/>
  <c r="I70" i="2" s="1"/>
  <c r="J73" i="2"/>
  <c r="J70" i="2" s="1"/>
  <c r="H118" i="2"/>
  <c r="I118" i="2"/>
  <c r="J118" i="2"/>
  <c r="H116" i="2"/>
  <c r="I116" i="2"/>
  <c r="J116" i="2"/>
  <c r="H113" i="2"/>
  <c r="I113" i="2"/>
  <c r="J113" i="2"/>
  <c r="H101" i="2"/>
  <c r="I101" i="2"/>
  <c r="J101" i="2"/>
  <c r="J98" i="2" s="1"/>
  <c r="J96" i="2" s="1"/>
  <c r="G81" i="2"/>
  <c r="H81" i="2"/>
  <c r="H69" i="2" s="1"/>
  <c r="I81" i="2"/>
  <c r="H39" i="2"/>
  <c r="F26" i="2"/>
  <c r="F122" i="2"/>
  <c r="F120" i="2" s="1"/>
  <c r="I120" i="2"/>
  <c r="H120" i="2"/>
  <c r="G120" i="2"/>
  <c r="F119" i="2"/>
  <c r="G118" i="2"/>
  <c r="F117" i="2"/>
  <c r="G116" i="2"/>
  <c r="G113" i="2"/>
  <c r="F111" i="2"/>
  <c r="F110" i="2"/>
  <c r="F109" i="2"/>
  <c r="F108" i="2"/>
  <c r="F107" i="2"/>
  <c r="F106" i="2"/>
  <c r="F105" i="2"/>
  <c r="F104" i="2"/>
  <c r="F103" i="2"/>
  <c r="F102" i="2"/>
  <c r="G101" i="2"/>
  <c r="G98" i="2" s="1"/>
  <c r="G96" i="2" s="1"/>
  <c r="F95" i="2"/>
  <c r="F94" i="2"/>
  <c r="F93" i="2"/>
  <c r="F92" i="2"/>
  <c r="F91" i="2"/>
  <c r="F90" i="2"/>
  <c r="F89" i="2"/>
  <c r="F88" i="2"/>
  <c r="F87" i="2"/>
  <c r="F86" i="2"/>
  <c r="F85" i="2"/>
  <c r="F83" i="2"/>
  <c r="F82" i="2"/>
  <c r="F80" i="2"/>
  <c r="F77" i="2"/>
  <c r="F76" i="2"/>
  <c r="F74" i="2"/>
  <c r="F72" i="2"/>
  <c r="F71" i="2" s="1"/>
  <c r="G71" i="2"/>
  <c r="G70" i="2" s="1"/>
  <c r="G69" i="2" s="1"/>
  <c r="F68" i="2"/>
  <c r="F67" i="2"/>
  <c r="F65" i="2"/>
  <c r="F64" i="2"/>
  <c r="F63" i="2"/>
  <c r="F62" i="2"/>
  <c r="F61" i="2"/>
  <c r="F60" i="2"/>
  <c r="F59" i="2"/>
  <c r="F58" i="2"/>
  <c r="F57" i="2"/>
  <c r="F56" i="2"/>
  <c r="F55" i="2"/>
  <c r="F54" i="2" s="1"/>
  <c r="I54" i="2"/>
  <c r="I52" i="2" s="1"/>
  <c r="G54" i="2"/>
  <c r="G52" i="2" s="1"/>
  <c r="I50" i="2"/>
  <c r="H50" i="2"/>
  <c r="G50" i="2"/>
  <c r="F47" i="2"/>
  <c r="F46" i="2" s="1"/>
  <c r="H46" i="2"/>
  <c r="G46" i="2"/>
  <c r="H44" i="2"/>
  <c r="F45" i="2"/>
  <c r="F44" i="2" s="1"/>
  <c r="I44" i="2"/>
  <c r="G44" i="2"/>
  <c r="F41" i="2"/>
  <c r="F39" i="2" s="1"/>
  <c r="I39" i="2"/>
  <c r="G39" i="2"/>
  <c r="F38" i="2"/>
  <c r="F37" i="2"/>
  <c r="I36" i="2"/>
  <c r="H36" i="2"/>
  <c r="G36" i="2"/>
  <c r="I34" i="2"/>
  <c r="F35" i="2"/>
  <c r="F34" i="2" s="1"/>
  <c r="H34" i="2"/>
  <c r="G34" i="2"/>
  <c r="H32" i="2"/>
  <c r="F33" i="2"/>
  <c r="F32" i="2" s="1"/>
  <c r="I32" i="2"/>
  <c r="G32" i="2"/>
  <c r="F29" i="2"/>
  <c r="F28" i="2" s="1"/>
  <c r="F27" i="2"/>
  <c r="F25" i="2"/>
  <c r="F24" i="2"/>
  <c r="F23" i="2"/>
  <c r="F22" i="2"/>
  <c r="G20" i="2"/>
  <c r="F116" i="2" l="1"/>
  <c r="F112" i="2"/>
  <c r="I69" i="2"/>
  <c r="F81" i="2"/>
  <c r="J69" i="2"/>
  <c r="I98" i="2"/>
  <c r="I96" i="2" s="1"/>
  <c r="H98" i="2"/>
  <c r="H96" i="2" s="1"/>
  <c r="F20" i="2"/>
  <c r="F52" i="2"/>
  <c r="F118" i="2"/>
  <c r="H42" i="2"/>
  <c r="G42" i="2"/>
  <c r="G18" i="2"/>
  <c r="F101" i="2"/>
  <c r="F98" i="2" s="1"/>
  <c r="F36" i="2"/>
  <c r="F51" i="2"/>
  <c r="F50" i="2" s="1"/>
  <c r="F42" i="2" s="1"/>
  <c r="H20" i="2"/>
  <c r="H18" i="2" s="1"/>
  <c r="I20" i="2"/>
  <c r="I18" i="2" s="1"/>
  <c r="I46" i="2"/>
  <c r="I42" i="2" s="1"/>
  <c r="H54" i="2"/>
  <c r="H52" i="2" s="1"/>
  <c r="F96" i="2" l="1"/>
  <c r="F18" i="2"/>
  <c r="H17" i="2"/>
  <c r="I17" i="2"/>
  <c r="I15" i="2" s="1"/>
  <c r="G17" i="2"/>
  <c r="G15" i="2" s="1"/>
  <c r="H15" i="2" l="1"/>
  <c r="H13" i="2" s="1"/>
  <c r="F17" i="2"/>
  <c r="I13" i="2"/>
  <c r="F73" i="2"/>
  <c r="F70" i="2" s="1"/>
  <c r="F69" i="2" s="1"/>
  <c r="H12" i="2" l="1"/>
  <c r="F13" i="2"/>
  <c r="F15" i="2"/>
  <c r="I12" i="2"/>
  <c r="G12" i="2" l="1"/>
  <c r="J12" i="2" l="1"/>
  <c r="F12" i="2" s="1"/>
</calcChain>
</file>

<file path=xl/sharedStrings.xml><?xml version="1.0" encoding="utf-8"?>
<sst xmlns="http://schemas.openxmlformats.org/spreadsheetml/2006/main" count="1035" uniqueCount="450">
  <si>
    <t>Հավելված N 3</t>
  </si>
  <si>
    <t xml:space="preserve">                     ----------------- N ----------------- որոշման</t>
  </si>
  <si>
    <t xml:space="preserve">Բա-
ժինը
</t>
  </si>
  <si>
    <t xml:space="preserve">Խում-
բը
</t>
  </si>
  <si>
    <t>Դասը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</si>
  <si>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</si>
  <si>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նշված են դրական նշանով, իսկ նվազեցումները` փակագծերում)</t>
  </si>
  <si>
    <t>Տարի</t>
  </si>
  <si>
    <t>այդ թվում՝</t>
  </si>
  <si>
    <t>ՀՀ ՏՐԱՆՍՊՈՐՏԻ, ԿԱՊԻ ԵՎ ՏԵՂԵԿԱՏՎԱԿԱՆ ՏԵԽՆՈԼՈԳԻԱՆԵՐԻ ՆԱԽԱՐԱՐՈՒԹՅՈՒՆ</t>
  </si>
  <si>
    <t>04</t>
  </si>
  <si>
    <t>05</t>
  </si>
  <si>
    <t>01</t>
  </si>
  <si>
    <t>ՀՀ կառավարության 2018 թվականի</t>
  </si>
  <si>
    <t xml:space="preserve">ՀԱՅԱՍՏԱՆԻ ՀԱՆՐԱՊԵՏՈՒԹՅԱՆ ԿԱՌԱՎԱՐՈՒԹՅԱՆ 2017 ԹՎԱԿԱՆԻ ԴԵԿՏԵՄԲԵՐԻ 28-Ի
 N 1717 -Ն ՈՐՈՇՄԱՆ N 5 ՀԱՎԵԼՎԱԾԻ N 12 ԱՂՅՈՒՍԱԿՈՒՄ ԿԱՏԱՐՎՈՂ ՓՈՓՈԽՈՒԹՅՈՒՆՆԵՐԸ 
</t>
  </si>
  <si>
    <t>Առաջին եռամսյակ</t>
  </si>
  <si>
    <t>Առաջին կիսամյակ</t>
  </si>
  <si>
    <t>Ինն ամիս</t>
  </si>
  <si>
    <t xml:space="preserve">Մ-2, Երևան-Երասխ-Գորիս-Մեղրի-Իրանի սահման </t>
  </si>
  <si>
    <t>կմ139+350-139+450 վթարված հենապատի վերականգնում</t>
  </si>
  <si>
    <t>կմ180+938-կմ181+381 հիմնանորոգում (ՀՀ Սյունիքի մարզի Ծղուկ համայնքի տարածք)</t>
  </si>
  <si>
    <t>կմ279+727-կմ282+727 հատվածի հիմնանորոգում</t>
  </si>
  <si>
    <t>կմ291+940-կմ294+000 հատվածի հիմնանորոգում</t>
  </si>
  <si>
    <t>353-րդ կիլոմետրում սողանքային հատվածի վերականգնում</t>
  </si>
  <si>
    <t xml:space="preserve">կմ376+200-կմ376+280 հատվածի կողնակի և շեպի նստվածքի վերականգնում </t>
  </si>
  <si>
    <t>Մ-4, Երևան-Սևան-Իջևան-Ադրբեջանի սահման</t>
  </si>
  <si>
    <t>Մ-5, Երևան-Արմավիր-Թուրքիայի սահման</t>
  </si>
  <si>
    <t>Պտղունք համայնքի վարչական տարածքում 200 մ երկարությամբ հատվածի ջրահեռացման բարելավում</t>
  </si>
  <si>
    <t>Մ-7, Մ-3-Սպիտակ-Գյումրի-Թուրքիայի սահման</t>
  </si>
  <si>
    <t>Նալբանդի թունելի մուտքի ջրահեռացում</t>
  </si>
  <si>
    <t>Մ-11, Մարտունի-Վարդենիս-ԼՂՀ սահման</t>
  </si>
  <si>
    <t>կմ0+000-կմ44+000 առանձին հատվածների հիմնանորոգում</t>
  </si>
  <si>
    <t xml:space="preserve">Հ-4, Երևան-Եղվարդ-Արագյուղ-Հարթավան-Մ-3 </t>
  </si>
  <si>
    <t>կմ28+000-կմ33+100 հատվածի հիմնանորոգում</t>
  </si>
  <si>
    <t>Հ-13, Վաղարշապատ-Մասիս-Մ-2</t>
  </si>
  <si>
    <t>կմ16+000-կմ18+000 2 կմ երկարությամբ հատվածի ասֆալտապատում</t>
  </si>
  <si>
    <t>Հ-55, Հրազդանի տրանսպորտային հանգույց-Ծաղկաձորի մարզահամալիր</t>
  </si>
  <si>
    <t>կմ10+300 սողանքային հատվածի վերականգնում</t>
  </si>
  <si>
    <t>Տ-1-21, Մ-3-Քուչակ-Եղիպատրուշ</t>
  </si>
  <si>
    <t>Քուչակ գյուղի տարածքում 850 մ երկարությամբ հատվածի ասֆալտապատում</t>
  </si>
  <si>
    <t>ՀՀ Գեղարքունիքի մարզի Ծովագյուղ համայնքի 300 մ երկարությամբ հատվածի ասֆալտապատում</t>
  </si>
  <si>
    <t>ՀՀ Գեղարքունիքի մարզի Սեմյոնովկա համայնքում վթարված հենապատի վերականգնում</t>
  </si>
  <si>
    <t>Ա/ճ Տ-1-31, Մ-1-Շամիրամ հիմնանորոգում</t>
  </si>
  <si>
    <t xml:space="preserve">ՀՀ Լոռու մարզի Ստեփանավան քաղաքի Սոս Սարգսյան-Միլիոնի փողոցի հիմնանորոգում </t>
  </si>
  <si>
    <t>ՀՀ Լոռու մարզի Ստեփանավան քաղաքի Գ.Նժդեհի  փողոցի հիմնանորոգում</t>
  </si>
  <si>
    <t xml:space="preserve">ՀՀ Լոռու մարզի Ալավերդի քաղաքի Հ.Թումանյանի  փողոցի հիմնանորոգում </t>
  </si>
  <si>
    <t>ՀՀ Գեղարքունիքի մարզի Այրիվանք եկեղեցի տանող ճանապարհի հիմնանորոգում</t>
  </si>
  <si>
    <t>Ա/ճ Տ-1-23, Հ-21-Բերքառատ հիմնանորոգում</t>
  </si>
  <si>
    <t>Մ-3, Մարգարա-Վանաձոր-Տաշիր-Վրաստանի սահման</t>
  </si>
  <si>
    <t>Կմ85+500 հատվածում կամուրջի վերանորոգում</t>
  </si>
  <si>
    <t>Կմ86+700 հատվածում կամուրջի վերանորոգում</t>
  </si>
  <si>
    <t>ՀՀ Գեղարքունիքի մարզի Գանձակ-Ծաղկաշեն համայնքները իրար միացնող վթարված կամուրջի հիմնանորոգում</t>
  </si>
  <si>
    <t>ՀՀ Գեղարքունիքի մարզի Կարճաղբյուր համայնքի վթարված կամուրջի հիմնանորոգում</t>
  </si>
  <si>
    <t>ՀՀ Սյունիքի մարզի Վերիշեն համայնքի վթարված կամուրջի վերականգնում</t>
  </si>
  <si>
    <t>ՀՀ Վայոց Ձորի մարզի Եղեգնաձոր-Ագարակաձոր ավտոճանապարհին առկա կամուրջի վերականգնում</t>
  </si>
  <si>
    <t>ՀՀ Վայոց Ձորի մարզի Ագարակաձոր և Գնիշիկ համայնքները իրար կապող ավտոճանապարհին առկա կամուրջի վերականգնում</t>
  </si>
  <si>
    <t>&lt;&lt;Արաքսավան&gt;&gt; սահմանապահ ուղեկալ տանող կամուրջի հիմնանորոգում</t>
  </si>
  <si>
    <t>Ծրագիր</t>
  </si>
  <si>
    <t>ՀՀ ԿԱՌԱՎԱՐՈՒԹՅՈՒՆ</t>
  </si>
  <si>
    <t>Պետական նշանակության ավտոճանապարհների հիմնանորոգում</t>
  </si>
  <si>
    <t>03</t>
  </si>
  <si>
    <t>Հավելված N2</t>
  </si>
  <si>
    <t>---------------- N---------------որոշման</t>
  </si>
  <si>
    <t xml:space="preserve">«ՀԱՅԱՍՏԱՆԻ ՀԱՆՐԱՊԵՏՈՒԹՅԱՆ 2017 ԹՎԱԿԱՆԻ ՊԵՏԱԿԱՆ ԲՅՈՒՋԵԻ ՄԱՍԻՆ» ՀԱՅԱՍՏԱՆԻ 
ՀԱՆՐԱՊԵՏՈՒԹՅԱՆ ՕՐԵՆՔԻ N 1 ՀԱՎԵԼՎԱԾԻ N 13 ԱՂՅՈՒՍԱԿՈՒՄ ԿԱՏԱՐՎՈՂ ՎԵՐԱԲԱՇԽՈՒՄԸ
</t>
  </si>
  <si>
    <t>(հազար դրամ)</t>
  </si>
  <si>
    <t>Հ-28, Ջրառատ-Մեղրաձոր-Հանքավան</t>
  </si>
  <si>
    <t>Բյուջետային
ծախսերի
գործառական
դասակարգման</t>
  </si>
  <si>
    <t>Ծրագրի N</t>
  </si>
  <si>
    <t>ԾՐԱԳՐԵՐԻ ԵՎ ԿԱՏԱՐՈՂՆԵՐԻ
ԱՆՎԱՆՈՒՄՆԵՐԸ</t>
  </si>
  <si>
    <t>բաժին</t>
  </si>
  <si>
    <t>խումբ</t>
  </si>
  <si>
    <t>դաս</t>
  </si>
  <si>
    <t xml:space="preserve">ԸՆԴԱՄԵՆԸ </t>
  </si>
  <si>
    <t xml:space="preserve">այդ թվում՝                                                                                                      </t>
  </si>
  <si>
    <t>կմ24+200-կմ72+000 19.8 կմ հատվածի հիմնանորոգում</t>
  </si>
  <si>
    <t>25-րդ կիլոմետրում սողանքային հատվածի վերականգնում</t>
  </si>
  <si>
    <t>Մ-16, Մ-4-Ոսկեպար-Նոյեմբերյան-Մ-6</t>
  </si>
  <si>
    <t>կմ0+000-կմ2+000 հատվածի հիմնանորոգում</t>
  </si>
  <si>
    <t xml:space="preserve">ՀՀ Տավուշի մարզի Ներքին կարմիր աղբյուր համայնքի դպրոց տանող ճանապարհի հիմնանորոգում </t>
  </si>
  <si>
    <t>ՀՀ Վայոց Ձորի մարզի Գնդևազ համայնքի գյուղապետարան տանող 1.0 կմ երկարությամբ հատվածի հիմնանորոգում</t>
  </si>
  <si>
    <t>Տրանսպորտային օբյեկտների հիմնանորոգում,</t>
  </si>
  <si>
    <t>352-րդ կիլոմետրում վթարված կամուրջի վերականգնում</t>
  </si>
  <si>
    <t>Տ-8-81, Մ-12-Խնածախ-Վաղատուր-Տ-8-13 կմ2+800 հատվածի երկաթբետոնյա խողովակի վերականգնում (ՀՀ Սյունիքի մարզ, Գորիս)</t>
  </si>
  <si>
    <t xml:space="preserve"> ՀՀ կառավարության 2018 թվականի</t>
  </si>
  <si>
    <t>Շենքերի և շինությունների կապիտալ վերանորոգում</t>
  </si>
  <si>
    <t>Նախագծահետազոտական ծախսեր</t>
  </si>
  <si>
    <t>Հավելված N 5</t>
  </si>
  <si>
    <t>Ընդամենը ոչ
ֆինանսական
ակտիվների
գծով ծախսեր,</t>
  </si>
  <si>
    <t>Շենքերի և
շինությունների
շինարարություն</t>
  </si>
  <si>
    <t>Շենքերի և
շինությունների
կապիտալ
վերանորոգում</t>
  </si>
  <si>
    <t>Նախագծահե-
տազոտական,
գեոդեզիա-
քարտեզագրա-
կան աշխա-
տանքներ</t>
  </si>
  <si>
    <t>Միջպետական նշանակության ավտոճանապարհներ, այդ թվում</t>
  </si>
  <si>
    <t xml:space="preserve">352-րդ կիլոմետրում վթարային կամուրջի շրջանցիկ ճանապարհի կառուցում </t>
  </si>
  <si>
    <t>կմ41+200-կմ57+069 (ձախակողմյան) հատվածի հիմնանորոգում</t>
  </si>
  <si>
    <t xml:space="preserve">Ոսկեպար գյուղի սկզբից մինչև Բաղանիս գյուղ նոր շրջանցիկ ճանապարհի կառուցման աշխատանքների նախագծերի պատրաստում, ծախսերի գնահատում </t>
  </si>
  <si>
    <t>Հանրապետական նշանակության ավտոճանապարհներ, այդ թվում</t>
  </si>
  <si>
    <t>Մարզային նշանակության ավտոճանապարհներ, այդ թվում</t>
  </si>
  <si>
    <t>ՀՀ Վայոց Ձորի մարզի Գնդևազ համայնքի ընդհանուրը 1կմ երկարությամբ փողոցների ասֆալտապատում</t>
  </si>
  <si>
    <t>ՀՀ Տավուշի մարզի Ներքին կարմիր աղբյուր համայնքի դպրոց տանող ճանապարհի հիմնանորոգում</t>
  </si>
  <si>
    <t>ՀՀ Գեղարքունիքի մարզի Լանջաղբյուր համայնքի 1,3 կմ երկարությամբ ճանապարհի ասֆալտապատում</t>
  </si>
  <si>
    <t>ՀՀ Գեղարքունիքի մարզի Կարճաղբյուր համայնքի փողոցների հիմնանորոգում</t>
  </si>
  <si>
    <t>Ա/ճ Տ-5-25, Մ3-Լեռնապատ հիմնանորոգում</t>
  </si>
  <si>
    <t>կմ41+900-կմ57+069 հատվածում 15,0 կմ մետաղական արգելափակոցների տեղադրում (սիզամարգում)</t>
  </si>
  <si>
    <t>32-րդ կիլոմետրում նստվածքային տեղամասի վերականգնում</t>
  </si>
  <si>
    <t>ՀՀ Գեղարքունիքի մարզի Վահան գյուղի վթարված կամրջի վերանորոգում</t>
  </si>
  <si>
    <t xml:space="preserve">Մետաղական արգելափակոցների տեղադրում 15 կմ երկարությամբ </t>
  </si>
  <si>
    <t>Մ-6-Վանաձոր-Դիլիջան</t>
  </si>
  <si>
    <t xml:space="preserve">հատված կմ0+000-կմ37+000 </t>
  </si>
  <si>
    <t xml:space="preserve">Մ-14, Մ-4-Շորժա-Վարդենիս </t>
  </si>
  <si>
    <t>կմ32+888-կմ33+628 և կմ52+970-կմ53+350 փլուզված հատվածներում գաբիոնային հենապատեր</t>
  </si>
  <si>
    <t>Հ-3, Երևան-Գառնի-Գեղարդ ավտոճանապարհի 35-րդ կմ հատվածում հարկադիր քարաթափում</t>
  </si>
  <si>
    <t>ՀՀ Արմավիրի մարզի Արտաշար-Զարթոնք-Եղեգնուտ ավտոճանապարհի 11,1 կմ երկարությամբ հատված</t>
  </si>
  <si>
    <t>ՀՀ Արմավիրի մարզի Փշատավան-Արգավանդ ավտոճանապարհի 3,0 կմ երկարությամբ հատված</t>
  </si>
  <si>
    <t>ՀՀ Տավուշի մարզի Այգեպար համայնքի 2,0 կմ երկարությամբ հատված</t>
  </si>
  <si>
    <t>ՀՀ Տավուշի մարզի Նեքին Կարմիր Աղբյուր համայնքի 5,7 կմ երկարությամբ հատված</t>
  </si>
  <si>
    <t>ՀՀ Տավուշի մարզի Բերդավան համայնքի ներհանայնքային երկու փողոցների 2,1 կմ երկարությամբ հատվածներ</t>
  </si>
  <si>
    <t>ՀՀ Տավուշի մարզի Մ16-Բերքաբեր ճանապարհի 4,0 կմ երկարությամբ հատված</t>
  </si>
  <si>
    <t>ՀՀ Տավուշի մարզի Վերին Կարմիր Աղբյուր համայնքի 1,65 կմ երկարությամբ հատված</t>
  </si>
  <si>
    <t>ՀՀ Գեղարքունիքի մարզի Նորատուս համայնքի 1,0 կմ երկարությամբ հատված</t>
  </si>
  <si>
    <t>ՀՀ Գեղարքունիքի մարզի Գանձակ համայնքի 2,0 կմ երկարությամբ հատված</t>
  </si>
  <si>
    <t>ՀՀ Գեղարքունիքի մարզի Ծովազարդ համայնքի 2,5 կմ երկարությամբ հատված</t>
  </si>
  <si>
    <t>ՀՀ Սյունիքի մարզի Խոտ համայնքի 2,2 կմ երկարությամբ հատված</t>
  </si>
  <si>
    <t>ՀՀ Վայոց Ձորի մարզ. Մոտեցումներ դեպի Ցախացքար վանական համալիրին և Սմբատաբերդին</t>
  </si>
  <si>
    <t>ՀՀ Կոտայքի մարզի Կամարիս համայնքի 2,0 կմ երկարությամբ հատված</t>
  </si>
  <si>
    <t>Հ-6,  Հ-2-Եղվարդի տր. հանգույց-Մ-1</t>
  </si>
  <si>
    <t>Եղվարդի տր. Հանգույց</t>
  </si>
  <si>
    <t xml:space="preserve">Հ-40, Մ2-Արենի-Խաչիկ-Գնիշիկ-Եղեգնաձոր </t>
  </si>
  <si>
    <t>Արենի համայնքի վթարված կամուրջ</t>
  </si>
  <si>
    <t>Հ-69, Հ-21-Հառիճ</t>
  </si>
  <si>
    <t>1-ին կմ-ում վթարված խողովակ</t>
  </si>
  <si>
    <t>ՀՀ միջպետական նշանակության, այդ թվում (Մ3,Մարգարա-Վանաձոր-Վրաստանի սահման, հատված կմ0+17.9, կմ21,5-կմ35,5 և կմ39,5– կմ183+700, Մ-7՝ Մ3-Սպիտակ-Գյումրի Թուրքիայի սահման, հատվածներ կմ0+000– կմ42+800, Մ-10՝ Սևան-Մարտունի-Գետափ, հատված կմ0+000–կմ125+100, Մ-11՝ Մարտունի-Վարդենիս-ԱՀ սահման, հատված կմ0+000–կմ 56+200 և Մ-12՝ Գորիս-ԱՀ սահման, հատված կմ0+000–կմ28+500,) ավտոճանապարհներին ճանապարհային նշանների տարաբաշխման գծապատկերների պատվիրում:</t>
  </si>
  <si>
    <t>Միջպետական նշանակության ավտոճանապարհներ,</t>
  </si>
  <si>
    <t>1. Ճանապարհների հիմնանորոգում, այդ թվում</t>
  </si>
  <si>
    <t>1. Կամուրջների հիմնանորոգում, այդ թվում՝</t>
  </si>
  <si>
    <t>Ոչ
ֆինանսական
ակտիվների
գծով այլ
ծախսեր</t>
  </si>
  <si>
    <t>Հանրապետական նշանակության ավտոճանապարհներ,</t>
  </si>
  <si>
    <t>Մարզային նշանակության ավտոճանապարհներ,</t>
  </si>
  <si>
    <t>Հավելված N 1</t>
  </si>
  <si>
    <t>Բա-ժինը</t>
  </si>
  <si>
    <t>Խումբը</t>
  </si>
  <si>
    <t>Բյուջետային ծախսերի գործառնական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</si>
  <si>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</t>
  </si>
  <si>
    <t>ՏՆՏԵՍԱԿԱՆ ՀԱՐԱԲԵՐՈՒԹՅՈՒՆՆԵՐ</t>
  </si>
  <si>
    <t>Տրանսպորտ</t>
  </si>
  <si>
    <t>Ճանապարհային տրանսպորտ</t>
  </si>
  <si>
    <t xml:space="preserve">01.Պետական նշանակության ավտոճանապարհների հիմնանորոգում </t>
  </si>
  <si>
    <r>
      <rPr>
        <b/>
        <sz val="11"/>
        <rFont val="GHEA Grapalat"/>
        <family val="3"/>
      </rPr>
      <t>այդ թվում՝</t>
    </r>
  </si>
  <si>
    <t>ՀՀ տրանսպորտի, կապի և տեղեկատվական տեխնոլոգիաների նախարարություն</t>
  </si>
  <si>
    <t xml:space="preserve">03.Տրանսպորտային օբյեկտների հիմնանորոգում </t>
  </si>
  <si>
    <t>ՀՀ կառավարություն</t>
  </si>
  <si>
    <t xml:space="preserve">                   -ի N        -Ն որոշման</t>
  </si>
  <si>
    <t>Չափորոշիչներ</t>
  </si>
  <si>
    <t>Ոչ ֆինանսական ցուցանիշներ</t>
  </si>
  <si>
    <t>Ծրագրային դասիչը</t>
  </si>
  <si>
    <t>Անվանումը</t>
  </si>
  <si>
    <t>Նկարագրություն՝</t>
  </si>
  <si>
    <t>Քանակական</t>
  </si>
  <si>
    <t>Մշակված չէ</t>
  </si>
  <si>
    <t>-</t>
  </si>
  <si>
    <t>Որակական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</si>
  <si>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</si>
  <si>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</si>
  <si>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</si>
  <si>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Ծրագիրը (ծրագրերը), որի (որոնց) շրջանակներում իրականացվում է քաղաքականության միջոցառումը</t>
  </si>
  <si>
    <t>Կամուրջներ</t>
  </si>
  <si>
    <t>1049. Ճանապարհային ցանցի բարելավման և անվտանգ երթևեկության ապահովման ծառայություններ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</si>
  <si>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        </t>
  </si>
  <si>
    <t>Անվանումը՝</t>
  </si>
  <si>
    <t>Նկարագրությունը՝</t>
  </si>
  <si>
    <t>1.6. Հանրության կողմից օգտագործվող ոչ ֆինանսական ակտիվներ</t>
  </si>
  <si>
    <t>ԱՁ01</t>
  </si>
  <si>
    <t>Միջպետական և տեղական նշանակության ավտոճանապարհների քայքայված ծածկի վերանորոգում, մաշված ծածկի փոխարինում</t>
  </si>
  <si>
    <t>Հիմնանորոգվող ավտոճանապարհների երկարությունը /կիլոմետր/</t>
  </si>
  <si>
    <t>Միջպետական նշանակության</t>
  </si>
  <si>
    <t>Հանրապետական նշանակության</t>
  </si>
  <si>
    <t>Մարզային նշանակության ավտոճանապարհներ</t>
  </si>
  <si>
    <t>Համայնքների տրանսպորտային կապի ցուցանիշ: Հիմնական ճանապարհային ցանցի կամ մարզկենտրոնների հետ առնվազն մեկ բավարար կամ ավելի լավ վիճակում գտնվող ճանապարհներ ունեցող բնակավայրերի մասնաբաժինը բնակավայրերի ընդհանուր թվում, %</t>
  </si>
  <si>
    <t>Անհարթության IRI գործակցի միջին թվաբանականը (ա) Միջպետական ճանապարհներ, մ/կմ</t>
  </si>
  <si>
    <t>Անհարթության IRI գործակցի միջին թվաբանականը (բ) Հանրապետական ճանապարհներ, մ/կմ</t>
  </si>
  <si>
    <t>Բավարար վիճակում ճանապարհների և հատվածների երկարության հարաբերությունը այդ կարգի ճանապարհների ողջ երկարությանը, %</t>
  </si>
  <si>
    <t>Տվյալ տարվա պետական  բյուջեից ակտիվի ձեռքբերման,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</si>
  <si>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</si>
  <si>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</si>
  <si>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Տրանսպորտային օբյեկտների հիմնանորոգում</t>
  </si>
  <si>
    <t>ԱՁ02</t>
  </si>
  <si>
    <t xml:space="preserve">Ավտոմոբիլային ճանապարհների վրա գտնվող կամուրջների հիմնանորոգում </t>
  </si>
  <si>
    <t>Հիմնանորոգվող տրանսպորտային օբյեկտների թիվը, այդ թվում՝</t>
  </si>
  <si>
    <t>Կամուրջներ (մ)</t>
  </si>
  <si>
    <t>Տվյալ տարվա պետական բյուջեից ակտիվի ձեռքբերման, կառուցման կամ հիմնանորոգման վրա կատարվող ծախսերը (հազար դրամ)</t>
  </si>
  <si>
    <t>Ակտիվի ընդհանուր արժեքը (հազ. դրամ)</t>
  </si>
  <si>
    <t>Տվյալ բյուջետային տարվան նախորդող բյուջետային տարիների ընթացքում ակտիվի վրա կատարված ծախսերը (հազ. դրամ)</t>
  </si>
  <si>
    <t>Հավելված N 6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</si>
  <si>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</si>
  <si>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</si>
  <si>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
դասիչը</t>
  </si>
  <si>
    <t>Ծրագիրը/քաղաքականության միջոցառումը</t>
  </si>
  <si>
    <t>ծրա-
գիրը</t>
  </si>
  <si>
    <t>միջոցա-
ռումը</t>
  </si>
  <si>
    <t>(բաժին/
խումբ/
դաս)</t>
  </si>
  <si>
    <t>ԾՐԱԳԻՐ</t>
  </si>
  <si>
    <t>Ծրագրի նկարագրությունը</t>
  </si>
  <si>
    <t>Ակտիվի նկարագրությունը</t>
  </si>
  <si>
    <t>Ծրագիրը (ծրագրերը), որին (որոնց) առնչվում է ակտիվը</t>
  </si>
  <si>
    <t xml:space="preserve"> Ճանապարհային ցանցի բարելավման և անվտանգ երթևկության ապահովման ծառայություններ</t>
  </si>
  <si>
    <t>ՀՀ պետական նշանակության ավտոմոբիլային ճանապարհների կառուցում, հիմնանորոգում և պահպանություն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</si>
  <si>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</t>
  </si>
  <si>
    <t>Ոչ ֆինանսական ակտիվների գծով միջոցառումներ</t>
  </si>
  <si>
    <t>Միջպետական և տեղական նշանակության ավտոճանապարհների քայքայված ծածակի վերանորոգում, մաշված ծածկի փոխարինում</t>
  </si>
  <si>
    <t>1049. Ճանապարհային ցանցի բարելավման և անվտանգ երթևկության ապահովման ծառայություններ</t>
  </si>
  <si>
    <t>Ավտոմոբիլային ճանապարհների վրա գտնվող կամուրջների հիմնանորոգում</t>
  </si>
  <si>
    <t xml:space="preserve">               ----------------- N ----------------- որոշման</t>
  </si>
  <si>
    <t>դրամ</t>
  </si>
  <si>
    <t>Քանակը</t>
  </si>
  <si>
    <t>ԲՄ</t>
  </si>
  <si>
    <t>45221117/1</t>
  </si>
  <si>
    <t>«ՀԱՅԱՍՏԱՆԻ ՀԱՆՐԱՊԵՏՈՒԹՅԱՆ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 ՓՈՓՈԽՈՒԹՅՈՒՆՆԵՐԸ</t>
  </si>
  <si>
    <t>Նախագծանախահաշվային փաստաթղթեր</t>
  </si>
  <si>
    <t>ՀԱՅԱՍՏԱՆԻ ՀԱՆՐԱՊԵՏՈՒԹՅԱՆ ԿԱՌԱՎԱՐՈՒԹՅԱՆ 2017 ԹՎԱԿԱՆԻ ԴԵԿՏԵՄԲԵՐԻ 28-Ի N 1717-Ն  ՈՐՈՇՄԱՆ N 11 ՀԱՎԵԼՎԱԾԻ N 11.20 ԱՂՅՈՒՍԱԿՈՒՄ ԿԱՏԱՐՎՈՂ ՓՈՓՈԽՈՒԹՅՈՒՆՆԵՐԸ ԵՎ ԼՐԱՑՈՒՄՆԵՐԸ</t>
  </si>
  <si>
    <t xml:space="preserve">ՀԱՅԱՍՏԱՆԻ ՀԱՆՐԱՊԵՏՈՒԹՅԱՆ ԿԱՌԱՎԱՐՈՒԹՅԱՆ 2017 ԹՎԱԿԱՆԻ ԴԵԿՏԵՄԲԵՐԻ 28-Ի N 1717-Ն  ՈՐՈՇՄԱՆ N 11 ՀԱՎԵԼՎԱԾԻ N 12 ԱՂՅՈՒՍԱԿՈՒՄ ԿԱՏԱՐՎՈՂ ՓՈՓՈԽՈՒԹՅՈՒՆՆԵՐԸ ԵՎ ԼՐԱՑՈՒՄՆԵՐԸ
Հայաստանի Հանրապետության տրանսպորտի, կապի և տեղեկատվական տեխնոլոգիաների նախարարություն </t>
  </si>
  <si>
    <t>ՀՀ 2018թվականի
պետական բյուջե
(հազ. դրամ)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</si>
  <si>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</si>
  <si>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</si>
  <si>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</si>
  <si>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</si>
  <si>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Պետական քաղաքականության մշակման, ծրագրերի համակարգման և մոնիտորինգի ծրագիր</t>
  </si>
  <si>
    <t>Քաղաքականության մշակման և դրա կատարման համակարգման, պետական ծրագրերի պլանավորման, մշակման, իրականացման և մոնիտորինգի (վերահսկման) ծառայություններ</t>
  </si>
  <si>
    <t>Ծրագիրը նպաստում է ՀՀ նախարարությունների կողմից իրականացվող ծրագրերի գծով նախատեսված արդյունքների ապահովմանը</t>
  </si>
  <si>
    <t>ՀՀ տրանսպորտի, կապի և տեղեկատվական տեխնոլոգիաների  նախարարություն</t>
  </si>
  <si>
    <t>Ժամկետայնություն</t>
  </si>
  <si>
    <t>1001 Պետական քաղաքականության մշակման, ծրագրերի համակարգման և մոնիտորինգի ծրագիր</t>
  </si>
  <si>
    <t>Նպաստել ՀՀ տրանսպորտի, կապի և տեղեկատվական տեխնոլոգիաների նախարարության այլ ծրագրերով նախատեսված արդյունքների ապահովմանը</t>
  </si>
  <si>
    <t xml:space="preserve">ՀՀ տրանսպորտի, կապի և տեղեկատվական տեխնոլոգիաների նախարարություն </t>
  </si>
  <si>
    <t>ՀԱՅԱՍՏԱՆԻ ՀԱՆՐԱՊԵՏՈՒԹՅԱՆ ԿԱՌԱՎԱՐՈՒԹՅԱՆ 2017 ԹՎԱԿԱՆԻ ԴԵԿՏԵՄԲԵՐԻ 28-Ի N 1717-Ն ՈՐՈՇՄԱՆ N 12 ՀԱՎԵԼՎԱԾՈՒՄ ԿԱՏԱՐՎՈՂ ՓՈՓՈԽՈՒԹՅՈՒՆՆԵՐԸ ԵՎ ԼՐԱՑՈԻՄՆԵՐԸ</t>
  </si>
  <si>
    <t>45231177/1</t>
  </si>
  <si>
    <t>Դրամ</t>
  </si>
  <si>
    <t>45231177/343</t>
  </si>
  <si>
    <t>Մ-2, Երևան-Երասխ-Գորիս-Մեղրի-Իրանի սահման կմ139+350-139+450 վթարված հենապատի վերականգնում</t>
  </si>
  <si>
    <t>45231177/335</t>
  </si>
  <si>
    <t>Մ-2, Երևան-Երասխ-Գորիս-Մեղրի-Իրանի սահման կմ279+727-կմ282+727 հատվածի հիմնանորոգում</t>
  </si>
  <si>
    <t>45231177/330</t>
  </si>
  <si>
    <t>Մ-2, Երևան-Երասխ-Գորիս-Մեղրի-Իրանի սահման կմ291+940-կմ294+000 հատվածի հիմնանորոգում</t>
  </si>
  <si>
    <t>45231177/1051</t>
  </si>
  <si>
    <t xml:space="preserve">Մ-2, Երևան-Երասխ-Գորիս-Մեղրի-Իրանի սահման 352-րդ կիլոմետրում վթարային կամուրջի շրջանցիկ ճանապարհի կառուցում </t>
  </si>
  <si>
    <t>45231177/324</t>
  </si>
  <si>
    <t>Մ-2, Երևան-Երասխ-Գորիս-Մեղրի-Իրանի սահման 353-րդ կիլոմետրում սողանքային հատվածի վերականգնում</t>
  </si>
  <si>
    <t>45231177/325</t>
  </si>
  <si>
    <t xml:space="preserve">Մ-2, Երևան-Երասխ-Գորիս-Մեղրի-Իրանի սահման կմ376+200-կմ376+280 հատվածի կողնակի և շեպի նստվածքի վերականգնում </t>
  </si>
  <si>
    <t>45231177/336</t>
  </si>
  <si>
    <t>Մ-4, Երևան-Սևան-Իջևան-Ադրբեջանի սահման կմ41+200-կմ57+069 (ձախակողմյան) հատվածի հիմնանորոգում</t>
  </si>
  <si>
    <t>45231177/346</t>
  </si>
  <si>
    <t>Մ-4, Երևան-Սևան-Իջևան-Ադրբեջանի սահման կմ41+900-կմ57+069 հատվածում 15,0 կմ մետաղական արգելափակոցների տեղադրում (սիզամարգում)</t>
  </si>
  <si>
    <t>45231177/327</t>
  </si>
  <si>
    <t xml:space="preserve"> Մ-7, Մ-3-Սպիտակ-Գյումրի-Թուրքիայի սահման Նալբանդի թունելի մուտքի ջրահեռացում</t>
  </si>
  <si>
    <t>45231177/328</t>
  </si>
  <si>
    <t xml:space="preserve"> Մ-11, Մարտունի-Վարդենիս-ԼՂՀ սահման32-րդ կիլոմետրում նստվածքային տեղամասի վերականգնում</t>
  </si>
  <si>
    <t>45231177/349</t>
  </si>
  <si>
    <t>Մ-16, Մ-4-Ոսկեպար-Նոյեմբերյան-Մ-6կմ0+000-կմ44+000 առանձին հատվածների հիմնանորոգում</t>
  </si>
  <si>
    <t>45231177/331</t>
  </si>
  <si>
    <t xml:space="preserve"> Հ-13, Վաղարշապատ-Մասիս-Մ-2 կմ16+000-կմ18+000 2 կմ երկարությամբ հատվածի ասֆալտապատում</t>
  </si>
  <si>
    <t>45231177/341</t>
  </si>
  <si>
    <t>Հ-55, Հրազդանի տրանսպորտային հանգույց-Ծաղկաձորի մարզահամալիր կմ10+300 սողանքային հատվածի վերականգնում</t>
  </si>
  <si>
    <t>45231177/326</t>
  </si>
  <si>
    <t>45231177/345</t>
  </si>
  <si>
    <t>45231177/342</t>
  </si>
  <si>
    <t>45231177/332</t>
  </si>
  <si>
    <t>45231177/339</t>
  </si>
  <si>
    <t>45231177/338</t>
  </si>
  <si>
    <t>45231177/337</t>
  </si>
  <si>
    <t>45231177/329</t>
  </si>
  <si>
    <t>45231177/333</t>
  </si>
  <si>
    <t>45231177/1052</t>
  </si>
  <si>
    <t>45231177/347</t>
  </si>
  <si>
    <t>45231177/1053</t>
  </si>
  <si>
    <t>Տեխնիկական հսկողություն</t>
  </si>
  <si>
    <t>71351540/1</t>
  </si>
  <si>
    <t>71351540/1034</t>
  </si>
  <si>
    <t>71351540/1035</t>
  </si>
  <si>
    <t>71351540/1036</t>
  </si>
  <si>
    <t>71351540/1066</t>
  </si>
  <si>
    <t>71351540/1037</t>
  </si>
  <si>
    <t>71351540/1038</t>
  </si>
  <si>
    <t>71351540/1039</t>
  </si>
  <si>
    <t>71351540/1040</t>
  </si>
  <si>
    <t>71351540/1041</t>
  </si>
  <si>
    <t>71351540/1042</t>
  </si>
  <si>
    <t>71351540/1043</t>
  </si>
  <si>
    <t>71351540/1044</t>
  </si>
  <si>
    <t>71351540/1045</t>
  </si>
  <si>
    <t>71351540/1067</t>
  </si>
  <si>
    <t>71351540/1046</t>
  </si>
  <si>
    <t>71351540/1047</t>
  </si>
  <si>
    <t>71351540/1048</t>
  </si>
  <si>
    <t>71351540/1049</t>
  </si>
  <si>
    <t>71351540/1050</t>
  </si>
  <si>
    <t>71351540/1051</t>
  </si>
  <si>
    <t>71351540/1052</t>
  </si>
  <si>
    <t>71351540/1053</t>
  </si>
  <si>
    <t>71351540/1054</t>
  </si>
  <si>
    <t>71351540/1055</t>
  </si>
  <si>
    <t>71351540/1056</t>
  </si>
  <si>
    <t>71351540/1057</t>
  </si>
  <si>
    <t>98111140/1</t>
  </si>
  <si>
    <t>ՄԱ</t>
  </si>
  <si>
    <t>98111140/2</t>
  </si>
  <si>
    <t>98111140/3</t>
  </si>
  <si>
    <t>98111140/4</t>
  </si>
  <si>
    <t>98111140/5</t>
  </si>
  <si>
    <t>98111140/6</t>
  </si>
  <si>
    <t>98111140/7</t>
  </si>
  <si>
    <t>98111140/8</t>
  </si>
  <si>
    <t>98111140/9</t>
  </si>
  <si>
    <t>Մ-4, Երևան-Սևան-Իջևան-Ադրբեջանի սահմանկմ41+200-կմ57+069 (ձախակողմյան) հատվածի հիմնանորոգում</t>
  </si>
  <si>
    <t>98111140/10</t>
  </si>
  <si>
    <t>Մ-4, Երևան-Սևան-Իջևան-Ադրբեջանի սահման կմ41+900-կմ57+069 հատվածում 15,0 կմմետաղական արգելափակոցների տեղադրում (սիզամարգում)</t>
  </si>
  <si>
    <t>98111140/11</t>
  </si>
  <si>
    <t>Մ-5, Երևան-Արմավիր-Թուրքիայի սահմանՊտղունք համայնքի վարչական տարածքում 200 մ երկարությամբ հատվածի ջրահեռացման բարելավում</t>
  </si>
  <si>
    <t>98111140/12</t>
  </si>
  <si>
    <t>Մ-7, Մ-3-Սպիտակ-Գյումրի-Թուրքիայի սահմանՆալբանդի թունելի մուտքի ջրահեռացում</t>
  </si>
  <si>
    <t>98111140/13</t>
  </si>
  <si>
    <t>Մ-11, Մարտունի-Վարդենիս-ԼՂՀ սահման32-րդ կիլոմետրում նստվածքային տեղամասի  վերականգնում</t>
  </si>
  <si>
    <t>98111140/14</t>
  </si>
  <si>
    <t>Մ-16, Մ-4-Ոսկեպար-Նոյեմբերյան-Մ-6 կմ0+000-կմ44+000 առանձին հատվածների հիմնանորոգում</t>
  </si>
  <si>
    <t>98111140/16</t>
  </si>
  <si>
    <t>Հ-13, Վաղարշապատ-Մասիս-Մ-2կմ16+000-կմ18+000 2 կմ երկարությամբ հատվածի ասֆալտապատում</t>
  </si>
  <si>
    <t>98111140/17</t>
  </si>
  <si>
    <t>98111140/19</t>
  </si>
  <si>
    <t>98111140/20</t>
  </si>
  <si>
    <t>98111140/21</t>
  </si>
  <si>
    <t>98111140/22</t>
  </si>
  <si>
    <t>98111140/23</t>
  </si>
  <si>
    <t>98111140/24</t>
  </si>
  <si>
    <t>98111140/25</t>
  </si>
  <si>
    <t>98111140/26</t>
  </si>
  <si>
    <t>98111140/27</t>
  </si>
  <si>
    <t>98111140/28</t>
  </si>
  <si>
    <t>98111140/29</t>
  </si>
  <si>
    <t>98111140/30</t>
  </si>
  <si>
    <t>98111140/31</t>
  </si>
  <si>
    <t>71241200/1</t>
  </si>
  <si>
    <t>Նախագծերի պատրաստում ծախսերի գնահատում</t>
  </si>
  <si>
    <t>71241200/2</t>
  </si>
  <si>
    <t xml:space="preserve">Մ-4, Երևան-Սևան-Իջևան-Ադրբեջանի սահման Մետաղական արգելափակոցների տեղադրում 15 կմ երկարությամբ </t>
  </si>
  <si>
    <t>ԵՄ</t>
  </si>
  <si>
    <t>71241200/3</t>
  </si>
  <si>
    <t xml:space="preserve">Մ-6-Վանաձոր-Դիլիջան հատված կմ0+000-կմ37+000 </t>
  </si>
  <si>
    <t>71241200/4</t>
  </si>
  <si>
    <t>Մ-14, Մ-4-Շորժա-Վարդենիս  կմ32+888-կմ33+628 և կմ52+970-կմ53+350 փլուզված հատվածներում գաբիոնային հենապատեր</t>
  </si>
  <si>
    <t>71241200/5</t>
  </si>
  <si>
    <t>71241200/6</t>
  </si>
  <si>
    <t>71241200/7</t>
  </si>
  <si>
    <t>71241200/8</t>
  </si>
  <si>
    <t>71241200/9</t>
  </si>
  <si>
    <t>71241200/10</t>
  </si>
  <si>
    <t>71241200/11</t>
  </si>
  <si>
    <t>71241200/12</t>
  </si>
  <si>
    <t>71241200/13</t>
  </si>
  <si>
    <t>71241200/14</t>
  </si>
  <si>
    <t>71241200/15</t>
  </si>
  <si>
    <t>71241200/16</t>
  </si>
  <si>
    <t>71241200/17</t>
  </si>
  <si>
    <t>71241200/18</t>
  </si>
  <si>
    <t>45221117/309</t>
  </si>
  <si>
    <t>45221117/324</t>
  </si>
  <si>
    <t>45221117/306</t>
  </si>
  <si>
    <t>45221117/307</t>
  </si>
  <si>
    <t>45221117/326</t>
  </si>
  <si>
    <t>45221117/325</t>
  </si>
  <si>
    <t>45221117/308</t>
  </si>
  <si>
    <t>45221117/327</t>
  </si>
  <si>
    <t>71351540/1058</t>
  </si>
  <si>
    <t>71351540/1060</t>
  </si>
  <si>
    <t>71351540/1062</t>
  </si>
  <si>
    <t>71351540/1061</t>
  </si>
  <si>
    <t>71351540/1065</t>
  </si>
  <si>
    <t>71351540/1064</t>
  </si>
  <si>
    <t>71351540/1059</t>
  </si>
  <si>
    <t>71351540/1063</t>
  </si>
  <si>
    <t>Հ-6,  Հ-2-Եղվարդի տր. հանգույց-Մ-1 Եղվարդի տր. Հանգույց</t>
  </si>
  <si>
    <t>Հ-40, Մ2-Արենի-Խաչիկ-Գնիշիկ-Եղեգնաձոր Արենի համայնքի վթարված կամուրջ</t>
  </si>
  <si>
    <t>Հ-69, Հ-21-Հառիճ 1-ին կմ-ում վթարված խողովակ</t>
  </si>
  <si>
    <t>48321160/1</t>
  </si>
  <si>
    <t>ԳՀ</t>
  </si>
  <si>
    <t>Չափի միավորը</t>
  </si>
  <si>
    <t xml:space="preserve">Միավորի գինը (դրամ) </t>
  </si>
  <si>
    <t>գումարը (հազար դրամ)</t>
  </si>
  <si>
    <t>Ցուցանիշների փոփոխությունը (գումարների ավելացումները նշված են դրական նշանով, իսկ նվազեցումները` փակագծերում)</t>
  </si>
  <si>
    <t>Կոդը</t>
  </si>
  <si>
    <t>Խումբ N 01</t>
  </si>
  <si>
    <t>Բաժին N 04</t>
  </si>
  <si>
    <t>Խումբ N 09</t>
  </si>
  <si>
    <t>Դաս N 01</t>
  </si>
  <si>
    <t xml:space="preserve">Պետական նշանակության ավտոճանապարհների հիմնանորոգում </t>
  </si>
  <si>
    <t xml:space="preserve">Տրանսպորտային օբյեկտների հիմնանորոգում </t>
  </si>
  <si>
    <t>Բաժին N 11</t>
  </si>
  <si>
    <t>Ընդամենը</t>
  </si>
  <si>
    <t>2. 2019 թվականին իրականացվելիք  ճանապարհաշինական աշխատանքների նախագծային աշխատանքներ, այդ թվում`</t>
  </si>
  <si>
    <t>Ֆինանսական ցուցանիշներ</t>
  </si>
  <si>
    <t>ԿՀ15</t>
  </si>
  <si>
    <t>2.1. Կարողությունների զարգացում</t>
  </si>
  <si>
    <t>2.1.1. Ֆիզիկական կապիտալ. կառավարչական հիմնարկի կողմից ուղղակիորեն օգտագործվող ակտիվներ (ակտիվների ձեռքբերում, կառուցում կամ հիմնանորոգում)</t>
  </si>
  <si>
    <t>Ակտիվի անվանումը</t>
  </si>
  <si>
    <t>Տվյալ տարվա ՀՀ պետական բյուջեից ակտիվի ձեռքբերման, կառուցման կամ հիմնանորոգման վրա կատարվող ծախսերը (հազ.դրամ)</t>
  </si>
  <si>
    <t>Ակտիվի ծառայության կանխատեսվող ժամկետը</t>
  </si>
  <si>
    <t>Ակտիվի ընդհանուր արժեքը (հազ.դրամ)</t>
  </si>
  <si>
    <t>Ակտիվն օգտագործող կազմակերպության անվանումը</t>
  </si>
  <si>
    <t>Ազդեցությունը կազմակերպության կարողությունների զարգացման վրա, մասնավորապես՝</t>
  </si>
  <si>
    <t>Քանակական, որակական, ժամկետայնության և այլ չափորոշիչների փոփոխության վրա</t>
  </si>
  <si>
    <t>Ակտիվի ձեռքբերումը կնպաստի 1001 Պետական քաղաքականության մշակման, ծրագրերի համակարգման և մոնիտորինգի ծրագրի քանակական, որակական և ժամկետայնության ցուցանիշների ապահովմանը</t>
  </si>
  <si>
    <t>ճանապարհային ցանցի թվային քարտեզագրման համակարգչային ծրագրային փաթեթների  ձեռքբերում</t>
  </si>
  <si>
    <t xml:space="preserve">Ոչ նյութական հիմնական միջոցներ </t>
  </si>
  <si>
    <t>Կառավարչական հիմնարկի կողմից օգտագործվող ակտիվներ</t>
  </si>
  <si>
    <r>
      <rPr>
        <b/>
        <sz val="11"/>
        <rFont val="GHEA Grapalat"/>
        <family val="3"/>
      </rPr>
      <t>Մ-9, Թալին-Քարակերտ-Թուրքիայի սահման</t>
    </r>
    <r>
      <rPr>
        <sz val="11"/>
        <rFont val="GHEA Grapalat"/>
        <family val="3"/>
      </rPr>
      <t xml:space="preserve"> կմ54,2-55,8 (1,6կմ) հատվածի հիմնանորոգում (բնահողային ծածկ ցեմենտի հավելումով)</t>
    </r>
  </si>
  <si>
    <t>Տ-3-21, Մ-5-Երվանդաշատ-Բագարան կմ21,3-կմ25,0 (3,7 կմ) հատվածի հիմնանորոգում (բնահողային ծածկ ցեմենտի հավելումով)</t>
  </si>
  <si>
    <r>
      <rPr>
        <b/>
        <sz val="11"/>
        <rFont val="GHEA Grapalat"/>
        <family val="3"/>
      </rPr>
      <t>Մ-4-Քանաքեռավան</t>
    </r>
    <r>
      <rPr>
        <sz val="11"/>
        <rFont val="GHEA Grapalat"/>
        <family val="3"/>
      </rPr>
      <t xml:space="preserve"> 2-րդ կմ-ի կամուրջի հիմնանորոգում</t>
    </r>
  </si>
  <si>
    <t>ՄԱՍ 1 Աշխատանքներ</t>
  </si>
  <si>
    <t>Ճանապարհների վերանորոգման աշխատանքներ</t>
  </si>
  <si>
    <t>Մ-9, Թալին-Քարակերտ-Թուրքիայի սահման կմ54,2-55,8 (1,6կմ) հատվածի հիմնանորոգում (բնահողային ծածկ ցեմենտի հավելումով)</t>
  </si>
  <si>
    <t>71241200/19</t>
  </si>
  <si>
    <t>71241200/20</t>
  </si>
  <si>
    <t>71241200/21</t>
  </si>
  <si>
    <t>ՄԱՍ  II Ծառայություններ</t>
  </si>
  <si>
    <t>Տեխնիկական հսկողության ծառայություններ</t>
  </si>
  <si>
    <t>Հեղինակային հսկողության ծառայություններ</t>
  </si>
  <si>
    <t>Շինարարական աշխատանքներ կամուրջների համար</t>
  </si>
  <si>
    <t>Մ-4-Քանաքեռավան 2-րդ կմ-ի կամուրջի հիմնանորոգում</t>
  </si>
  <si>
    <t>Տեխնիկական հսկողության  ծառայություններ</t>
  </si>
  <si>
    <t>ՀՀ Գեղարքունիքի մարզի Գանձակ-Ծաղկաշեն համայնքները իրար միացնող վթարված կամուրջի հիմնանորոգման տեխնիկական հսկողության  ծառայություններ</t>
  </si>
  <si>
    <t>ՀՀ Գեղարքունիքի մարզի Կարճաղբյուր համայնքի վթարված կամուրջի հիմնանորոգման տեխնիկական հսկողության  ծառայություններ</t>
  </si>
  <si>
    <t>ՀՀ Սյունիքի մարզի Վերիշեն համայնքի վթարված կամուրջի վերականգման տեխնիկական հսկողության  ծառայություններ</t>
  </si>
  <si>
    <t>Տ-8-81, Մ-12-Խնածախ-Վաղատուր-Տ-8-13 կմ2+800 հատվածի երկաթբետոնյա խողովակի վերականգնում (ՀՀ Սյունիքի մարզ, Գորիս) տեխնիկական հսկողության  ծառայություններ</t>
  </si>
  <si>
    <t>ՀՀ Վայոց Ձորի մարզի Եղեգնաձոր-Ագարակաձոր ավտոճանապարհին առկա կամուրջի վերականգնման տեխնիկական հսկողության  ծառայություններ</t>
  </si>
  <si>
    <t>ՀՀ Վայոց Ձորի մարզի Ագարակաձոր և Գնիշիկ համայնքները իրար կապող ավտոճանապարհին առկա կամուրջի վերականգման տեխնիկական հսկողության  ծառայություններ</t>
  </si>
  <si>
    <t>&lt;&lt;Արաքսավան&gt;&gt; սահմանապահ ուղեկալ տանող կամուրջի հիմնանորոգման տեխնիկական հսկողության ծառայություններ</t>
  </si>
  <si>
    <t>ՀՀ Գեղարքունիքի մարզի Վահան գյուղի վթարված կամրջի վերանորոգման տեխնիկական հսկողության  ծառայություններ</t>
  </si>
  <si>
    <t>ՀՀ Գեղարքունիքի մարզի Գանձակ-Ծաղկաշեն համայնքները իրար միացնող վթարված կամուրջի հիմնանորոգման հեղինակային հսկողության  ծառայություններ</t>
  </si>
  <si>
    <t>ՀՀ Գեղարքունիքի մարզի Կարճաղբյուր համայնքի վթարված կամուրջի հիմնանորոգման հեղինակային հսկողության  ծառայություններ</t>
  </si>
  <si>
    <t>ՀՀ Սյունիքի մարզի Վերիշեն համայնքի վթարված կամուրջի վերականգնման հեղինակային հսկողության  ծառայություններ</t>
  </si>
  <si>
    <t>Տ-8-81, Մ-12-Խնածախ-Վաղատուր-Տ-8-13 կմ2+800 հատվածի երկաթբետոնյա խողովակի վերականգնման (ՀՀ Սյունիքի մարզ, Գորիս) հեղինակային հսկողության  ծառայություններ</t>
  </si>
  <si>
    <t>ՀՀ Վայոց Ձորի մարզի Եղեգնաձոր-Ագարակաձոր ավտոճանապարհին առկա կամուրջի վերականգնման հեղինակային հսկողության  ծառայություններ</t>
  </si>
  <si>
    <t>ՀՀ Վայոց Ձորի մարզի Ագարակաձոր և Գնիշիկ համայնքները իրար կապող ավտոճանապարհին առկա կամուրջի վերականգնման հեղինակային հսկողության  ծառայություններ</t>
  </si>
  <si>
    <t>&lt;&lt;Արաքսավան&gt;&gt; սահմանապահ ուղեկալ տանող կամուրջի հիմնանորոգման հեղինակային հսկողության  ծառայություններ</t>
  </si>
  <si>
    <t>ՀՀ Գեղարքունիքի մարզի Վահան գյուղի վթարված կամրջի վերանորոգման հեղինակային հսկողության  ծառայություններ</t>
  </si>
  <si>
    <t>Թվային քարտեզագրման համակարգչային ծրագրային փաթեթներ</t>
  </si>
  <si>
    <t xml:space="preserve">Գնման ձևը  </t>
  </si>
  <si>
    <t>Դաս N 03</t>
  </si>
  <si>
    <t>ՄԱՍ II. Ծառայություններ</t>
  </si>
  <si>
    <t>ՄԱՍ I. Աշխատանքներ</t>
  </si>
  <si>
    <t xml:space="preserve">ՀՀ կառավարության պահուստային ֆոնդ </t>
  </si>
  <si>
    <t>w</t>
  </si>
  <si>
    <t>Հավելված 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</si>
</sst>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_(* #,##0.00_);_(* \(#,##0.00\);_(* &quot;-&quot;??_);_(@_)"/>
    <numFmt numFmtId="168" formatCode="_(* #,##0.0_);_(* \(#,##0.0\);_(* &quot;-&quot;?_);_(@_)"/>
    <numFmt numFmtId="169" formatCode="#,##0.0"/>
    <numFmt numFmtId="170" formatCode="#,##0.0_ ;\-#,##0.0\ "/>
    <numFmt numFmtId="171" formatCode="0.0_);\(0.0\)"/>
    <numFmt numFmtId="172" formatCode="_-* #,##0.0\ _₽_-;\-* #,##0.0\ _₽_-;_-* &quot;-&quot;??\ _₽_-;_-@_-"/>
    <numFmt numFmtId="173" formatCode="_-* #,##0.000\ _₽_-;\-* #,##0.000\ _₽_-;_-* &quot;-&quot;???\ _₽_-;_-@_-"/>
    <numFmt numFmtId="174" formatCode="_(* #,##0.00_);_(* \(#,##0.00\);_(* &quot;-&quot;?_);_(@_)"/>
    <numFmt numFmtId="175" formatCode="_-* #,##0.0\ _₽_-;\-* #,##0.0\ _₽_-;_-* &quot;-&quot;?\ _₽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HEA Grapalat"/>
      <family val="3"/>
    </font>
    <font>
      <sz val="11"/>
      <color rgb="FFFF000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b/>
      <i/>
      <sz val="11"/>
      <name val="GHEA Grapalat"/>
      <family val="3"/>
    </font>
    <font>
      <sz val="11"/>
      <color theme="1"/>
      <name val="Arial Armenian"/>
      <family val="2"/>
    </font>
    <font>
      <b/>
      <sz val="10"/>
      <color indexed="8"/>
      <name val="GHEA Grapalat"/>
      <family val="3"/>
    </font>
    <font>
      <sz val="9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u/>
      <sz val="10"/>
      <color indexed="8"/>
      <name val="GHEA Grapalat"/>
      <family val="3"/>
    </font>
    <font>
      <sz val="10"/>
      <name val="Times Armenian"/>
      <family val="1"/>
    </font>
    <font>
      <sz val="10"/>
      <name val="Times Armenian"/>
      <family val="1"/>
    </font>
    <font>
      <sz val="10"/>
      <color rgb="FF9C6500"/>
      <name val="Calibri"/>
      <family val="2"/>
      <scheme val="minor"/>
    </font>
    <font>
      <b/>
      <u/>
      <sz val="11"/>
      <color indexed="8"/>
      <name val="GHEA Grapalat"/>
      <family val="3"/>
    </font>
    <font>
      <b/>
      <i/>
      <sz val="11"/>
      <color indexed="8"/>
      <name val="GHEA Grapalat"/>
      <family val="3"/>
    </font>
    <font>
      <b/>
      <sz val="11"/>
      <color rgb="FFC00000"/>
      <name val="GHEA Grapalat"/>
      <family val="3"/>
    </font>
    <font>
      <b/>
      <sz val="11"/>
      <color theme="7" tint="-0.249977111117893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i/>
      <u/>
      <sz val="11"/>
      <name val="GHEA Grapalat"/>
      <family val="3"/>
    </font>
    <font>
      <i/>
      <sz val="12"/>
      <name val="GHEA Grapalat"/>
      <family val="3"/>
    </font>
    <font>
      <sz val="12"/>
      <name val="Arial"/>
      <family val="2"/>
    </font>
    <font>
      <b/>
      <sz val="12"/>
      <color rgb="FF000000"/>
      <name val="GHEA Grapalat"/>
      <family val="3"/>
    </font>
    <font>
      <sz val="12"/>
      <color rgb="FF000000"/>
      <name val="GHEA Grapalat"/>
      <family val="3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u/>
      <sz val="11"/>
      <color rgb="FF000000"/>
      <name val="GHEA Grapalat"/>
      <family val="3"/>
    </font>
    <font>
      <sz val="12"/>
      <name val="Courier New"/>
      <family val="3"/>
    </font>
    <font>
      <sz val="12"/>
      <color rgb="FF000000"/>
      <name val="Courier New"/>
      <family val="3"/>
    </font>
    <font>
      <sz val="12"/>
      <color rgb="FF000000"/>
      <name val="Calibri"/>
      <family val="2"/>
    </font>
    <font>
      <u/>
      <sz val="10"/>
      <name val="GHEA Grapalat"/>
      <family val="3"/>
    </font>
    <font>
      <i/>
      <sz val="10"/>
      <name val="GHEA Grapalat"/>
      <family val="3"/>
    </font>
    <font>
      <sz val="11"/>
      <color theme="1" tint="4.9989318521683403E-2"/>
      <name val="Arial"/>
      <family val="2"/>
    </font>
    <font>
      <b/>
      <sz val="11"/>
      <color theme="1" tint="4.9989318521683403E-2"/>
      <name val="GHEA Grapalat"/>
      <family val="3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sz val="11"/>
      <color theme="1" tint="4.9989318521683403E-2"/>
      <name val="GHEA Grapalat"/>
      <family val="3"/>
    </font>
    <font>
      <sz val="10"/>
      <color indexed="8"/>
      <name val="MS Sans Serif"/>
      <family val="2"/>
    </font>
    <font>
      <u/>
      <sz val="11"/>
      <name val="GHEA Grapalat"/>
      <family val="3"/>
    </font>
    <font>
      <sz val="10"/>
      <color theme="1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7" fillId="0" borderId="0"/>
    <xf numFmtId="0" fontId="17" fillId="0" borderId="0"/>
    <xf numFmtId="167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3" borderId="0" applyNumberFormat="0" applyBorder="0" applyAlignment="0" applyProtection="0"/>
    <xf numFmtId="0" fontId="7" fillId="0" borderId="0"/>
    <xf numFmtId="0" fontId="24" fillId="0" borderId="0"/>
    <xf numFmtId="167" fontId="7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5" fillId="0" borderId="0"/>
    <xf numFmtId="0" fontId="26" fillId="0" borderId="0"/>
    <xf numFmtId="0" fontId="48" fillId="0" borderId="0"/>
  </cellStyleXfs>
  <cellXfs count="420">
    <xf numFmtId="0" fontId="0" fillId="0" borderId="0" xfId="0"/>
    <xf numFmtId="0" fontId="3" fillId="0" borderId="0" xfId="0" applyFont="1" applyAlignment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Alignment="1">
      <alignment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Alignment="1">
      <alignment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49" fontId="14" fillId="0" borderId="2" xfId="0" quotePrefix="1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vertical="center" wrapText="1"/>
    </xf>
    <xf numFmtId="0" fontId="9" fillId="0" borderId="2" xfId="5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0" borderId="2" xfId="0" quotePrefix="1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9" fillId="2" borderId="2" xfId="5" applyNumberFormat="1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left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49" fontId="13" fillId="0" borderId="2" xfId="0" quotePrefix="1" applyNumberFormat="1" applyFont="1" applyFill="1" applyBorder="1" applyAlignment="1">
      <alignment horizontal="center" vertical="center" wrapText="1"/>
    </xf>
    <xf numFmtId="166" fontId="23" fillId="2" borderId="0" xfId="1" applyNumberFormat="1" applyFont="1" applyFill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4" fillId="0" borderId="2" xfId="11" applyFont="1" applyFill="1" applyBorder="1" applyAlignment="1">
      <alignment horizontal="left" vertical="center" wrapText="1"/>
    </xf>
    <xf numFmtId="0" fontId="4" fillId="0" borderId="2" xfId="1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0" xfId="2" applyFont="1" applyFill="1"/>
    <xf numFmtId="0" fontId="6" fillId="0" borderId="0" xfId="2" applyFont="1" applyFill="1"/>
    <xf numFmtId="165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13" fillId="2" borderId="7" xfId="0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5" fontId="22" fillId="2" borderId="2" xfId="1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165" fontId="14" fillId="2" borderId="2" xfId="1" applyNumberFormat="1" applyFont="1" applyFill="1" applyBorder="1" applyAlignment="1">
      <alignment horizontal="center" vertical="center" wrapText="1"/>
    </xf>
    <xf numFmtId="169" fontId="5" fillId="0" borderId="0" xfId="0" applyNumberFormat="1" applyFont="1" applyAlignment="1">
      <alignment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12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49" fontId="4" fillId="0" borderId="2" xfId="2" applyNumberFormat="1" applyFont="1" applyFill="1" applyBorder="1" applyAlignment="1">
      <alignment horizontal="center" vertical="top" wrapText="1"/>
    </xf>
    <xf numFmtId="0" fontId="28" fillId="0" borderId="15" xfId="2" applyFont="1" applyFill="1" applyBorder="1" applyAlignment="1">
      <alignment horizontal="center" vertical="top" wrapText="1"/>
    </xf>
    <xf numFmtId="49" fontId="4" fillId="0" borderId="15" xfId="2" applyNumberFormat="1" applyFont="1" applyFill="1" applyBorder="1" applyAlignment="1">
      <alignment horizontal="center" vertical="top" wrapText="1"/>
    </xf>
    <xf numFmtId="0" fontId="4" fillId="0" borderId="16" xfId="2" applyFont="1" applyFill="1" applyBorder="1" applyAlignment="1">
      <alignment horizontal="center" vertical="top" wrapText="1"/>
    </xf>
    <xf numFmtId="0" fontId="4" fillId="0" borderId="16" xfId="2" applyFont="1" applyFill="1" applyBorder="1" applyAlignment="1">
      <alignment vertical="top" wrapText="1"/>
    </xf>
    <xf numFmtId="49" fontId="4" fillId="0" borderId="2" xfId="3" applyNumberFormat="1" applyFont="1" applyFill="1" applyBorder="1" applyAlignment="1">
      <alignment horizontal="left" vertical="top" wrapText="1"/>
    </xf>
    <xf numFmtId="0" fontId="30" fillId="0" borderId="3" xfId="3" applyFont="1" applyFill="1" applyBorder="1" applyAlignment="1">
      <alignment horizontal="left" vertical="top" wrapText="1"/>
    </xf>
    <xf numFmtId="0" fontId="4" fillId="0" borderId="0" xfId="3" applyFont="1" applyFill="1"/>
    <xf numFmtId="0" fontId="4" fillId="0" borderId="2" xfId="3" applyFont="1" applyFill="1" applyBorder="1" applyAlignment="1">
      <alignment horizontal="left" vertical="top" wrapText="1"/>
    </xf>
    <xf numFmtId="0" fontId="4" fillId="0" borderId="2" xfId="2" applyFont="1" applyFill="1" applyBorder="1"/>
    <xf numFmtId="165" fontId="4" fillId="0" borderId="0" xfId="2" applyNumberFormat="1" applyFont="1" applyFill="1"/>
    <xf numFmtId="0" fontId="4" fillId="0" borderId="3" xfId="3" applyFont="1" applyFill="1" applyBorder="1" applyAlignment="1">
      <alignment horizontal="center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top" wrapText="1"/>
    </xf>
    <xf numFmtId="0" fontId="5" fillId="0" borderId="16" xfId="2" applyFont="1" applyFill="1" applyBorder="1" applyAlignment="1">
      <alignment horizontal="center" vertical="top" wrapText="1"/>
    </xf>
    <xf numFmtId="0" fontId="31" fillId="0" borderId="16" xfId="2" applyFont="1" applyFill="1" applyBorder="1" applyAlignment="1">
      <alignment horizontal="center" vertical="top" wrapText="1"/>
    </xf>
    <xf numFmtId="170" fontId="5" fillId="0" borderId="2" xfId="1" applyNumberFormat="1" applyFont="1" applyFill="1" applyBorder="1" applyAlignment="1">
      <alignment horizontal="center" vertical="top" wrapText="1"/>
    </xf>
    <xf numFmtId="170" fontId="29" fillId="0" borderId="2" xfId="1" applyNumberFormat="1" applyFont="1" applyFill="1" applyBorder="1" applyAlignment="1">
      <alignment horizontal="center" vertical="top" wrapText="1"/>
    </xf>
    <xf numFmtId="170" fontId="29" fillId="0" borderId="2" xfId="1" applyNumberFormat="1" applyFont="1" applyFill="1" applyBorder="1" applyAlignment="1">
      <alignment horizontal="center" wrapText="1"/>
    </xf>
    <xf numFmtId="170" fontId="4" fillId="0" borderId="2" xfId="1" applyNumberFormat="1" applyFont="1" applyFill="1" applyBorder="1" applyAlignment="1">
      <alignment horizontal="center" vertical="top" wrapText="1"/>
    </xf>
    <xf numFmtId="170" fontId="4" fillId="0" borderId="2" xfId="1" applyNumberFormat="1" applyFont="1" applyFill="1" applyBorder="1" applyAlignment="1">
      <alignment horizontal="center" wrapText="1"/>
    </xf>
    <xf numFmtId="165" fontId="5" fillId="0" borderId="2" xfId="1" applyNumberFormat="1" applyFont="1" applyFill="1" applyBorder="1" applyAlignment="1">
      <alignment horizontal="center" vertical="top" wrapText="1"/>
    </xf>
    <xf numFmtId="165" fontId="4" fillId="0" borderId="2" xfId="1" applyNumberFormat="1" applyFont="1" applyFill="1" applyBorder="1" applyAlignment="1">
      <alignment horizontal="center" vertical="top"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15" fillId="0" borderId="0" xfId="16" applyFont="1" applyFill="1" applyAlignment="1">
      <alignment vertical="center" wrapText="1"/>
    </xf>
    <xf numFmtId="0" fontId="6" fillId="0" borderId="0" xfId="16" applyFont="1" applyFill="1"/>
    <xf numFmtId="0" fontId="8" fillId="0" borderId="0" xfId="0" applyFont="1" applyAlignment="1">
      <alignment horizontal="right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165" fontId="36" fillId="0" borderId="2" xfId="1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5" borderId="2" xfId="0" applyFont="1" applyFill="1" applyBorder="1" applyAlignment="1">
      <alignment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2" fillId="4" borderId="0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vertical="center" wrapText="1"/>
    </xf>
    <xf numFmtId="0" fontId="35" fillId="2" borderId="2" xfId="0" applyFont="1" applyFill="1" applyBorder="1" applyAlignment="1">
      <alignment vertical="center" wrapText="1"/>
    </xf>
    <xf numFmtId="0" fontId="38" fillId="4" borderId="0" xfId="0" applyFont="1" applyFill="1" applyBorder="1" applyAlignment="1">
      <alignment horizontal="center" vertical="center" wrapText="1"/>
    </xf>
    <xf numFmtId="0" fontId="39" fillId="4" borderId="0" xfId="0" applyFont="1" applyFill="1" applyBorder="1" applyAlignment="1">
      <alignment horizontal="center" vertical="center" wrapText="1"/>
    </xf>
    <xf numFmtId="0" fontId="35" fillId="5" borderId="1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2" fillId="6" borderId="0" xfId="0" applyFont="1" applyFill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0" fontId="39" fillId="7" borderId="0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0" fontId="40" fillId="7" borderId="0" xfId="0" applyFont="1" applyFill="1" applyBorder="1" applyAlignment="1">
      <alignment horizontal="center" vertical="center" wrapText="1"/>
    </xf>
    <xf numFmtId="0" fontId="38" fillId="7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6" fillId="0" borderId="2" xfId="0" applyFont="1" applyFill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1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justify" vertical="top" wrapText="1"/>
    </xf>
    <xf numFmtId="0" fontId="41" fillId="0" borderId="9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>
      <alignment horizontal="right" vertical="top"/>
    </xf>
    <xf numFmtId="169" fontId="6" fillId="0" borderId="2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4" fontId="6" fillId="0" borderId="2" xfId="0" applyNumberFormat="1" applyFont="1" applyFill="1" applyBorder="1" applyAlignment="1">
      <alignment horizontal="center" vertical="center" wrapText="1"/>
    </xf>
    <xf numFmtId="171" fontId="6" fillId="0" borderId="2" xfId="0" applyNumberFormat="1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7" fontId="6" fillId="0" borderId="2" xfId="0" applyNumberFormat="1" applyFont="1" applyBorder="1" applyAlignment="1"/>
    <xf numFmtId="0" fontId="6" fillId="0" borderId="2" xfId="0" applyFont="1" applyBorder="1" applyAlignment="1">
      <alignment horizontal="left" vertical="top" wrapText="1"/>
    </xf>
    <xf numFmtId="0" fontId="43" fillId="0" borderId="0" xfId="0" applyFont="1"/>
    <xf numFmtId="0" fontId="45" fillId="0" borderId="0" xfId="0" applyFont="1"/>
    <xf numFmtId="0" fontId="46" fillId="0" borderId="0" xfId="0" applyFont="1" applyAlignment="1">
      <alignment horizontal="left" wrapText="1"/>
    </xf>
    <xf numFmtId="0" fontId="4" fillId="0" borderId="5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>
      <alignment horizontal="center" vertical="top" wrapText="1"/>
    </xf>
    <xf numFmtId="168" fontId="6" fillId="2" borderId="2" xfId="7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wrapText="1"/>
    </xf>
    <xf numFmtId="2" fontId="6" fillId="0" borderId="2" xfId="0" applyNumberFormat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center" wrapText="1"/>
    </xf>
    <xf numFmtId="172" fontId="12" fillId="0" borderId="2" xfId="1" applyNumberFormat="1" applyFont="1" applyBorder="1" applyAlignment="1">
      <alignment horizontal="center" vertical="center" wrapText="1"/>
    </xf>
    <xf numFmtId="172" fontId="12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69" fontId="5" fillId="0" borderId="2" xfId="0" applyNumberFormat="1" applyFont="1" applyBorder="1" applyAlignment="1">
      <alignment horizontal="center" wrapText="1"/>
    </xf>
    <xf numFmtId="169" fontId="4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166" fontId="4" fillId="7" borderId="5" xfId="0" applyNumberFormat="1" applyFont="1" applyFill="1" applyBorder="1" applyAlignment="1">
      <alignment horizontal="center" vertical="center" wrapText="1"/>
    </xf>
    <xf numFmtId="166" fontId="4" fillId="7" borderId="8" xfId="0" applyNumberFormat="1" applyFont="1" applyFill="1" applyBorder="1" applyAlignment="1">
      <alignment horizontal="center" vertical="center" wrapText="1"/>
    </xf>
    <xf numFmtId="166" fontId="4" fillId="7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1" fillId="0" borderId="0" xfId="16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17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0" fontId="6" fillId="8" borderId="2" xfId="0" applyFont="1" applyFill="1" applyBorder="1"/>
    <xf numFmtId="0" fontId="15" fillId="8" borderId="2" xfId="16" applyFont="1" applyFill="1" applyBorder="1" applyAlignment="1">
      <alignment horizontal="center" vertical="center" wrapText="1"/>
    </xf>
    <xf numFmtId="0" fontId="13" fillId="8" borderId="2" xfId="16" applyFont="1" applyFill="1" applyBorder="1" applyAlignment="1">
      <alignment horizontal="left" vertical="center" wrapText="1"/>
    </xf>
    <xf numFmtId="0" fontId="13" fillId="8" borderId="2" xfId="16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 indent="1"/>
    </xf>
    <xf numFmtId="0" fontId="49" fillId="2" borderId="2" xfId="0" applyFont="1" applyFill="1" applyBorder="1" applyAlignment="1">
      <alignment horizontal="left" wrapText="1" indent="1"/>
    </xf>
    <xf numFmtId="0" fontId="4" fillId="2" borderId="2" xfId="0" applyFont="1" applyFill="1" applyBorder="1" applyAlignment="1">
      <alignment horizontal="left" wrapText="1" indent="2"/>
    </xf>
    <xf numFmtId="0" fontId="4" fillId="8" borderId="2" xfId="0" applyFont="1" applyFill="1" applyBorder="1"/>
    <xf numFmtId="0" fontId="4" fillId="0" borderId="2" xfId="0" applyFont="1" applyBorder="1" applyAlignment="1">
      <alignment wrapText="1"/>
    </xf>
    <xf numFmtId="0" fontId="49" fillId="8" borderId="2" xfId="0" applyFont="1" applyFill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4"/>
    </xf>
    <xf numFmtId="0" fontId="4" fillId="0" borderId="2" xfId="3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12" fillId="0" borderId="0" xfId="16" applyFont="1" applyFill="1"/>
    <xf numFmtId="0" fontId="12" fillId="0" borderId="2" xfId="16" applyFont="1" applyFill="1" applyBorder="1"/>
    <xf numFmtId="172" fontId="44" fillId="0" borderId="0" xfId="1" applyNumberFormat="1" applyFont="1" applyFill="1" applyAlignment="1">
      <alignment horizontal="right"/>
    </xf>
    <xf numFmtId="172" fontId="44" fillId="0" borderId="0" xfId="1" applyNumberFormat="1" applyFont="1" applyFill="1" applyAlignment="1">
      <alignment horizontal="center" wrapText="1"/>
    </xf>
    <xf numFmtId="172" fontId="45" fillId="0" borderId="0" xfId="1" applyNumberFormat="1" applyFont="1"/>
    <xf numFmtId="172" fontId="47" fillId="7" borderId="2" xfId="1" applyNumberFormat="1" applyFont="1" applyFill="1" applyBorder="1" applyAlignment="1">
      <alignment horizontal="center" wrapText="1"/>
    </xf>
    <xf numFmtId="0" fontId="47" fillId="7" borderId="2" xfId="0" applyFont="1" applyFill="1" applyBorder="1" applyAlignment="1">
      <alignment horizontal="center" wrapText="1"/>
    </xf>
    <xf numFmtId="49" fontId="4" fillId="2" borderId="2" xfId="17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14" fillId="2" borderId="2" xfId="1" applyNumberFormat="1" applyFont="1" applyFill="1" applyBorder="1" applyAlignment="1">
      <alignment horizontal="left" vertical="center" wrapText="1"/>
    </xf>
    <xf numFmtId="0" fontId="4" fillId="2" borderId="2" xfId="5" applyNumberFormat="1" applyFont="1" applyFill="1" applyBorder="1" applyAlignment="1">
      <alignment horizontal="left" vertical="center" wrapText="1"/>
    </xf>
    <xf numFmtId="172" fontId="43" fillId="0" borderId="0" xfId="0" applyNumberFormat="1" applyFont="1"/>
    <xf numFmtId="0" fontId="47" fillId="2" borderId="2" xfId="0" applyFont="1" applyFill="1" applyBorder="1" applyAlignment="1">
      <alignment horizontal="center" wrapText="1"/>
    </xf>
    <xf numFmtId="0" fontId="47" fillId="2" borderId="2" xfId="0" applyFont="1" applyFill="1" applyBorder="1" applyAlignment="1">
      <alignment horizontal="left" wrapText="1"/>
    </xf>
    <xf numFmtId="0" fontId="43" fillId="2" borderId="0" xfId="0" applyFont="1" applyFill="1"/>
    <xf numFmtId="173" fontId="45" fillId="0" borderId="0" xfId="0" applyNumberFormat="1" applyFont="1"/>
    <xf numFmtId="0" fontId="44" fillId="7" borderId="2" xfId="0" applyFont="1" applyFill="1" applyBorder="1" applyAlignment="1">
      <alignment horizont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textRotation="90" wrapText="1"/>
    </xf>
    <xf numFmtId="165" fontId="8" fillId="2" borderId="0" xfId="4" applyNumberFormat="1" applyFont="1" applyFill="1" applyAlignment="1">
      <alignment horizontal="right"/>
    </xf>
    <xf numFmtId="165" fontId="6" fillId="2" borderId="0" xfId="2" applyNumberFormat="1" applyFont="1" applyFill="1"/>
    <xf numFmtId="165" fontId="6" fillId="2" borderId="0" xfId="2" applyNumberFormat="1" applyFont="1" applyFill="1" applyAlignment="1">
      <alignment horizontal="right"/>
    </xf>
    <xf numFmtId="165" fontId="13" fillId="2" borderId="2" xfId="0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vertical="center" wrapText="1"/>
    </xf>
    <xf numFmtId="165" fontId="23" fillId="2" borderId="2" xfId="1" applyNumberFormat="1" applyFont="1" applyFill="1" applyBorder="1" applyAlignment="1">
      <alignment vertical="center" wrapText="1"/>
    </xf>
    <xf numFmtId="165" fontId="6" fillId="0" borderId="0" xfId="2" applyNumberFormat="1" applyFont="1" applyFill="1"/>
    <xf numFmtId="165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11" fillId="0" borderId="2" xfId="13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165" fontId="8" fillId="0" borderId="2" xfId="0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top" wrapText="1"/>
    </xf>
    <xf numFmtId="0" fontId="6" fillId="0" borderId="2" xfId="16" applyFont="1" applyFill="1" applyBorder="1"/>
    <xf numFmtId="0" fontId="6" fillId="0" borderId="2" xfId="0" applyFont="1" applyFill="1" applyBorder="1" applyAlignment="1">
      <alignment horizontal="center" vertical="top" wrapText="1"/>
    </xf>
    <xf numFmtId="0" fontId="42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vertical="top" wrapText="1"/>
    </xf>
    <xf numFmtId="169" fontId="6" fillId="0" borderId="2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172" fontId="12" fillId="0" borderId="2" xfId="1" applyNumberFormat="1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wrapText="1"/>
    </xf>
    <xf numFmtId="0" fontId="13" fillId="0" borderId="0" xfId="16" applyFont="1" applyFill="1" applyBorder="1" applyAlignment="1">
      <alignment horizontal="center" vertical="center" wrapText="1"/>
    </xf>
    <xf numFmtId="0" fontId="13" fillId="0" borderId="0" xfId="16" applyFont="1" applyFill="1" applyAlignment="1">
      <alignment horizontal="center" vertical="center" wrapText="1"/>
    </xf>
    <xf numFmtId="0" fontId="13" fillId="0" borderId="0" xfId="16" applyFont="1" applyFill="1" applyAlignment="1">
      <alignment vertical="center" wrapText="1"/>
    </xf>
    <xf numFmtId="0" fontId="6" fillId="0" borderId="0" xfId="0" applyFont="1" applyBorder="1"/>
    <xf numFmtId="0" fontId="47" fillId="7" borderId="2" xfId="0" applyFont="1" applyFill="1" applyBorder="1" applyAlignment="1">
      <alignment horizontal="center" wrapText="1"/>
    </xf>
    <xf numFmtId="172" fontId="47" fillId="2" borderId="2" xfId="1" applyNumberFormat="1" applyFont="1" applyFill="1" applyBorder="1" applyAlignment="1">
      <alignment horizontal="center" wrapText="1"/>
    </xf>
    <xf numFmtId="0" fontId="47" fillId="2" borderId="2" xfId="0" applyFont="1" applyFill="1" applyBorder="1" applyAlignment="1">
      <alignment horizontal="center" vertical="center" wrapText="1"/>
    </xf>
    <xf numFmtId="172" fontId="47" fillId="2" borderId="2" xfId="1" applyNumberFormat="1" applyFont="1" applyFill="1" applyBorder="1" applyAlignment="1">
      <alignment vertical="top" wrapText="1"/>
    </xf>
    <xf numFmtId="0" fontId="47" fillId="2" borderId="2" xfId="0" applyFont="1" applyFill="1" applyBorder="1" applyAlignment="1">
      <alignment vertical="top" wrapText="1"/>
    </xf>
    <xf numFmtId="0" fontId="50" fillId="2" borderId="2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top" wrapText="1"/>
    </xf>
    <xf numFmtId="0" fontId="4" fillId="2" borderId="2" xfId="11" applyFont="1" applyFill="1" applyBorder="1" applyAlignment="1">
      <alignment horizontal="left" vertical="center" wrapText="1"/>
    </xf>
    <xf numFmtId="0" fontId="4" fillId="2" borderId="2" xfId="11" applyFont="1" applyFill="1" applyBorder="1" applyAlignment="1">
      <alignment vertical="center" wrapText="1"/>
    </xf>
    <xf numFmtId="0" fontId="44" fillId="2" borderId="2" xfId="0" applyFont="1" applyFill="1" applyBorder="1" applyAlignment="1">
      <alignment horizontal="left" wrapText="1"/>
    </xf>
    <xf numFmtId="0" fontId="44" fillId="2" borderId="2" xfId="0" applyFont="1" applyFill="1" applyBorder="1" applyAlignment="1">
      <alignment horizontal="center" wrapText="1"/>
    </xf>
    <xf numFmtId="172" fontId="44" fillId="2" borderId="2" xfId="1" applyNumberFormat="1" applyFont="1" applyFill="1" applyBorder="1" applyAlignment="1">
      <alignment horizontal="center" wrapText="1"/>
    </xf>
    <xf numFmtId="0" fontId="5" fillId="2" borderId="2" xfId="5" applyNumberFormat="1" applyFont="1" applyFill="1" applyBorder="1" applyAlignment="1">
      <alignment horizontal="left" vertical="center" wrapText="1"/>
    </xf>
    <xf numFmtId="168" fontId="44" fillId="2" borderId="2" xfId="0" applyNumberFormat="1" applyFont="1" applyFill="1" applyBorder="1" applyAlignment="1">
      <alignment horizontal="center" wrapText="1"/>
    </xf>
    <xf numFmtId="174" fontId="6" fillId="2" borderId="2" xfId="7" applyNumberFormat="1" applyFont="1" applyFill="1" applyBorder="1" applyAlignment="1">
      <alignment horizontal="center" vertical="center" wrapText="1"/>
    </xf>
    <xf numFmtId="168" fontId="8" fillId="2" borderId="2" xfId="7" applyNumberFormat="1" applyFont="1" applyFill="1" applyBorder="1" applyAlignment="1">
      <alignment horizontal="center" vertical="center" wrapText="1"/>
    </xf>
    <xf numFmtId="172" fontId="47" fillId="7" borderId="2" xfId="1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vertical="top" wrapText="1"/>
    </xf>
    <xf numFmtId="172" fontId="44" fillId="2" borderId="2" xfId="1" applyNumberFormat="1" applyFont="1" applyFill="1" applyBorder="1" applyAlignment="1">
      <alignment vertical="top" wrapText="1"/>
    </xf>
    <xf numFmtId="175" fontId="44" fillId="7" borderId="2" xfId="0" applyNumberFormat="1" applyFont="1" applyFill="1" applyBorder="1" applyAlignment="1">
      <alignment horizontal="center" wrapText="1"/>
    </xf>
    <xf numFmtId="0" fontId="2" fillId="0" borderId="0" xfId="4" applyFont="1" applyFill="1" applyAlignment="1">
      <alignment horizontal="right"/>
    </xf>
    <xf numFmtId="0" fontId="5" fillId="0" borderId="0" xfId="2" applyFont="1" applyFill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27" fillId="0" borderId="7" xfId="0" applyFont="1" applyBorder="1" applyAlignment="1">
      <alignment vertical="center"/>
    </xf>
    <xf numFmtId="0" fontId="12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top" wrapText="1"/>
    </xf>
    <xf numFmtId="0" fontId="4" fillId="0" borderId="7" xfId="2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horizontal="center" vertical="top" wrapText="1"/>
    </xf>
    <xf numFmtId="169" fontId="5" fillId="0" borderId="0" xfId="0" applyNumberFormat="1" applyFont="1" applyAlignment="1">
      <alignment horizontal="center" wrapText="1"/>
    </xf>
    <xf numFmtId="165" fontId="8" fillId="2" borderId="0" xfId="4" applyNumberFormat="1" applyFont="1" applyFill="1" applyAlignment="1">
      <alignment horizontal="right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textRotation="90" wrapText="1"/>
    </xf>
    <xf numFmtId="49" fontId="11" fillId="0" borderId="8" xfId="0" applyNumberFormat="1" applyFont="1" applyFill="1" applyBorder="1" applyAlignment="1">
      <alignment horizontal="center" vertical="center" textRotation="90" wrapText="1"/>
    </xf>
    <xf numFmtId="49" fontId="11" fillId="0" borderId="7" xfId="0" applyNumberFormat="1" applyFont="1" applyFill="1" applyBorder="1" applyAlignment="1">
      <alignment horizontal="center" vertical="center" textRotation="90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2" xfId="12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center" vertical="top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textRotation="90" wrapText="1"/>
    </xf>
    <xf numFmtId="14" fontId="6" fillId="2" borderId="7" xfId="0" applyNumberFormat="1" applyFont="1" applyFill="1" applyBorder="1" applyAlignment="1">
      <alignment horizontal="center" vertical="center" textRotation="90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4" fillId="0" borderId="6" xfId="1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41" fillId="0" borderId="2" xfId="0" applyFont="1" applyFill="1" applyBorder="1" applyAlignment="1">
      <alignment horizontal="left" vertical="center" wrapText="1"/>
    </xf>
    <xf numFmtId="0" fontId="42" fillId="0" borderId="3" xfId="0" applyFont="1" applyFill="1" applyBorder="1" applyAlignment="1">
      <alignment horizontal="left" vertical="center" wrapText="1"/>
    </xf>
    <xf numFmtId="0" fontId="42" fillId="0" borderId="6" xfId="0" applyFont="1" applyFill="1" applyBorder="1" applyAlignment="1">
      <alignment horizontal="left" vertical="center" wrapText="1"/>
    </xf>
    <xf numFmtId="0" fontId="42" fillId="0" borderId="1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5" fillId="0" borderId="3" xfId="16" applyFont="1" applyFill="1" applyBorder="1" applyAlignment="1">
      <alignment horizontal="center" vertical="center" wrapText="1"/>
    </xf>
    <xf numFmtId="0" fontId="15" fillId="0" borderId="6" xfId="16" applyFont="1" applyFill="1" applyBorder="1" applyAlignment="1">
      <alignment horizontal="center" vertical="center" wrapText="1"/>
    </xf>
    <xf numFmtId="0" fontId="15" fillId="0" borderId="17" xfId="16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 wrapText="1"/>
    </xf>
    <xf numFmtId="0" fontId="11" fillId="0" borderId="0" xfId="16" applyFont="1" applyFill="1" applyAlignment="1">
      <alignment horizontal="center" vertical="center" wrapText="1"/>
    </xf>
    <xf numFmtId="0" fontId="15" fillId="0" borderId="4" xfId="16" applyFont="1" applyFill="1" applyBorder="1" applyAlignment="1">
      <alignment horizontal="center" vertical="center" wrapText="1"/>
    </xf>
    <xf numFmtId="0" fontId="15" fillId="0" borderId="9" xfId="16" applyFont="1" applyFill="1" applyBorder="1" applyAlignment="1">
      <alignment horizontal="center" vertical="center" wrapText="1"/>
    </xf>
    <xf numFmtId="0" fontId="15" fillId="0" borderId="10" xfId="16" applyFont="1" applyFill="1" applyBorder="1" applyAlignment="1">
      <alignment horizontal="center" vertical="center" wrapText="1"/>
    </xf>
    <xf numFmtId="0" fontId="15" fillId="0" borderId="13" xfId="16" applyFont="1" applyFill="1" applyBorder="1" applyAlignment="1">
      <alignment horizontal="center" vertical="center" wrapText="1"/>
    </xf>
    <xf numFmtId="0" fontId="15" fillId="0" borderId="0" xfId="16" applyFont="1" applyFill="1" applyBorder="1" applyAlignment="1">
      <alignment horizontal="center" vertical="center" wrapText="1"/>
    </xf>
    <xf numFmtId="0" fontId="15" fillId="0" borderId="14" xfId="16" applyFont="1" applyFill="1" applyBorder="1" applyAlignment="1">
      <alignment horizontal="center" vertical="center" wrapText="1"/>
    </xf>
    <xf numFmtId="0" fontId="15" fillId="0" borderId="11" xfId="16" applyFont="1" applyFill="1" applyBorder="1" applyAlignment="1">
      <alignment horizontal="center" vertical="center" wrapText="1"/>
    </xf>
    <xf numFmtId="0" fontId="15" fillId="0" borderId="1" xfId="16" applyFont="1" applyFill="1" applyBorder="1" applyAlignment="1">
      <alignment horizontal="center" vertical="center" wrapText="1"/>
    </xf>
    <xf numFmtId="0" fontId="15" fillId="0" borderId="12" xfId="16" applyFont="1" applyFill="1" applyBorder="1" applyAlignment="1">
      <alignment horizontal="center" vertical="center" wrapText="1"/>
    </xf>
    <xf numFmtId="0" fontId="16" fillId="0" borderId="3" xfId="16" applyFont="1" applyFill="1" applyBorder="1" applyAlignment="1">
      <alignment horizontal="left" vertical="center" wrapText="1"/>
    </xf>
    <xf numFmtId="0" fontId="16" fillId="0" borderId="6" xfId="16" applyFont="1" applyFill="1" applyBorder="1" applyAlignment="1">
      <alignment horizontal="left" vertical="center" wrapText="1"/>
    </xf>
    <xf numFmtId="0" fontId="16" fillId="0" borderId="17" xfId="16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13" fillId="0" borderId="3" xfId="16" applyFont="1" applyFill="1" applyBorder="1" applyAlignment="1">
      <alignment horizontal="left" vertical="top" wrapText="1"/>
    </xf>
    <xf numFmtId="0" fontId="13" fillId="0" borderId="6" xfId="16" applyFont="1" applyFill="1" applyBorder="1" applyAlignment="1">
      <alignment horizontal="left" vertical="top" wrapText="1"/>
    </xf>
    <xf numFmtId="0" fontId="13" fillId="0" borderId="17" xfId="16" applyFont="1" applyFill="1" applyBorder="1" applyAlignment="1">
      <alignment horizontal="left" vertical="top" wrapText="1"/>
    </xf>
    <xf numFmtId="0" fontId="20" fillId="0" borderId="3" xfId="16" applyFont="1" applyFill="1" applyBorder="1" applyAlignment="1">
      <alignment horizontal="left" vertical="center" wrapText="1"/>
    </xf>
    <xf numFmtId="0" fontId="20" fillId="0" borderId="6" xfId="16" applyFont="1" applyFill="1" applyBorder="1" applyAlignment="1">
      <alignment horizontal="left" vertical="center" wrapText="1"/>
    </xf>
    <xf numFmtId="0" fontId="20" fillId="0" borderId="17" xfId="16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top" wrapText="1"/>
    </xf>
    <xf numFmtId="166" fontId="4" fillId="2" borderId="8" xfId="0" applyNumberFormat="1" applyFont="1" applyFill="1" applyBorder="1" applyAlignment="1">
      <alignment horizontal="center" vertical="top" wrapText="1"/>
    </xf>
    <xf numFmtId="166" fontId="4" fillId="2" borderId="7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7" borderId="5" xfId="0" applyNumberFormat="1" applyFont="1" applyFill="1" applyBorder="1" applyAlignment="1">
      <alignment horizontal="center" vertical="center" wrapText="1"/>
    </xf>
    <xf numFmtId="166" fontId="4" fillId="7" borderId="8" xfId="0" applyNumberFormat="1" applyFont="1" applyFill="1" applyBorder="1" applyAlignment="1">
      <alignment horizontal="center" vertical="center" wrapText="1"/>
    </xf>
    <xf numFmtId="166" fontId="4" fillId="7" borderId="7" xfId="0" applyNumberFormat="1" applyFont="1" applyFill="1" applyBorder="1" applyAlignment="1">
      <alignment horizontal="center" vertical="center" wrapText="1"/>
    </xf>
    <xf numFmtId="0" fontId="35" fillId="0" borderId="5" xfId="0" quotePrefix="1" applyFont="1" applyFill="1" applyBorder="1" applyAlignment="1">
      <alignment horizontal="center" vertical="center" wrapText="1"/>
    </xf>
    <xf numFmtId="0" fontId="35" fillId="0" borderId="8" xfId="0" quotePrefix="1" applyFont="1" applyFill="1" applyBorder="1" applyAlignment="1">
      <alignment horizontal="center" vertical="center" wrapText="1"/>
    </xf>
    <xf numFmtId="0" fontId="35" fillId="0" borderId="7" xfId="0" quotePrefix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166" fontId="4" fillId="2" borderId="2" xfId="1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47" fillId="7" borderId="2" xfId="0" applyFont="1" applyFill="1" applyBorder="1" applyAlignment="1">
      <alignment horizontal="center" wrapText="1"/>
    </xf>
    <xf numFmtId="0" fontId="47" fillId="7" borderId="2" xfId="0" applyFont="1" applyFill="1" applyBorder="1" applyAlignment="1">
      <alignment horizontal="left" wrapText="1"/>
    </xf>
    <xf numFmtId="0" fontId="47" fillId="7" borderId="2" xfId="0" applyFont="1" applyFill="1" applyBorder="1" applyAlignment="1">
      <alignment horizontal="center" vertical="center" wrapText="1"/>
    </xf>
    <xf numFmtId="172" fontId="47" fillId="7" borderId="2" xfId="1" applyNumberFormat="1" applyFont="1" applyFill="1" applyBorder="1" applyAlignment="1">
      <alignment horizontal="center" vertical="center" wrapText="1"/>
    </xf>
    <xf numFmtId="172" fontId="44" fillId="0" borderId="0" xfId="1" applyNumberFormat="1" applyFont="1" applyFill="1" applyAlignment="1">
      <alignment horizontal="right"/>
    </xf>
    <xf numFmtId="0" fontId="44" fillId="0" borderId="0" xfId="3" applyFont="1" applyFill="1" applyBorder="1" applyAlignment="1">
      <alignment horizontal="center" vertical="center" wrapText="1"/>
    </xf>
  </cellXfs>
  <cellStyles count="18">
    <cellStyle name="Comma" xfId="1" builtinId="3"/>
    <cellStyle name="Comma 2" xfId="8"/>
    <cellStyle name="Comma 2 2" xfId="14"/>
    <cellStyle name="Comma 3" xfId="9"/>
    <cellStyle name="Normal" xfId="0" builtinId="0"/>
    <cellStyle name="Normal 2" xfId="2"/>
    <cellStyle name="Normal 3" xfId="15"/>
    <cellStyle name="Normal 4" xfId="5"/>
    <cellStyle name="Normal_2006plan 2" xfId="11"/>
    <cellStyle name="Normal_Shushan" xfId="16"/>
    <cellStyle name="Style 1" xfId="17"/>
    <cellStyle name="Нейтральный 2" xfId="10"/>
    <cellStyle name="Обычный 2" xfId="3"/>
    <cellStyle name="Обычный 3" xfId="4"/>
    <cellStyle name="Обычный 4" xfId="6"/>
    <cellStyle name="Обычный 5" xfId="12"/>
    <cellStyle name="Финансовый 2" xfId="7"/>
    <cellStyle name="Финансовый 3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="85" zoomScaleNormal="100" zoomScaleSheetLayoutView="85" workbookViewId="0">
      <selection activeCell="E24" sqref="E24"/>
    </sheetView>
  </sheetViews>
  <sheetFormatPr defaultRowHeight="16.5" x14ac:dyDescent="0.3"/>
  <cols>
    <col min="1" max="2" width="7.28515625" style="76" customWidth="1"/>
    <col min="3" max="3" width="8.85546875" style="76" customWidth="1"/>
    <col min="4" max="4" width="42.85546875" style="77" customWidth="1"/>
    <col min="5" max="5" width="16.28515625" style="77" customWidth="1"/>
    <col min="6" max="6" width="16.5703125" style="77" customWidth="1"/>
    <col min="7" max="7" width="16.140625" style="76" customWidth="1"/>
    <col min="8" max="8" width="9.140625" style="76"/>
    <col min="9" max="9" width="11.7109375" style="76" bestFit="1" customWidth="1"/>
    <col min="10" max="258" width="9.140625" style="76"/>
    <col min="259" max="261" width="8.85546875" style="76" customWidth="1"/>
    <col min="262" max="262" width="39.42578125" style="76" customWidth="1"/>
    <col min="263" max="263" width="28.28515625" style="76" customWidth="1"/>
    <col min="264" max="264" width="9.140625" style="76"/>
    <col min="265" max="265" width="11.7109375" style="76" bestFit="1" customWidth="1"/>
    <col min="266" max="514" width="9.140625" style="76"/>
    <col min="515" max="517" width="8.85546875" style="76" customWidth="1"/>
    <col min="518" max="518" width="39.42578125" style="76" customWidth="1"/>
    <col min="519" max="519" width="28.28515625" style="76" customWidth="1"/>
    <col min="520" max="520" width="9.140625" style="76"/>
    <col min="521" max="521" width="11.7109375" style="76" bestFit="1" customWidth="1"/>
    <col min="522" max="770" width="9.140625" style="76"/>
    <col min="771" max="773" width="8.85546875" style="76" customWidth="1"/>
    <col min="774" max="774" width="39.42578125" style="76" customWidth="1"/>
    <col min="775" max="775" width="28.28515625" style="76" customWidth="1"/>
    <col min="776" max="776" width="9.140625" style="76"/>
    <col min="777" max="777" width="11.7109375" style="76" bestFit="1" customWidth="1"/>
    <col min="778" max="1026" width="9.140625" style="76"/>
    <col min="1027" max="1029" width="8.85546875" style="76" customWidth="1"/>
    <col min="1030" max="1030" width="39.42578125" style="76" customWidth="1"/>
    <col min="1031" max="1031" width="28.28515625" style="76" customWidth="1"/>
    <col min="1032" max="1032" width="9.140625" style="76"/>
    <col min="1033" max="1033" width="11.7109375" style="76" bestFit="1" customWidth="1"/>
    <col min="1034" max="1282" width="9.140625" style="76"/>
    <col min="1283" max="1285" width="8.85546875" style="76" customWidth="1"/>
    <col min="1286" max="1286" width="39.42578125" style="76" customWidth="1"/>
    <col min="1287" max="1287" width="28.28515625" style="76" customWidth="1"/>
    <col min="1288" max="1288" width="9.140625" style="76"/>
    <col min="1289" max="1289" width="11.7109375" style="76" bestFit="1" customWidth="1"/>
    <col min="1290" max="1538" width="9.140625" style="76"/>
    <col min="1539" max="1541" width="8.85546875" style="76" customWidth="1"/>
    <col min="1542" max="1542" width="39.42578125" style="76" customWidth="1"/>
    <col min="1543" max="1543" width="28.28515625" style="76" customWidth="1"/>
    <col min="1544" max="1544" width="9.140625" style="76"/>
    <col min="1545" max="1545" width="11.7109375" style="76" bestFit="1" customWidth="1"/>
    <col min="1546" max="1794" width="9.140625" style="76"/>
    <col min="1795" max="1797" width="8.85546875" style="76" customWidth="1"/>
    <col min="1798" max="1798" width="39.42578125" style="76" customWidth="1"/>
    <col min="1799" max="1799" width="28.28515625" style="76" customWidth="1"/>
    <col min="1800" max="1800" width="9.140625" style="76"/>
    <col min="1801" max="1801" width="11.7109375" style="76" bestFit="1" customWidth="1"/>
    <col min="1802" max="2050" width="9.140625" style="76"/>
    <col min="2051" max="2053" width="8.85546875" style="76" customWidth="1"/>
    <col min="2054" max="2054" width="39.42578125" style="76" customWidth="1"/>
    <col min="2055" max="2055" width="28.28515625" style="76" customWidth="1"/>
    <col min="2056" max="2056" width="9.140625" style="76"/>
    <col min="2057" max="2057" width="11.7109375" style="76" bestFit="1" customWidth="1"/>
    <col min="2058" max="2306" width="9.140625" style="76"/>
    <col min="2307" max="2309" width="8.85546875" style="76" customWidth="1"/>
    <col min="2310" max="2310" width="39.42578125" style="76" customWidth="1"/>
    <col min="2311" max="2311" width="28.28515625" style="76" customWidth="1"/>
    <col min="2312" max="2312" width="9.140625" style="76"/>
    <col min="2313" max="2313" width="11.7109375" style="76" bestFit="1" customWidth="1"/>
    <col min="2314" max="2562" width="9.140625" style="76"/>
    <col min="2563" max="2565" width="8.85546875" style="76" customWidth="1"/>
    <col min="2566" max="2566" width="39.42578125" style="76" customWidth="1"/>
    <col min="2567" max="2567" width="28.28515625" style="76" customWidth="1"/>
    <col min="2568" max="2568" width="9.140625" style="76"/>
    <col min="2569" max="2569" width="11.7109375" style="76" bestFit="1" customWidth="1"/>
    <col min="2570" max="2818" width="9.140625" style="76"/>
    <col min="2819" max="2821" width="8.85546875" style="76" customWidth="1"/>
    <col min="2822" max="2822" width="39.42578125" style="76" customWidth="1"/>
    <col min="2823" max="2823" width="28.28515625" style="76" customWidth="1"/>
    <col min="2824" max="2824" width="9.140625" style="76"/>
    <col min="2825" max="2825" width="11.7109375" style="76" bestFit="1" customWidth="1"/>
    <col min="2826" max="3074" width="9.140625" style="76"/>
    <col min="3075" max="3077" width="8.85546875" style="76" customWidth="1"/>
    <col min="3078" max="3078" width="39.42578125" style="76" customWidth="1"/>
    <col min="3079" max="3079" width="28.28515625" style="76" customWidth="1"/>
    <col min="3080" max="3080" width="9.140625" style="76"/>
    <col min="3081" max="3081" width="11.7109375" style="76" bestFit="1" customWidth="1"/>
    <col min="3082" max="3330" width="9.140625" style="76"/>
    <col min="3331" max="3333" width="8.85546875" style="76" customWidth="1"/>
    <col min="3334" max="3334" width="39.42578125" style="76" customWidth="1"/>
    <col min="3335" max="3335" width="28.28515625" style="76" customWidth="1"/>
    <col min="3336" max="3336" width="9.140625" style="76"/>
    <col min="3337" max="3337" width="11.7109375" style="76" bestFit="1" customWidth="1"/>
    <col min="3338" max="3586" width="9.140625" style="76"/>
    <col min="3587" max="3589" width="8.85546875" style="76" customWidth="1"/>
    <col min="3590" max="3590" width="39.42578125" style="76" customWidth="1"/>
    <col min="3591" max="3591" width="28.28515625" style="76" customWidth="1"/>
    <col min="3592" max="3592" width="9.140625" style="76"/>
    <col min="3593" max="3593" width="11.7109375" style="76" bestFit="1" customWidth="1"/>
    <col min="3594" max="3842" width="9.140625" style="76"/>
    <col min="3843" max="3845" width="8.85546875" style="76" customWidth="1"/>
    <col min="3846" max="3846" width="39.42578125" style="76" customWidth="1"/>
    <col min="3847" max="3847" width="28.28515625" style="76" customWidth="1"/>
    <col min="3848" max="3848" width="9.140625" style="76"/>
    <col min="3849" max="3849" width="11.7109375" style="76" bestFit="1" customWidth="1"/>
    <col min="3850" max="4098" width="9.140625" style="76"/>
    <col min="4099" max="4101" width="8.85546875" style="76" customWidth="1"/>
    <col min="4102" max="4102" width="39.42578125" style="76" customWidth="1"/>
    <col min="4103" max="4103" width="28.28515625" style="76" customWidth="1"/>
    <col min="4104" max="4104" width="9.140625" style="76"/>
    <col min="4105" max="4105" width="11.7109375" style="76" bestFit="1" customWidth="1"/>
    <col min="4106" max="4354" width="9.140625" style="76"/>
    <col min="4355" max="4357" width="8.85546875" style="76" customWidth="1"/>
    <col min="4358" max="4358" width="39.42578125" style="76" customWidth="1"/>
    <col min="4359" max="4359" width="28.28515625" style="76" customWidth="1"/>
    <col min="4360" max="4360" width="9.140625" style="76"/>
    <col min="4361" max="4361" width="11.7109375" style="76" bestFit="1" customWidth="1"/>
    <col min="4362" max="4610" width="9.140625" style="76"/>
    <col min="4611" max="4613" width="8.85546875" style="76" customWidth="1"/>
    <col min="4614" max="4614" width="39.42578125" style="76" customWidth="1"/>
    <col min="4615" max="4615" width="28.28515625" style="76" customWidth="1"/>
    <col min="4616" max="4616" width="9.140625" style="76"/>
    <col min="4617" max="4617" width="11.7109375" style="76" bestFit="1" customWidth="1"/>
    <col min="4618" max="4866" width="9.140625" style="76"/>
    <col min="4867" max="4869" width="8.85546875" style="76" customWidth="1"/>
    <col min="4870" max="4870" width="39.42578125" style="76" customWidth="1"/>
    <col min="4871" max="4871" width="28.28515625" style="76" customWidth="1"/>
    <col min="4872" max="4872" width="9.140625" style="76"/>
    <col min="4873" max="4873" width="11.7109375" style="76" bestFit="1" customWidth="1"/>
    <col min="4874" max="5122" width="9.140625" style="76"/>
    <col min="5123" max="5125" width="8.85546875" style="76" customWidth="1"/>
    <col min="5126" max="5126" width="39.42578125" style="76" customWidth="1"/>
    <col min="5127" max="5127" width="28.28515625" style="76" customWidth="1"/>
    <col min="5128" max="5128" width="9.140625" style="76"/>
    <col min="5129" max="5129" width="11.7109375" style="76" bestFit="1" customWidth="1"/>
    <col min="5130" max="5378" width="9.140625" style="76"/>
    <col min="5379" max="5381" width="8.85546875" style="76" customWidth="1"/>
    <col min="5382" max="5382" width="39.42578125" style="76" customWidth="1"/>
    <col min="5383" max="5383" width="28.28515625" style="76" customWidth="1"/>
    <col min="5384" max="5384" width="9.140625" style="76"/>
    <col min="5385" max="5385" width="11.7109375" style="76" bestFit="1" customWidth="1"/>
    <col min="5386" max="5634" width="9.140625" style="76"/>
    <col min="5635" max="5637" width="8.85546875" style="76" customWidth="1"/>
    <col min="5638" max="5638" width="39.42578125" style="76" customWidth="1"/>
    <col min="5639" max="5639" width="28.28515625" style="76" customWidth="1"/>
    <col min="5640" max="5640" width="9.140625" style="76"/>
    <col min="5641" max="5641" width="11.7109375" style="76" bestFit="1" customWidth="1"/>
    <col min="5642" max="5890" width="9.140625" style="76"/>
    <col min="5891" max="5893" width="8.85546875" style="76" customWidth="1"/>
    <col min="5894" max="5894" width="39.42578125" style="76" customWidth="1"/>
    <col min="5895" max="5895" width="28.28515625" style="76" customWidth="1"/>
    <col min="5896" max="5896" width="9.140625" style="76"/>
    <col min="5897" max="5897" width="11.7109375" style="76" bestFit="1" customWidth="1"/>
    <col min="5898" max="6146" width="9.140625" style="76"/>
    <col min="6147" max="6149" width="8.85546875" style="76" customWidth="1"/>
    <col min="6150" max="6150" width="39.42578125" style="76" customWidth="1"/>
    <col min="6151" max="6151" width="28.28515625" style="76" customWidth="1"/>
    <col min="6152" max="6152" width="9.140625" style="76"/>
    <col min="6153" max="6153" width="11.7109375" style="76" bestFit="1" customWidth="1"/>
    <col min="6154" max="6402" width="9.140625" style="76"/>
    <col min="6403" max="6405" width="8.85546875" style="76" customWidth="1"/>
    <col min="6406" max="6406" width="39.42578125" style="76" customWidth="1"/>
    <col min="6407" max="6407" width="28.28515625" style="76" customWidth="1"/>
    <col min="6408" max="6408" width="9.140625" style="76"/>
    <col min="6409" max="6409" width="11.7109375" style="76" bestFit="1" customWidth="1"/>
    <col min="6410" max="6658" width="9.140625" style="76"/>
    <col min="6659" max="6661" width="8.85546875" style="76" customWidth="1"/>
    <col min="6662" max="6662" width="39.42578125" style="76" customWidth="1"/>
    <col min="6663" max="6663" width="28.28515625" style="76" customWidth="1"/>
    <col min="6664" max="6664" width="9.140625" style="76"/>
    <col min="6665" max="6665" width="11.7109375" style="76" bestFit="1" customWidth="1"/>
    <col min="6666" max="6914" width="9.140625" style="76"/>
    <col min="6915" max="6917" width="8.85546875" style="76" customWidth="1"/>
    <col min="6918" max="6918" width="39.42578125" style="76" customWidth="1"/>
    <col min="6919" max="6919" width="28.28515625" style="76" customWidth="1"/>
    <col min="6920" max="6920" width="9.140625" style="76"/>
    <col min="6921" max="6921" width="11.7109375" style="76" bestFit="1" customWidth="1"/>
    <col min="6922" max="7170" width="9.140625" style="76"/>
    <col min="7171" max="7173" width="8.85546875" style="76" customWidth="1"/>
    <col min="7174" max="7174" width="39.42578125" style="76" customWidth="1"/>
    <col min="7175" max="7175" width="28.28515625" style="76" customWidth="1"/>
    <col min="7176" max="7176" width="9.140625" style="76"/>
    <col min="7177" max="7177" width="11.7109375" style="76" bestFit="1" customWidth="1"/>
    <col min="7178" max="7426" width="9.140625" style="76"/>
    <col min="7427" max="7429" width="8.85546875" style="76" customWidth="1"/>
    <col min="7430" max="7430" width="39.42578125" style="76" customWidth="1"/>
    <col min="7431" max="7431" width="28.28515625" style="76" customWidth="1"/>
    <col min="7432" max="7432" width="9.140625" style="76"/>
    <col min="7433" max="7433" width="11.7109375" style="76" bestFit="1" customWidth="1"/>
    <col min="7434" max="7682" width="9.140625" style="76"/>
    <col min="7683" max="7685" width="8.85546875" style="76" customWidth="1"/>
    <col min="7686" max="7686" width="39.42578125" style="76" customWidth="1"/>
    <col min="7687" max="7687" width="28.28515625" style="76" customWidth="1"/>
    <col min="7688" max="7688" width="9.140625" style="76"/>
    <col min="7689" max="7689" width="11.7109375" style="76" bestFit="1" customWidth="1"/>
    <col min="7690" max="7938" width="9.140625" style="76"/>
    <col min="7939" max="7941" width="8.85546875" style="76" customWidth="1"/>
    <col min="7942" max="7942" width="39.42578125" style="76" customWidth="1"/>
    <col min="7943" max="7943" width="28.28515625" style="76" customWidth="1"/>
    <col min="7944" max="7944" width="9.140625" style="76"/>
    <col min="7945" max="7945" width="11.7109375" style="76" bestFit="1" customWidth="1"/>
    <col min="7946" max="8194" width="9.140625" style="76"/>
    <col min="8195" max="8197" width="8.85546875" style="76" customWidth="1"/>
    <col min="8198" max="8198" width="39.42578125" style="76" customWidth="1"/>
    <col min="8199" max="8199" width="28.28515625" style="76" customWidth="1"/>
    <col min="8200" max="8200" width="9.140625" style="76"/>
    <col min="8201" max="8201" width="11.7109375" style="76" bestFit="1" customWidth="1"/>
    <col min="8202" max="8450" width="9.140625" style="76"/>
    <col min="8451" max="8453" width="8.85546875" style="76" customWidth="1"/>
    <col min="8454" max="8454" width="39.42578125" style="76" customWidth="1"/>
    <col min="8455" max="8455" width="28.28515625" style="76" customWidth="1"/>
    <col min="8456" max="8456" width="9.140625" style="76"/>
    <col min="8457" max="8457" width="11.7109375" style="76" bestFit="1" customWidth="1"/>
    <col min="8458" max="8706" width="9.140625" style="76"/>
    <col min="8707" max="8709" width="8.85546875" style="76" customWidth="1"/>
    <col min="8710" max="8710" width="39.42578125" style="76" customWidth="1"/>
    <col min="8711" max="8711" width="28.28515625" style="76" customWidth="1"/>
    <col min="8712" max="8712" width="9.140625" style="76"/>
    <col min="8713" max="8713" width="11.7109375" style="76" bestFit="1" customWidth="1"/>
    <col min="8714" max="8962" width="9.140625" style="76"/>
    <col min="8963" max="8965" width="8.85546875" style="76" customWidth="1"/>
    <col min="8966" max="8966" width="39.42578125" style="76" customWidth="1"/>
    <col min="8967" max="8967" width="28.28515625" style="76" customWidth="1"/>
    <col min="8968" max="8968" width="9.140625" style="76"/>
    <col min="8969" max="8969" width="11.7109375" style="76" bestFit="1" customWidth="1"/>
    <col min="8970" max="9218" width="9.140625" style="76"/>
    <col min="9219" max="9221" width="8.85546875" style="76" customWidth="1"/>
    <col min="9222" max="9222" width="39.42578125" style="76" customWidth="1"/>
    <col min="9223" max="9223" width="28.28515625" style="76" customWidth="1"/>
    <col min="9224" max="9224" width="9.140625" style="76"/>
    <col min="9225" max="9225" width="11.7109375" style="76" bestFit="1" customWidth="1"/>
    <col min="9226" max="9474" width="9.140625" style="76"/>
    <col min="9475" max="9477" width="8.85546875" style="76" customWidth="1"/>
    <col min="9478" max="9478" width="39.42578125" style="76" customWidth="1"/>
    <col min="9479" max="9479" width="28.28515625" style="76" customWidth="1"/>
    <col min="9480" max="9480" width="9.140625" style="76"/>
    <col min="9481" max="9481" width="11.7109375" style="76" bestFit="1" customWidth="1"/>
    <col min="9482" max="9730" width="9.140625" style="76"/>
    <col min="9731" max="9733" width="8.85546875" style="76" customWidth="1"/>
    <col min="9734" max="9734" width="39.42578125" style="76" customWidth="1"/>
    <col min="9735" max="9735" width="28.28515625" style="76" customWidth="1"/>
    <col min="9736" max="9736" width="9.140625" style="76"/>
    <col min="9737" max="9737" width="11.7109375" style="76" bestFit="1" customWidth="1"/>
    <col min="9738" max="9986" width="9.140625" style="76"/>
    <col min="9987" max="9989" width="8.85546875" style="76" customWidth="1"/>
    <col min="9990" max="9990" width="39.42578125" style="76" customWidth="1"/>
    <col min="9991" max="9991" width="28.28515625" style="76" customWidth="1"/>
    <col min="9992" max="9992" width="9.140625" style="76"/>
    <col min="9993" max="9993" width="11.7109375" style="76" bestFit="1" customWidth="1"/>
    <col min="9994" max="10242" width="9.140625" style="76"/>
    <col min="10243" max="10245" width="8.85546875" style="76" customWidth="1"/>
    <col min="10246" max="10246" width="39.42578125" style="76" customWidth="1"/>
    <col min="10247" max="10247" width="28.28515625" style="76" customWidth="1"/>
    <col min="10248" max="10248" width="9.140625" style="76"/>
    <col min="10249" max="10249" width="11.7109375" style="76" bestFit="1" customWidth="1"/>
    <col min="10250" max="10498" width="9.140625" style="76"/>
    <col min="10499" max="10501" width="8.85546875" style="76" customWidth="1"/>
    <col min="10502" max="10502" width="39.42578125" style="76" customWidth="1"/>
    <col min="10503" max="10503" width="28.28515625" style="76" customWidth="1"/>
    <col min="10504" max="10504" width="9.140625" style="76"/>
    <col min="10505" max="10505" width="11.7109375" style="76" bestFit="1" customWidth="1"/>
    <col min="10506" max="10754" width="9.140625" style="76"/>
    <col min="10755" max="10757" width="8.85546875" style="76" customWidth="1"/>
    <col min="10758" max="10758" width="39.42578125" style="76" customWidth="1"/>
    <col min="10759" max="10759" width="28.28515625" style="76" customWidth="1"/>
    <col min="10760" max="10760" width="9.140625" style="76"/>
    <col min="10761" max="10761" width="11.7109375" style="76" bestFit="1" customWidth="1"/>
    <col min="10762" max="11010" width="9.140625" style="76"/>
    <col min="11011" max="11013" width="8.85546875" style="76" customWidth="1"/>
    <col min="11014" max="11014" width="39.42578125" style="76" customWidth="1"/>
    <col min="11015" max="11015" width="28.28515625" style="76" customWidth="1"/>
    <col min="11016" max="11016" width="9.140625" style="76"/>
    <col min="11017" max="11017" width="11.7109375" style="76" bestFit="1" customWidth="1"/>
    <col min="11018" max="11266" width="9.140625" style="76"/>
    <col min="11267" max="11269" width="8.85546875" style="76" customWidth="1"/>
    <col min="11270" max="11270" width="39.42578125" style="76" customWidth="1"/>
    <col min="11271" max="11271" width="28.28515625" style="76" customWidth="1"/>
    <col min="11272" max="11272" width="9.140625" style="76"/>
    <col min="11273" max="11273" width="11.7109375" style="76" bestFit="1" customWidth="1"/>
    <col min="11274" max="11522" width="9.140625" style="76"/>
    <col min="11523" max="11525" width="8.85546875" style="76" customWidth="1"/>
    <col min="11526" max="11526" width="39.42578125" style="76" customWidth="1"/>
    <col min="11527" max="11527" width="28.28515625" style="76" customWidth="1"/>
    <col min="11528" max="11528" width="9.140625" style="76"/>
    <col min="11529" max="11529" width="11.7109375" style="76" bestFit="1" customWidth="1"/>
    <col min="11530" max="11778" width="9.140625" style="76"/>
    <col min="11779" max="11781" width="8.85546875" style="76" customWidth="1"/>
    <col min="11782" max="11782" width="39.42578125" style="76" customWidth="1"/>
    <col min="11783" max="11783" width="28.28515625" style="76" customWidth="1"/>
    <col min="11784" max="11784" width="9.140625" style="76"/>
    <col min="11785" max="11785" width="11.7109375" style="76" bestFit="1" customWidth="1"/>
    <col min="11786" max="12034" width="9.140625" style="76"/>
    <col min="12035" max="12037" width="8.85546875" style="76" customWidth="1"/>
    <col min="12038" max="12038" width="39.42578125" style="76" customWidth="1"/>
    <col min="12039" max="12039" width="28.28515625" style="76" customWidth="1"/>
    <col min="12040" max="12040" width="9.140625" style="76"/>
    <col min="12041" max="12041" width="11.7109375" style="76" bestFit="1" customWidth="1"/>
    <col min="12042" max="12290" width="9.140625" style="76"/>
    <col min="12291" max="12293" width="8.85546875" style="76" customWidth="1"/>
    <col min="12294" max="12294" width="39.42578125" style="76" customWidth="1"/>
    <col min="12295" max="12295" width="28.28515625" style="76" customWidth="1"/>
    <col min="12296" max="12296" width="9.140625" style="76"/>
    <col min="12297" max="12297" width="11.7109375" style="76" bestFit="1" customWidth="1"/>
    <col min="12298" max="12546" width="9.140625" style="76"/>
    <col min="12547" max="12549" width="8.85546875" style="76" customWidth="1"/>
    <col min="12550" max="12550" width="39.42578125" style="76" customWidth="1"/>
    <col min="12551" max="12551" width="28.28515625" style="76" customWidth="1"/>
    <col min="12552" max="12552" width="9.140625" style="76"/>
    <col min="12553" max="12553" width="11.7109375" style="76" bestFit="1" customWidth="1"/>
    <col min="12554" max="12802" width="9.140625" style="76"/>
    <col min="12803" max="12805" width="8.85546875" style="76" customWidth="1"/>
    <col min="12806" max="12806" width="39.42578125" style="76" customWidth="1"/>
    <col min="12807" max="12807" width="28.28515625" style="76" customWidth="1"/>
    <col min="12808" max="12808" width="9.140625" style="76"/>
    <col min="12809" max="12809" width="11.7109375" style="76" bestFit="1" customWidth="1"/>
    <col min="12810" max="13058" width="9.140625" style="76"/>
    <col min="13059" max="13061" width="8.85546875" style="76" customWidth="1"/>
    <col min="13062" max="13062" width="39.42578125" style="76" customWidth="1"/>
    <col min="13063" max="13063" width="28.28515625" style="76" customWidth="1"/>
    <col min="13064" max="13064" width="9.140625" style="76"/>
    <col min="13065" max="13065" width="11.7109375" style="76" bestFit="1" customWidth="1"/>
    <col min="13066" max="13314" width="9.140625" style="76"/>
    <col min="13315" max="13317" width="8.85546875" style="76" customWidth="1"/>
    <col min="13318" max="13318" width="39.42578125" style="76" customWidth="1"/>
    <col min="13319" max="13319" width="28.28515625" style="76" customWidth="1"/>
    <col min="13320" max="13320" width="9.140625" style="76"/>
    <col min="13321" max="13321" width="11.7109375" style="76" bestFit="1" customWidth="1"/>
    <col min="13322" max="13570" width="9.140625" style="76"/>
    <col min="13571" max="13573" width="8.85546875" style="76" customWidth="1"/>
    <col min="13574" max="13574" width="39.42578125" style="76" customWidth="1"/>
    <col min="13575" max="13575" width="28.28515625" style="76" customWidth="1"/>
    <col min="13576" max="13576" width="9.140625" style="76"/>
    <col min="13577" max="13577" width="11.7109375" style="76" bestFit="1" customWidth="1"/>
    <col min="13578" max="13826" width="9.140625" style="76"/>
    <col min="13827" max="13829" width="8.85546875" style="76" customWidth="1"/>
    <col min="13830" max="13830" width="39.42578125" style="76" customWidth="1"/>
    <col min="13831" max="13831" width="28.28515625" style="76" customWidth="1"/>
    <col min="13832" max="13832" width="9.140625" style="76"/>
    <col min="13833" max="13833" width="11.7109375" style="76" bestFit="1" customWidth="1"/>
    <col min="13834" max="14082" width="9.140625" style="76"/>
    <col min="14083" max="14085" width="8.85546875" style="76" customWidth="1"/>
    <col min="14086" max="14086" width="39.42578125" style="76" customWidth="1"/>
    <col min="14087" max="14087" width="28.28515625" style="76" customWidth="1"/>
    <col min="14088" max="14088" width="9.140625" style="76"/>
    <col min="14089" max="14089" width="11.7109375" style="76" bestFit="1" customWidth="1"/>
    <col min="14090" max="14338" width="9.140625" style="76"/>
    <col min="14339" max="14341" width="8.85546875" style="76" customWidth="1"/>
    <col min="14342" max="14342" width="39.42578125" style="76" customWidth="1"/>
    <col min="14343" max="14343" width="28.28515625" style="76" customWidth="1"/>
    <col min="14344" max="14344" width="9.140625" style="76"/>
    <col min="14345" max="14345" width="11.7109375" style="76" bestFit="1" customWidth="1"/>
    <col min="14346" max="14594" width="9.140625" style="76"/>
    <col min="14595" max="14597" width="8.85546875" style="76" customWidth="1"/>
    <col min="14598" max="14598" width="39.42578125" style="76" customWidth="1"/>
    <col min="14599" max="14599" width="28.28515625" style="76" customWidth="1"/>
    <col min="14600" max="14600" width="9.140625" style="76"/>
    <col min="14601" max="14601" width="11.7109375" style="76" bestFit="1" customWidth="1"/>
    <col min="14602" max="14850" width="9.140625" style="76"/>
    <col min="14851" max="14853" width="8.85546875" style="76" customWidth="1"/>
    <col min="14854" max="14854" width="39.42578125" style="76" customWidth="1"/>
    <col min="14855" max="14855" width="28.28515625" style="76" customWidth="1"/>
    <col min="14856" max="14856" width="9.140625" style="76"/>
    <col min="14857" max="14857" width="11.7109375" style="76" bestFit="1" customWidth="1"/>
    <col min="14858" max="15106" width="9.140625" style="76"/>
    <col min="15107" max="15109" width="8.85546875" style="76" customWidth="1"/>
    <col min="15110" max="15110" width="39.42578125" style="76" customWidth="1"/>
    <col min="15111" max="15111" width="28.28515625" style="76" customWidth="1"/>
    <col min="15112" max="15112" width="9.140625" style="76"/>
    <col min="15113" max="15113" width="11.7109375" style="76" bestFit="1" customWidth="1"/>
    <col min="15114" max="15362" width="9.140625" style="76"/>
    <col min="15363" max="15365" width="8.85546875" style="76" customWidth="1"/>
    <col min="15366" max="15366" width="39.42578125" style="76" customWidth="1"/>
    <col min="15367" max="15367" width="28.28515625" style="76" customWidth="1"/>
    <col min="15368" max="15368" width="9.140625" style="76"/>
    <col min="15369" max="15369" width="11.7109375" style="76" bestFit="1" customWidth="1"/>
    <col min="15370" max="15618" width="9.140625" style="76"/>
    <col min="15619" max="15621" width="8.85546875" style="76" customWidth="1"/>
    <col min="15622" max="15622" width="39.42578125" style="76" customWidth="1"/>
    <col min="15623" max="15623" width="28.28515625" style="76" customWidth="1"/>
    <col min="15624" max="15624" width="9.140625" style="76"/>
    <col min="15625" max="15625" width="11.7109375" style="76" bestFit="1" customWidth="1"/>
    <col min="15626" max="15874" width="9.140625" style="76"/>
    <col min="15875" max="15877" width="8.85546875" style="76" customWidth="1"/>
    <col min="15878" max="15878" width="39.42578125" style="76" customWidth="1"/>
    <col min="15879" max="15879" width="28.28515625" style="76" customWidth="1"/>
    <col min="15880" max="15880" width="9.140625" style="76"/>
    <col min="15881" max="15881" width="11.7109375" style="76" bestFit="1" customWidth="1"/>
    <col min="15882" max="16130" width="9.140625" style="76"/>
    <col min="16131" max="16133" width="8.85546875" style="76" customWidth="1"/>
    <col min="16134" max="16134" width="39.42578125" style="76" customWidth="1"/>
    <col min="16135" max="16135" width="28.28515625" style="76" customWidth="1"/>
    <col min="16136" max="16136" width="9.140625" style="76"/>
    <col min="16137" max="16137" width="11.7109375" style="76" bestFit="1" customWidth="1"/>
    <col min="16138" max="16384" width="9.140625" style="76"/>
  </cols>
  <sheetData>
    <row r="1" spans="1:7" s="75" customFormat="1" ht="15" customHeight="1" x14ac:dyDescent="0.25">
      <c r="D1" s="274" t="s">
        <v>137</v>
      </c>
      <c r="E1" s="274"/>
      <c r="F1" s="274"/>
      <c r="G1" s="274"/>
    </row>
    <row r="2" spans="1:7" s="75" customFormat="1" ht="15" customHeight="1" x14ac:dyDescent="0.25">
      <c r="D2" s="274" t="s">
        <v>83</v>
      </c>
      <c r="E2" s="274"/>
      <c r="F2" s="274"/>
      <c r="G2" s="274"/>
    </row>
    <row r="3" spans="1:7" s="75" customFormat="1" ht="15" customHeight="1" x14ac:dyDescent="0.25">
      <c r="D3" s="274" t="s">
        <v>62</v>
      </c>
      <c r="E3" s="274"/>
      <c r="F3" s="274"/>
      <c r="G3" s="274"/>
    </row>
    <row r="4" spans="1:7" ht="65.25" customHeight="1" x14ac:dyDescent="0.3">
      <c r="A4" s="275" t="s">
        <v>215</v>
      </c>
      <c r="B4" s="275"/>
      <c r="C4" s="275"/>
      <c r="D4" s="275"/>
      <c r="E4" s="275"/>
      <c r="F4" s="275"/>
      <c r="G4" s="275"/>
    </row>
    <row r="5" spans="1:7" ht="14.45" customHeight="1" x14ac:dyDescent="0.3">
      <c r="G5" s="78" t="s">
        <v>64</v>
      </c>
    </row>
    <row r="6" spans="1:7" ht="54.75" customHeight="1" x14ac:dyDescent="0.3">
      <c r="A6" s="276" t="s">
        <v>138</v>
      </c>
      <c r="B6" s="278" t="s">
        <v>139</v>
      </c>
      <c r="C6" s="278" t="s">
        <v>4</v>
      </c>
      <c r="D6" s="279" t="s">
        <v>140</v>
      </c>
      <c r="E6" s="281"/>
      <c r="F6" s="281"/>
      <c r="G6" s="281"/>
    </row>
    <row r="7" spans="1:7" ht="72.75" customHeight="1" x14ac:dyDescent="0.3">
      <c r="A7" s="277"/>
      <c r="B7" s="278"/>
      <c r="C7" s="278"/>
      <c r="D7" s="280"/>
      <c r="E7" s="5" t="s">
        <v>16</v>
      </c>
      <c r="F7" s="5" t="s">
        <v>17</v>
      </c>
      <c r="G7" s="4" t="s">
        <v>7</v>
      </c>
    </row>
    <row r="8" spans="1:7" x14ac:dyDescent="0.3">
      <c r="A8" s="79"/>
      <c r="B8" s="79"/>
      <c r="C8" s="79"/>
      <c r="D8" s="93" t="s">
        <v>141</v>
      </c>
      <c r="E8" s="101">
        <f>SUM(E10+E27)</f>
        <v>0</v>
      </c>
      <c r="F8" s="101">
        <f>SUM(F10+F27)</f>
        <v>-3.7834979593753815E-10</v>
      </c>
      <c r="G8" s="101">
        <f>SUM(G10+G27)</f>
        <v>1.7462298274040222E-10</v>
      </c>
    </row>
    <row r="9" spans="1:7" s="53" customFormat="1" ht="17.25" x14ac:dyDescent="0.3">
      <c r="A9" s="80"/>
      <c r="B9" s="80"/>
      <c r="C9" s="80"/>
      <c r="D9" s="95" t="s">
        <v>8</v>
      </c>
      <c r="E9" s="97"/>
      <c r="F9" s="97"/>
      <c r="G9" s="98"/>
    </row>
    <row r="10" spans="1:7" s="53" customFormat="1" ht="21.75" customHeight="1" x14ac:dyDescent="0.25">
      <c r="A10" s="81" t="s">
        <v>10</v>
      </c>
      <c r="B10" s="81"/>
      <c r="C10" s="81"/>
      <c r="D10" s="94" t="s">
        <v>142</v>
      </c>
      <c r="E10" s="101">
        <f t="shared" ref="E10:G10" si="0">SUM(E12)</f>
        <v>0</v>
      </c>
      <c r="F10" s="101">
        <f t="shared" si="0"/>
        <v>-40000.000000000378</v>
      </c>
      <c r="G10" s="101">
        <f t="shared" si="0"/>
        <v>-39999.999999999825</v>
      </c>
    </row>
    <row r="11" spans="1:7" s="53" customFormat="1" x14ac:dyDescent="0.25">
      <c r="A11" s="81"/>
      <c r="B11" s="81"/>
      <c r="C11" s="81"/>
      <c r="D11" s="82" t="s">
        <v>8</v>
      </c>
      <c r="E11" s="101"/>
      <c r="F11" s="101"/>
      <c r="G11" s="101"/>
    </row>
    <row r="12" spans="1:7" s="53" customFormat="1" x14ac:dyDescent="0.25">
      <c r="A12" s="81"/>
      <c r="B12" s="81" t="s">
        <v>11</v>
      </c>
      <c r="C12" s="81"/>
      <c r="D12" s="83" t="s">
        <v>143</v>
      </c>
      <c r="E12" s="101">
        <f t="shared" ref="E12:G12" si="1">SUM(E14)</f>
        <v>0</v>
      </c>
      <c r="F12" s="101">
        <f t="shared" si="1"/>
        <v>-40000.000000000378</v>
      </c>
      <c r="G12" s="101">
        <f t="shared" si="1"/>
        <v>-39999.999999999825</v>
      </c>
    </row>
    <row r="13" spans="1:7" s="53" customFormat="1" x14ac:dyDescent="0.3">
      <c r="A13" s="81"/>
      <c r="B13" s="81"/>
      <c r="C13" s="81"/>
      <c r="D13" s="82" t="s">
        <v>8</v>
      </c>
      <c r="E13" s="99"/>
      <c r="F13" s="99"/>
      <c r="G13" s="100"/>
    </row>
    <row r="14" spans="1:7" s="53" customFormat="1" x14ac:dyDescent="0.25">
      <c r="A14" s="81"/>
      <c r="B14" s="81"/>
      <c r="C14" s="81" t="s">
        <v>12</v>
      </c>
      <c r="D14" s="83" t="s">
        <v>144</v>
      </c>
      <c r="E14" s="101">
        <f>SUM(E16+E22)</f>
        <v>0</v>
      </c>
      <c r="F14" s="101">
        <f t="shared" ref="F14:G14" si="2">SUM(F16+F22)</f>
        <v>-40000.000000000378</v>
      </c>
      <c r="G14" s="101">
        <f t="shared" si="2"/>
        <v>-39999.999999999825</v>
      </c>
    </row>
    <row r="15" spans="1:7" s="53" customFormat="1" x14ac:dyDescent="0.25">
      <c r="A15" s="81"/>
      <c r="B15" s="81"/>
      <c r="C15" s="81"/>
      <c r="D15" s="82" t="s">
        <v>8</v>
      </c>
      <c r="E15" s="101"/>
      <c r="F15" s="101"/>
      <c r="G15" s="101"/>
    </row>
    <row r="16" spans="1:7" s="86" customFormat="1" ht="34.5" customHeight="1" x14ac:dyDescent="0.3">
      <c r="A16" s="84"/>
      <c r="B16" s="84"/>
      <c r="C16" s="84"/>
      <c r="D16" s="85" t="s">
        <v>145</v>
      </c>
      <c r="E16" s="101">
        <f t="shared" ref="E16:G16" si="3">SUM(E18+E21)</f>
        <v>-135018.5</v>
      </c>
      <c r="F16" s="101">
        <f t="shared" si="3"/>
        <v>-278699.90000000037</v>
      </c>
      <c r="G16" s="101">
        <f t="shared" si="3"/>
        <v>-354663.79999999981</v>
      </c>
    </row>
    <row r="17" spans="1:9" s="86" customFormat="1" x14ac:dyDescent="0.3">
      <c r="A17" s="87"/>
      <c r="B17" s="87"/>
      <c r="C17" s="87"/>
      <c r="D17" s="90" t="s">
        <v>146</v>
      </c>
      <c r="E17" s="96"/>
      <c r="F17" s="96"/>
      <c r="G17" s="96"/>
    </row>
    <row r="18" spans="1:9" s="86" customFormat="1" ht="60" customHeight="1" x14ac:dyDescent="0.3">
      <c r="A18" s="87"/>
      <c r="B18" s="87"/>
      <c r="C18" s="87"/>
      <c r="D18" s="91" t="s">
        <v>147</v>
      </c>
      <c r="E18" s="99">
        <f>SUM(E19:E20)</f>
        <v>2217115.6</v>
      </c>
      <c r="F18" s="99">
        <f>SUM(F19:F20)</f>
        <v>3837534.8</v>
      </c>
      <c r="G18" s="99">
        <f t="shared" ref="G18" si="4">SUM(G19:G20)</f>
        <v>5525671.5</v>
      </c>
    </row>
    <row r="19" spans="1:9" s="86" customFormat="1" ht="33" x14ac:dyDescent="0.3">
      <c r="A19" s="87"/>
      <c r="B19" s="87"/>
      <c r="C19" s="87"/>
      <c r="D19" s="91" t="s">
        <v>84</v>
      </c>
      <c r="E19" s="99">
        <f>2217115.6+36585</f>
        <v>2253700.6</v>
      </c>
      <c r="F19" s="99">
        <f>3877534.8+36585-40000</f>
        <v>3874119.8</v>
      </c>
      <c r="G19" s="99">
        <f>5525671.5-61925</f>
        <v>5463746.5</v>
      </c>
    </row>
    <row r="20" spans="1:9" s="86" customFormat="1" ht="28.5" customHeight="1" x14ac:dyDescent="0.3">
      <c r="A20" s="87"/>
      <c r="B20" s="87"/>
      <c r="C20" s="87"/>
      <c r="D20" s="92" t="s">
        <v>85</v>
      </c>
      <c r="E20" s="102">
        <v>-36585</v>
      </c>
      <c r="F20" s="102">
        <v>-36585</v>
      </c>
      <c r="G20" s="102">
        <v>61925</v>
      </c>
    </row>
    <row r="21" spans="1:9" s="86" customFormat="1" ht="25.5" customHeight="1" x14ac:dyDescent="0.3">
      <c r="A21" s="87"/>
      <c r="B21" s="87"/>
      <c r="C21" s="87"/>
      <c r="D21" s="92" t="s">
        <v>149</v>
      </c>
      <c r="E21" s="102">
        <v>-2352134.1</v>
      </c>
      <c r="F21" s="102">
        <v>-4116234.7</v>
      </c>
      <c r="G21" s="102">
        <v>-5880335.2999999998</v>
      </c>
    </row>
    <row r="22" spans="1:9" ht="33" x14ac:dyDescent="0.3">
      <c r="A22" s="88"/>
      <c r="B22" s="88"/>
      <c r="C22" s="88"/>
      <c r="D22" s="85" t="s">
        <v>148</v>
      </c>
      <c r="E22" s="96">
        <f t="shared" ref="E22:G22" si="5">SUM(E24)</f>
        <v>135018.5</v>
      </c>
      <c r="F22" s="96">
        <f t="shared" si="5"/>
        <v>238699.9</v>
      </c>
      <c r="G22" s="96">
        <f t="shared" si="5"/>
        <v>314663.8</v>
      </c>
      <c r="I22" s="89"/>
    </row>
    <row r="23" spans="1:9" x14ac:dyDescent="0.3">
      <c r="A23" s="88"/>
      <c r="B23" s="88"/>
      <c r="C23" s="88"/>
      <c r="D23" s="90" t="s">
        <v>146</v>
      </c>
      <c r="E23" s="96"/>
      <c r="F23" s="96"/>
      <c r="G23" s="96"/>
    </row>
    <row r="24" spans="1:9" ht="53.25" customHeight="1" x14ac:dyDescent="0.3">
      <c r="A24" s="88"/>
      <c r="B24" s="88"/>
      <c r="C24" s="88"/>
      <c r="D24" s="91" t="s">
        <v>147</v>
      </c>
      <c r="E24" s="96">
        <f t="shared" ref="E24:F24" si="6">SUM(E25:E26)</f>
        <v>135018.5</v>
      </c>
      <c r="F24" s="96">
        <f t="shared" si="6"/>
        <v>238699.9</v>
      </c>
      <c r="G24" s="96">
        <f>SUM(G25:G26)</f>
        <v>314663.8</v>
      </c>
    </row>
    <row r="25" spans="1:9" ht="33" x14ac:dyDescent="0.3">
      <c r="A25" s="88"/>
      <c r="B25" s="88"/>
      <c r="C25" s="88"/>
      <c r="D25" s="91" t="s">
        <v>84</v>
      </c>
      <c r="E25" s="99">
        <f>SUM(2791.6+135018.5)</f>
        <v>137810.1</v>
      </c>
      <c r="F25" s="99">
        <f>238699.9+2791.6</f>
        <v>241491.5</v>
      </c>
      <c r="G25" s="99">
        <f>314663.8-148.4</f>
        <v>314515.39999999997</v>
      </c>
    </row>
    <row r="26" spans="1:9" s="86" customFormat="1" ht="26.25" customHeight="1" x14ac:dyDescent="0.3">
      <c r="A26" s="162"/>
      <c r="B26" s="162"/>
      <c r="C26" s="162"/>
      <c r="D26" s="163" t="s">
        <v>85</v>
      </c>
      <c r="E26" s="164">
        <v>-2791.6</v>
      </c>
      <c r="F26" s="164">
        <v>-2791.6</v>
      </c>
      <c r="G26" s="164">
        <v>148.4</v>
      </c>
    </row>
    <row r="27" spans="1:9" ht="33" x14ac:dyDescent="0.3">
      <c r="A27" s="171">
        <v>11</v>
      </c>
      <c r="B27" s="171"/>
      <c r="C27" s="171"/>
      <c r="D27" s="172" t="s">
        <v>220</v>
      </c>
      <c r="E27" s="173">
        <f t="shared" ref="E27:G27" si="7">SUM(E29)</f>
        <v>0</v>
      </c>
      <c r="F27" s="173">
        <f t="shared" si="7"/>
        <v>40000</v>
      </c>
      <c r="G27" s="173">
        <f t="shared" si="7"/>
        <v>40000</v>
      </c>
    </row>
    <row r="28" spans="1:9" x14ac:dyDescent="0.3">
      <c r="A28" s="171"/>
      <c r="B28" s="171"/>
      <c r="C28" s="171"/>
      <c r="D28" s="171" t="s">
        <v>8</v>
      </c>
      <c r="E28" s="174"/>
      <c r="F28" s="174"/>
      <c r="G28" s="174"/>
    </row>
    <row r="29" spans="1:9" ht="33" x14ac:dyDescent="0.3">
      <c r="A29" s="171"/>
      <c r="B29" s="81" t="s">
        <v>12</v>
      </c>
      <c r="C29" s="171"/>
      <c r="D29" s="175" t="s">
        <v>221</v>
      </c>
      <c r="E29" s="174">
        <f>SUM(E31)</f>
        <v>0</v>
      </c>
      <c r="F29" s="174">
        <f t="shared" ref="F29:G29" si="8">SUM(F31)</f>
        <v>40000</v>
      </c>
      <c r="G29" s="174">
        <f t="shared" si="8"/>
        <v>40000</v>
      </c>
    </row>
    <row r="30" spans="1:9" x14ac:dyDescent="0.3">
      <c r="A30" s="171"/>
      <c r="B30" s="171"/>
      <c r="C30" s="171"/>
      <c r="D30" s="171" t="s">
        <v>8</v>
      </c>
      <c r="E30" s="174"/>
      <c r="F30" s="174"/>
      <c r="G30" s="174"/>
    </row>
    <row r="31" spans="1:9" x14ac:dyDescent="0.3">
      <c r="A31" s="171"/>
      <c r="B31" s="171"/>
      <c r="C31" s="81" t="s">
        <v>12</v>
      </c>
      <c r="D31" s="171" t="s">
        <v>222</v>
      </c>
      <c r="E31" s="174">
        <f>SUM(E33)</f>
        <v>0</v>
      </c>
      <c r="F31" s="174">
        <f t="shared" ref="F31:G31" si="9">SUM(F33)</f>
        <v>40000</v>
      </c>
      <c r="G31" s="174">
        <f t="shared" si="9"/>
        <v>40000</v>
      </c>
    </row>
    <row r="32" spans="1:9" x14ac:dyDescent="0.3">
      <c r="A32" s="176"/>
      <c r="B32" s="176"/>
      <c r="C32" s="176"/>
      <c r="D32" s="171" t="s">
        <v>8</v>
      </c>
      <c r="E32" s="174"/>
      <c r="F32" s="174"/>
      <c r="G32" s="174"/>
    </row>
    <row r="33" spans="1:7" ht="33" x14ac:dyDescent="0.3">
      <c r="A33" s="176"/>
      <c r="B33" s="176"/>
      <c r="C33" s="176"/>
      <c r="D33" s="171" t="s">
        <v>223</v>
      </c>
      <c r="E33" s="174">
        <v>0</v>
      </c>
      <c r="F33" s="174">
        <v>40000</v>
      </c>
      <c r="G33" s="174">
        <v>40000</v>
      </c>
    </row>
    <row r="34" spans="1:7" x14ac:dyDescent="0.3">
      <c r="A34" s="176"/>
      <c r="B34" s="176"/>
      <c r="C34" s="176"/>
      <c r="D34" s="177" t="s">
        <v>149</v>
      </c>
      <c r="E34" s="174">
        <v>0</v>
      </c>
      <c r="F34" s="174">
        <v>40000</v>
      </c>
      <c r="G34" s="174">
        <v>40000</v>
      </c>
    </row>
  </sheetData>
  <mergeCells count="9">
    <mergeCell ref="D1:G1"/>
    <mergeCell ref="D2:G2"/>
    <mergeCell ref="D3:G3"/>
    <mergeCell ref="A4:G4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2"/>
  <sheetViews>
    <sheetView view="pageBreakPreview" zoomScale="25" zoomScaleNormal="100" zoomScaleSheetLayoutView="25" workbookViewId="0">
      <selection activeCell="I15" sqref="I15"/>
    </sheetView>
  </sheetViews>
  <sheetFormatPr defaultRowHeight="13.5" x14ac:dyDescent="0.25"/>
  <cols>
    <col min="1" max="1" width="4" style="53" customWidth="1"/>
    <col min="2" max="2" width="4.7109375" style="53" customWidth="1"/>
    <col min="3" max="3" width="5.28515625" style="53" customWidth="1"/>
    <col min="4" max="4" width="6.28515625" style="53" customWidth="1"/>
    <col min="5" max="5" width="42.7109375" style="53" customWidth="1"/>
    <col min="6" max="6" width="17.7109375" style="224" bestFit="1" customWidth="1"/>
    <col min="7" max="7" width="19.5703125" style="224" customWidth="1"/>
    <col min="8" max="8" width="18.42578125" style="224" customWidth="1"/>
    <col min="9" max="9" width="19.5703125" style="224" customWidth="1"/>
    <col min="10" max="10" width="15" style="231" customWidth="1"/>
    <col min="11" max="11" width="16.7109375" style="53" customWidth="1"/>
    <col min="12" max="237" width="9.140625" style="53"/>
    <col min="238" max="238" width="6.28515625" style="53" customWidth="1"/>
    <col min="239" max="239" width="7.5703125" style="53" customWidth="1"/>
    <col min="240" max="240" width="9.140625" style="53" customWidth="1"/>
    <col min="241" max="241" width="42.28515625" style="53" customWidth="1"/>
    <col min="242" max="242" width="16.7109375" style="53" customWidth="1"/>
    <col min="243" max="243" width="17.7109375" style="53" bestFit="1" customWidth="1"/>
    <col min="244" max="244" width="16.85546875" style="53" bestFit="1" customWidth="1"/>
    <col min="245" max="245" width="15.42578125" style="53" customWidth="1"/>
    <col min="246" max="246" width="14.28515625" style="53" customWidth="1"/>
    <col min="247" max="265" width="0" style="53" hidden="1" customWidth="1"/>
    <col min="266" max="266" width="9.140625" style="53"/>
    <col min="267" max="267" width="13.28515625" style="53" customWidth="1"/>
    <col min="268" max="493" width="9.140625" style="53"/>
    <col min="494" max="494" width="6.28515625" style="53" customWidth="1"/>
    <col min="495" max="495" width="7.5703125" style="53" customWidth="1"/>
    <col min="496" max="496" width="9.140625" style="53" customWidth="1"/>
    <col min="497" max="497" width="42.28515625" style="53" customWidth="1"/>
    <col min="498" max="498" width="16.7109375" style="53" customWidth="1"/>
    <col min="499" max="499" width="17.7109375" style="53" bestFit="1" customWidth="1"/>
    <col min="500" max="500" width="16.85546875" style="53" bestFit="1" customWidth="1"/>
    <col min="501" max="501" width="15.42578125" style="53" customWidth="1"/>
    <col min="502" max="502" width="14.28515625" style="53" customWidth="1"/>
    <col min="503" max="521" width="0" style="53" hidden="1" customWidth="1"/>
    <col min="522" max="522" width="9.140625" style="53"/>
    <col min="523" max="523" width="13.28515625" style="53" customWidth="1"/>
    <col min="524" max="749" width="9.140625" style="53"/>
    <col min="750" max="750" width="6.28515625" style="53" customWidth="1"/>
    <col min="751" max="751" width="7.5703125" style="53" customWidth="1"/>
    <col min="752" max="752" width="9.140625" style="53" customWidth="1"/>
    <col min="753" max="753" width="42.28515625" style="53" customWidth="1"/>
    <col min="754" max="754" width="16.7109375" style="53" customWidth="1"/>
    <col min="755" max="755" width="17.7109375" style="53" bestFit="1" customWidth="1"/>
    <col min="756" max="756" width="16.85546875" style="53" bestFit="1" customWidth="1"/>
    <col min="757" max="757" width="15.42578125" style="53" customWidth="1"/>
    <col min="758" max="758" width="14.28515625" style="53" customWidth="1"/>
    <col min="759" max="777" width="0" style="53" hidden="1" customWidth="1"/>
    <col min="778" max="778" width="9.140625" style="53"/>
    <col min="779" max="779" width="13.28515625" style="53" customWidth="1"/>
    <col min="780" max="1005" width="9.140625" style="53"/>
    <col min="1006" max="1006" width="6.28515625" style="53" customWidth="1"/>
    <col min="1007" max="1007" width="7.5703125" style="53" customWidth="1"/>
    <col min="1008" max="1008" width="9.140625" style="53" customWidth="1"/>
    <col min="1009" max="1009" width="42.28515625" style="53" customWidth="1"/>
    <col min="1010" max="1010" width="16.7109375" style="53" customWidth="1"/>
    <col min="1011" max="1011" width="17.7109375" style="53" bestFit="1" customWidth="1"/>
    <col min="1012" max="1012" width="16.85546875" style="53" bestFit="1" customWidth="1"/>
    <col min="1013" max="1013" width="15.42578125" style="53" customWidth="1"/>
    <col min="1014" max="1014" width="14.28515625" style="53" customWidth="1"/>
    <col min="1015" max="1033" width="0" style="53" hidden="1" customWidth="1"/>
    <col min="1034" max="1034" width="9.140625" style="53"/>
    <col min="1035" max="1035" width="13.28515625" style="53" customWidth="1"/>
    <col min="1036" max="1261" width="9.140625" style="53"/>
    <col min="1262" max="1262" width="6.28515625" style="53" customWidth="1"/>
    <col min="1263" max="1263" width="7.5703125" style="53" customWidth="1"/>
    <col min="1264" max="1264" width="9.140625" style="53" customWidth="1"/>
    <col min="1265" max="1265" width="42.28515625" style="53" customWidth="1"/>
    <col min="1266" max="1266" width="16.7109375" style="53" customWidth="1"/>
    <col min="1267" max="1267" width="17.7109375" style="53" bestFit="1" customWidth="1"/>
    <col min="1268" max="1268" width="16.85546875" style="53" bestFit="1" customWidth="1"/>
    <col min="1269" max="1269" width="15.42578125" style="53" customWidth="1"/>
    <col min="1270" max="1270" width="14.28515625" style="53" customWidth="1"/>
    <col min="1271" max="1289" width="0" style="53" hidden="1" customWidth="1"/>
    <col min="1290" max="1290" width="9.140625" style="53"/>
    <col min="1291" max="1291" width="13.28515625" style="53" customWidth="1"/>
    <col min="1292" max="1517" width="9.140625" style="53"/>
    <col min="1518" max="1518" width="6.28515625" style="53" customWidth="1"/>
    <col min="1519" max="1519" width="7.5703125" style="53" customWidth="1"/>
    <col min="1520" max="1520" width="9.140625" style="53" customWidth="1"/>
    <col min="1521" max="1521" width="42.28515625" style="53" customWidth="1"/>
    <col min="1522" max="1522" width="16.7109375" style="53" customWidth="1"/>
    <col min="1523" max="1523" width="17.7109375" style="53" bestFit="1" customWidth="1"/>
    <col min="1524" max="1524" width="16.85546875" style="53" bestFit="1" customWidth="1"/>
    <col min="1525" max="1525" width="15.42578125" style="53" customWidth="1"/>
    <col min="1526" max="1526" width="14.28515625" style="53" customWidth="1"/>
    <col min="1527" max="1545" width="0" style="53" hidden="1" customWidth="1"/>
    <col min="1546" max="1546" width="9.140625" style="53"/>
    <col min="1547" max="1547" width="13.28515625" style="53" customWidth="1"/>
    <col min="1548" max="1773" width="9.140625" style="53"/>
    <col min="1774" max="1774" width="6.28515625" style="53" customWidth="1"/>
    <col min="1775" max="1775" width="7.5703125" style="53" customWidth="1"/>
    <col min="1776" max="1776" width="9.140625" style="53" customWidth="1"/>
    <col min="1777" max="1777" width="42.28515625" style="53" customWidth="1"/>
    <col min="1778" max="1778" width="16.7109375" style="53" customWidth="1"/>
    <col min="1779" max="1779" width="17.7109375" style="53" bestFit="1" customWidth="1"/>
    <col min="1780" max="1780" width="16.85546875" style="53" bestFit="1" customWidth="1"/>
    <col min="1781" max="1781" width="15.42578125" style="53" customWidth="1"/>
    <col min="1782" max="1782" width="14.28515625" style="53" customWidth="1"/>
    <col min="1783" max="1801" width="0" style="53" hidden="1" customWidth="1"/>
    <col min="1802" max="1802" width="9.140625" style="53"/>
    <col min="1803" max="1803" width="13.28515625" style="53" customWidth="1"/>
    <col min="1804" max="2029" width="9.140625" style="53"/>
    <col min="2030" max="2030" width="6.28515625" style="53" customWidth="1"/>
    <col min="2031" max="2031" width="7.5703125" style="53" customWidth="1"/>
    <col min="2032" max="2032" width="9.140625" style="53" customWidth="1"/>
    <col min="2033" max="2033" width="42.28515625" style="53" customWidth="1"/>
    <col min="2034" max="2034" width="16.7109375" style="53" customWidth="1"/>
    <col min="2035" max="2035" width="17.7109375" style="53" bestFit="1" customWidth="1"/>
    <col min="2036" max="2036" width="16.85546875" style="53" bestFit="1" customWidth="1"/>
    <col min="2037" max="2037" width="15.42578125" style="53" customWidth="1"/>
    <col min="2038" max="2038" width="14.28515625" style="53" customWidth="1"/>
    <col min="2039" max="2057" width="0" style="53" hidden="1" customWidth="1"/>
    <col min="2058" max="2058" width="9.140625" style="53"/>
    <col min="2059" max="2059" width="13.28515625" style="53" customWidth="1"/>
    <col min="2060" max="2285" width="9.140625" style="53"/>
    <col min="2286" max="2286" width="6.28515625" style="53" customWidth="1"/>
    <col min="2287" max="2287" width="7.5703125" style="53" customWidth="1"/>
    <col min="2288" max="2288" width="9.140625" style="53" customWidth="1"/>
    <col min="2289" max="2289" width="42.28515625" style="53" customWidth="1"/>
    <col min="2290" max="2290" width="16.7109375" style="53" customWidth="1"/>
    <col min="2291" max="2291" width="17.7109375" style="53" bestFit="1" customWidth="1"/>
    <col min="2292" max="2292" width="16.85546875" style="53" bestFit="1" customWidth="1"/>
    <col min="2293" max="2293" width="15.42578125" style="53" customWidth="1"/>
    <col min="2294" max="2294" width="14.28515625" style="53" customWidth="1"/>
    <col min="2295" max="2313" width="0" style="53" hidden="1" customWidth="1"/>
    <col min="2314" max="2314" width="9.140625" style="53"/>
    <col min="2315" max="2315" width="13.28515625" style="53" customWidth="1"/>
    <col min="2316" max="2541" width="9.140625" style="53"/>
    <col min="2542" max="2542" width="6.28515625" style="53" customWidth="1"/>
    <col min="2543" max="2543" width="7.5703125" style="53" customWidth="1"/>
    <col min="2544" max="2544" width="9.140625" style="53" customWidth="1"/>
    <col min="2545" max="2545" width="42.28515625" style="53" customWidth="1"/>
    <col min="2546" max="2546" width="16.7109375" style="53" customWidth="1"/>
    <col min="2547" max="2547" width="17.7109375" style="53" bestFit="1" customWidth="1"/>
    <col min="2548" max="2548" width="16.85546875" style="53" bestFit="1" customWidth="1"/>
    <col min="2549" max="2549" width="15.42578125" style="53" customWidth="1"/>
    <col min="2550" max="2550" width="14.28515625" style="53" customWidth="1"/>
    <col min="2551" max="2569" width="0" style="53" hidden="1" customWidth="1"/>
    <col min="2570" max="2570" width="9.140625" style="53"/>
    <col min="2571" max="2571" width="13.28515625" style="53" customWidth="1"/>
    <col min="2572" max="2797" width="9.140625" style="53"/>
    <col min="2798" max="2798" width="6.28515625" style="53" customWidth="1"/>
    <col min="2799" max="2799" width="7.5703125" style="53" customWidth="1"/>
    <col min="2800" max="2800" width="9.140625" style="53" customWidth="1"/>
    <col min="2801" max="2801" width="42.28515625" style="53" customWidth="1"/>
    <col min="2802" max="2802" width="16.7109375" style="53" customWidth="1"/>
    <col min="2803" max="2803" width="17.7109375" style="53" bestFit="1" customWidth="1"/>
    <col min="2804" max="2804" width="16.85546875" style="53" bestFit="1" customWidth="1"/>
    <col min="2805" max="2805" width="15.42578125" style="53" customWidth="1"/>
    <col min="2806" max="2806" width="14.28515625" style="53" customWidth="1"/>
    <col min="2807" max="2825" width="0" style="53" hidden="1" customWidth="1"/>
    <col min="2826" max="2826" width="9.140625" style="53"/>
    <col min="2827" max="2827" width="13.28515625" style="53" customWidth="1"/>
    <col min="2828" max="3053" width="9.140625" style="53"/>
    <col min="3054" max="3054" width="6.28515625" style="53" customWidth="1"/>
    <col min="3055" max="3055" width="7.5703125" style="53" customWidth="1"/>
    <col min="3056" max="3056" width="9.140625" style="53" customWidth="1"/>
    <col min="3057" max="3057" width="42.28515625" style="53" customWidth="1"/>
    <col min="3058" max="3058" width="16.7109375" style="53" customWidth="1"/>
    <col min="3059" max="3059" width="17.7109375" style="53" bestFit="1" customWidth="1"/>
    <col min="3060" max="3060" width="16.85546875" style="53" bestFit="1" customWidth="1"/>
    <col min="3061" max="3061" width="15.42578125" style="53" customWidth="1"/>
    <col min="3062" max="3062" width="14.28515625" style="53" customWidth="1"/>
    <col min="3063" max="3081" width="0" style="53" hidden="1" customWidth="1"/>
    <col min="3082" max="3082" width="9.140625" style="53"/>
    <col min="3083" max="3083" width="13.28515625" style="53" customWidth="1"/>
    <col min="3084" max="3309" width="9.140625" style="53"/>
    <col min="3310" max="3310" width="6.28515625" style="53" customWidth="1"/>
    <col min="3311" max="3311" width="7.5703125" style="53" customWidth="1"/>
    <col min="3312" max="3312" width="9.140625" style="53" customWidth="1"/>
    <col min="3313" max="3313" width="42.28515625" style="53" customWidth="1"/>
    <col min="3314" max="3314" width="16.7109375" style="53" customWidth="1"/>
    <col min="3315" max="3315" width="17.7109375" style="53" bestFit="1" customWidth="1"/>
    <col min="3316" max="3316" width="16.85546875" style="53" bestFit="1" customWidth="1"/>
    <col min="3317" max="3317" width="15.42578125" style="53" customWidth="1"/>
    <col min="3318" max="3318" width="14.28515625" style="53" customWidth="1"/>
    <col min="3319" max="3337" width="0" style="53" hidden="1" customWidth="1"/>
    <col min="3338" max="3338" width="9.140625" style="53"/>
    <col min="3339" max="3339" width="13.28515625" style="53" customWidth="1"/>
    <col min="3340" max="3565" width="9.140625" style="53"/>
    <col min="3566" max="3566" width="6.28515625" style="53" customWidth="1"/>
    <col min="3567" max="3567" width="7.5703125" style="53" customWidth="1"/>
    <col min="3568" max="3568" width="9.140625" style="53" customWidth="1"/>
    <col min="3569" max="3569" width="42.28515625" style="53" customWidth="1"/>
    <col min="3570" max="3570" width="16.7109375" style="53" customWidth="1"/>
    <col min="3571" max="3571" width="17.7109375" style="53" bestFit="1" customWidth="1"/>
    <col min="3572" max="3572" width="16.85546875" style="53" bestFit="1" customWidth="1"/>
    <col min="3573" max="3573" width="15.42578125" style="53" customWidth="1"/>
    <col min="3574" max="3574" width="14.28515625" style="53" customWidth="1"/>
    <col min="3575" max="3593" width="0" style="53" hidden="1" customWidth="1"/>
    <col min="3594" max="3594" width="9.140625" style="53"/>
    <col min="3595" max="3595" width="13.28515625" style="53" customWidth="1"/>
    <col min="3596" max="3821" width="9.140625" style="53"/>
    <col min="3822" max="3822" width="6.28515625" style="53" customWidth="1"/>
    <col min="3823" max="3823" width="7.5703125" style="53" customWidth="1"/>
    <col min="3824" max="3824" width="9.140625" style="53" customWidth="1"/>
    <col min="3825" max="3825" width="42.28515625" style="53" customWidth="1"/>
    <col min="3826" max="3826" width="16.7109375" style="53" customWidth="1"/>
    <col min="3827" max="3827" width="17.7109375" style="53" bestFit="1" customWidth="1"/>
    <col min="3828" max="3828" width="16.85546875" style="53" bestFit="1" customWidth="1"/>
    <col min="3829" max="3829" width="15.42578125" style="53" customWidth="1"/>
    <col min="3830" max="3830" width="14.28515625" style="53" customWidth="1"/>
    <col min="3831" max="3849" width="0" style="53" hidden="1" customWidth="1"/>
    <col min="3850" max="3850" width="9.140625" style="53"/>
    <col min="3851" max="3851" width="13.28515625" style="53" customWidth="1"/>
    <col min="3852" max="4077" width="9.140625" style="53"/>
    <col min="4078" max="4078" width="6.28515625" style="53" customWidth="1"/>
    <col min="4079" max="4079" width="7.5703125" style="53" customWidth="1"/>
    <col min="4080" max="4080" width="9.140625" style="53" customWidth="1"/>
    <col min="4081" max="4081" width="42.28515625" style="53" customWidth="1"/>
    <col min="4082" max="4082" width="16.7109375" style="53" customWidth="1"/>
    <col min="4083" max="4083" width="17.7109375" style="53" bestFit="1" customWidth="1"/>
    <col min="4084" max="4084" width="16.85546875" style="53" bestFit="1" customWidth="1"/>
    <col min="4085" max="4085" width="15.42578125" style="53" customWidth="1"/>
    <col min="4086" max="4086" width="14.28515625" style="53" customWidth="1"/>
    <col min="4087" max="4105" width="0" style="53" hidden="1" customWidth="1"/>
    <col min="4106" max="4106" width="9.140625" style="53"/>
    <col min="4107" max="4107" width="13.28515625" style="53" customWidth="1"/>
    <col min="4108" max="4333" width="9.140625" style="53"/>
    <col min="4334" max="4334" width="6.28515625" style="53" customWidth="1"/>
    <col min="4335" max="4335" width="7.5703125" style="53" customWidth="1"/>
    <col min="4336" max="4336" width="9.140625" style="53" customWidth="1"/>
    <col min="4337" max="4337" width="42.28515625" style="53" customWidth="1"/>
    <col min="4338" max="4338" width="16.7109375" style="53" customWidth="1"/>
    <col min="4339" max="4339" width="17.7109375" style="53" bestFit="1" customWidth="1"/>
    <col min="4340" max="4340" width="16.85546875" style="53" bestFit="1" customWidth="1"/>
    <col min="4341" max="4341" width="15.42578125" style="53" customWidth="1"/>
    <col min="4342" max="4342" width="14.28515625" style="53" customWidth="1"/>
    <col min="4343" max="4361" width="0" style="53" hidden="1" customWidth="1"/>
    <col min="4362" max="4362" width="9.140625" style="53"/>
    <col min="4363" max="4363" width="13.28515625" style="53" customWidth="1"/>
    <col min="4364" max="4589" width="9.140625" style="53"/>
    <col min="4590" max="4590" width="6.28515625" style="53" customWidth="1"/>
    <col min="4591" max="4591" width="7.5703125" style="53" customWidth="1"/>
    <col min="4592" max="4592" width="9.140625" style="53" customWidth="1"/>
    <col min="4593" max="4593" width="42.28515625" style="53" customWidth="1"/>
    <col min="4594" max="4594" width="16.7109375" style="53" customWidth="1"/>
    <col min="4595" max="4595" width="17.7109375" style="53" bestFit="1" customWidth="1"/>
    <col min="4596" max="4596" width="16.85546875" style="53" bestFit="1" customWidth="1"/>
    <col min="4597" max="4597" width="15.42578125" style="53" customWidth="1"/>
    <col min="4598" max="4598" width="14.28515625" style="53" customWidth="1"/>
    <col min="4599" max="4617" width="0" style="53" hidden="1" customWidth="1"/>
    <col min="4618" max="4618" width="9.140625" style="53"/>
    <col min="4619" max="4619" width="13.28515625" style="53" customWidth="1"/>
    <col min="4620" max="4845" width="9.140625" style="53"/>
    <col min="4846" max="4846" width="6.28515625" style="53" customWidth="1"/>
    <col min="4847" max="4847" width="7.5703125" style="53" customWidth="1"/>
    <col min="4848" max="4848" width="9.140625" style="53" customWidth="1"/>
    <col min="4849" max="4849" width="42.28515625" style="53" customWidth="1"/>
    <col min="4850" max="4850" width="16.7109375" style="53" customWidth="1"/>
    <col min="4851" max="4851" width="17.7109375" style="53" bestFit="1" customWidth="1"/>
    <col min="4852" max="4852" width="16.85546875" style="53" bestFit="1" customWidth="1"/>
    <col min="4853" max="4853" width="15.42578125" style="53" customWidth="1"/>
    <col min="4854" max="4854" width="14.28515625" style="53" customWidth="1"/>
    <col min="4855" max="4873" width="0" style="53" hidden="1" customWidth="1"/>
    <col min="4874" max="4874" width="9.140625" style="53"/>
    <col min="4875" max="4875" width="13.28515625" style="53" customWidth="1"/>
    <col min="4876" max="5101" width="9.140625" style="53"/>
    <col min="5102" max="5102" width="6.28515625" style="53" customWidth="1"/>
    <col min="5103" max="5103" width="7.5703125" style="53" customWidth="1"/>
    <col min="5104" max="5104" width="9.140625" style="53" customWidth="1"/>
    <col min="5105" max="5105" width="42.28515625" style="53" customWidth="1"/>
    <col min="5106" max="5106" width="16.7109375" style="53" customWidth="1"/>
    <col min="5107" max="5107" width="17.7109375" style="53" bestFit="1" customWidth="1"/>
    <col min="5108" max="5108" width="16.85546875" style="53" bestFit="1" customWidth="1"/>
    <col min="5109" max="5109" width="15.42578125" style="53" customWidth="1"/>
    <col min="5110" max="5110" width="14.28515625" style="53" customWidth="1"/>
    <col min="5111" max="5129" width="0" style="53" hidden="1" customWidth="1"/>
    <col min="5130" max="5130" width="9.140625" style="53"/>
    <col min="5131" max="5131" width="13.28515625" style="53" customWidth="1"/>
    <col min="5132" max="5357" width="9.140625" style="53"/>
    <col min="5358" max="5358" width="6.28515625" style="53" customWidth="1"/>
    <col min="5359" max="5359" width="7.5703125" style="53" customWidth="1"/>
    <col min="5360" max="5360" width="9.140625" style="53" customWidth="1"/>
    <col min="5361" max="5361" width="42.28515625" style="53" customWidth="1"/>
    <col min="5362" max="5362" width="16.7109375" style="53" customWidth="1"/>
    <col min="5363" max="5363" width="17.7109375" style="53" bestFit="1" customWidth="1"/>
    <col min="5364" max="5364" width="16.85546875" style="53" bestFit="1" customWidth="1"/>
    <col min="5365" max="5365" width="15.42578125" style="53" customWidth="1"/>
    <col min="5366" max="5366" width="14.28515625" style="53" customWidth="1"/>
    <col min="5367" max="5385" width="0" style="53" hidden="1" customWidth="1"/>
    <col min="5386" max="5386" width="9.140625" style="53"/>
    <col min="5387" max="5387" width="13.28515625" style="53" customWidth="1"/>
    <col min="5388" max="5613" width="9.140625" style="53"/>
    <col min="5614" max="5614" width="6.28515625" style="53" customWidth="1"/>
    <col min="5615" max="5615" width="7.5703125" style="53" customWidth="1"/>
    <col min="5616" max="5616" width="9.140625" style="53" customWidth="1"/>
    <col min="5617" max="5617" width="42.28515625" style="53" customWidth="1"/>
    <col min="5618" max="5618" width="16.7109375" style="53" customWidth="1"/>
    <col min="5619" max="5619" width="17.7109375" style="53" bestFit="1" customWidth="1"/>
    <col min="5620" max="5620" width="16.85546875" style="53" bestFit="1" customWidth="1"/>
    <col min="5621" max="5621" width="15.42578125" style="53" customWidth="1"/>
    <col min="5622" max="5622" width="14.28515625" style="53" customWidth="1"/>
    <col min="5623" max="5641" width="0" style="53" hidden="1" customWidth="1"/>
    <col min="5642" max="5642" width="9.140625" style="53"/>
    <col min="5643" max="5643" width="13.28515625" style="53" customWidth="1"/>
    <col min="5644" max="5869" width="9.140625" style="53"/>
    <col min="5870" max="5870" width="6.28515625" style="53" customWidth="1"/>
    <col min="5871" max="5871" width="7.5703125" style="53" customWidth="1"/>
    <col min="5872" max="5872" width="9.140625" style="53" customWidth="1"/>
    <col min="5873" max="5873" width="42.28515625" style="53" customWidth="1"/>
    <col min="5874" max="5874" width="16.7109375" style="53" customWidth="1"/>
    <col min="5875" max="5875" width="17.7109375" style="53" bestFit="1" customWidth="1"/>
    <col min="5876" max="5876" width="16.85546875" style="53" bestFit="1" customWidth="1"/>
    <col min="5877" max="5877" width="15.42578125" style="53" customWidth="1"/>
    <col min="5878" max="5878" width="14.28515625" style="53" customWidth="1"/>
    <col min="5879" max="5897" width="0" style="53" hidden="1" customWidth="1"/>
    <col min="5898" max="5898" width="9.140625" style="53"/>
    <col min="5899" max="5899" width="13.28515625" style="53" customWidth="1"/>
    <col min="5900" max="6125" width="9.140625" style="53"/>
    <col min="6126" max="6126" width="6.28515625" style="53" customWidth="1"/>
    <col min="6127" max="6127" width="7.5703125" style="53" customWidth="1"/>
    <col min="6128" max="6128" width="9.140625" style="53" customWidth="1"/>
    <col min="6129" max="6129" width="42.28515625" style="53" customWidth="1"/>
    <col min="6130" max="6130" width="16.7109375" style="53" customWidth="1"/>
    <col min="6131" max="6131" width="17.7109375" style="53" bestFit="1" customWidth="1"/>
    <col min="6132" max="6132" width="16.85546875" style="53" bestFit="1" customWidth="1"/>
    <col min="6133" max="6133" width="15.42578125" style="53" customWidth="1"/>
    <col min="6134" max="6134" width="14.28515625" style="53" customWidth="1"/>
    <col min="6135" max="6153" width="0" style="53" hidden="1" customWidth="1"/>
    <col min="6154" max="6154" width="9.140625" style="53"/>
    <col min="6155" max="6155" width="13.28515625" style="53" customWidth="1"/>
    <col min="6156" max="6381" width="9.140625" style="53"/>
    <col min="6382" max="6382" width="6.28515625" style="53" customWidth="1"/>
    <col min="6383" max="6383" width="7.5703125" style="53" customWidth="1"/>
    <col min="6384" max="6384" width="9.140625" style="53" customWidth="1"/>
    <col min="6385" max="6385" width="42.28515625" style="53" customWidth="1"/>
    <col min="6386" max="6386" width="16.7109375" style="53" customWidth="1"/>
    <col min="6387" max="6387" width="17.7109375" style="53" bestFit="1" customWidth="1"/>
    <col min="6388" max="6388" width="16.85546875" style="53" bestFit="1" customWidth="1"/>
    <col min="6389" max="6389" width="15.42578125" style="53" customWidth="1"/>
    <col min="6390" max="6390" width="14.28515625" style="53" customWidth="1"/>
    <col min="6391" max="6409" width="0" style="53" hidden="1" customWidth="1"/>
    <col min="6410" max="6410" width="9.140625" style="53"/>
    <col min="6411" max="6411" width="13.28515625" style="53" customWidth="1"/>
    <col min="6412" max="6637" width="9.140625" style="53"/>
    <col min="6638" max="6638" width="6.28515625" style="53" customWidth="1"/>
    <col min="6639" max="6639" width="7.5703125" style="53" customWidth="1"/>
    <col min="6640" max="6640" width="9.140625" style="53" customWidth="1"/>
    <col min="6641" max="6641" width="42.28515625" style="53" customWidth="1"/>
    <col min="6642" max="6642" width="16.7109375" style="53" customWidth="1"/>
    <col min="6643" max="6643" width="17.7109375" style="53" bestFit="1" customWidth="1"/>
    <col min="6644" max="6644" width="16.85546875" style="53" bestFit="1" customWidth="1"/>
    <col min="6645" max="6645" width="15.42578125" style="53" customWidth="1"/>
    <col min="6646" max="6646" width="14.28515625" style="53" customWidth="1"/>
    <col min="6647" max="6665" width="0" style="53" hidden="1" customWidth="1"/>
    <col min="6666" max="6666" width="9.140625" style="53"/>
    <col min="6667" max="6667" width="13.28515625" style="53" customWidth="1"/>
    <col min="6668" max="6893" width="9.140625" style="53"/>
    <col min="6894" max="6894" width="6.28515625" style="53" customWidth="1"/>
    <col min="6895" max="6895" width="7.5703125" style="53" customWidth="1"/>
    <col min="6896" max="6896" width="9.140625" style="53" customWidth="1"/>
    <col min="6897" max="6897" width="42.28515625" style="53" customWidth="1"/>
    <col min="6898" max="6898" width="16.7109375" style="53" customWidth="1"/>
    <col min="6899" max="6899" width="17.7109375" style="53" bestFit="1" customWidth="1"/>
    <col min="6900" max="6900" width="16.85546875" style="53" bestFit="1" customWidth="1"/>
    <col min="6901" max="6901" width="15.42578125" style="53" customWidth="1"/>
    <col min="6902" max="6902" width="14.28515625" style="53" customWidth="1"/>
    <col min="6903" max="6921" width="0" style="53" hidden="1" customWidth="1"/>
    <col min="6922" max="6922" width="9.140625" style="53"/>
    <col min="6923" max="6923" width="13.28515625" style="53" customWidth="1"/>
    <col min="6924" max="7149" width="9.140625" style="53"/>
    <col min="7150" max="7150" width="6.28515625" style="53" customWidth="1"/>
    <col min="7151" max="7151" width="7.5703125" style="53" customWidth="1"/>
    <col min="7152" max="7152" width="9.140625" style="53" customWidth="1"/>
    <col min="7153" max="7153" width="42.28515625" style="53" customWidth="1"/>
    <col min="7154" max="7154" width="16.7109375" style="53" customWidth="1"/>
    <col min="7155" max="7155" width="17.7109375" style="53" bestFit="1" customWidth="1"/>
    <col min="7156" max="7156" width="16.85546875" style="53" bestFit="1" customWidth="1"/>
    <col min="7157" max="7157" width="15.42578125" style="53" customWidth="1"/>
    <col min="7158" max="7158" width="14.28515625" style="53" customWidth="1"/>
    <col min="7159" max="7177" width="0" style="53" hidden="1" customWidth="1"/>
    <col min="7178" max="7178" width="9.140625" style="53"/>
    <col min="7179" max="7179" width="13.28515625" style="53" customWidth="1"/>
    <col min="7180" max="7405" width="9.140625" style="53"/>
    <col min="7406" max="7406" width="6.28515625" style="53" customWidth="1"/>
    <col min="7407" max="7407" width="7.5703125" style="53" customWidth="1"/>
    <col min="7408" max="7408" width="9.140625" style="53" customWidth="1"/>
    <col min="7409" max="7409" width="42.28515625" style="53" customWidth="1"/>
    <col min="7410" max="7410" width="16.7109375" style="53" customWidth="1"/>
    <col min="7411" max="7411" width="17.7109375" style="53" bestFit="1" customWidth="1"/>
    <col min="7412" max="7412" width="16.85546875" style="53" bestFit="1" customWidth="1"/>
    <col min="7413" max="7413" width="15.42578125" style="53" customWidth="1"/>
    <col min="7414" max="7414" width="14.28515625" style="53" customWidth="1"/>
    <col min="7415" max="7433" width="0" style="53" hidden="1" customWidth="1"/>
    <col min="7434" max="7434" width="9.140625" style="53"/>
    <col min="7435" max="7435" width="13.28515625" style="53" customWidth="1"/>
    <col min="7436" max="7661" width="9.140625" style="53"/>
    <col min="7662" max="7662" width="6.28515625" style="53" customWidth="1"/>
    <col min="7663" max="7663" width="7.5703125" style="53" customWidth="1"/>
    <col min="7664" max="7664" width="9.140625" style="53" customWidth="1"/>
    <col min="7665" max="7665" width="42.28515625" style="53" customWidth="1"/>
    <col min="7666" max="7666" width="16.7109375" style="53" customWidth="1"/>
    <col min="7667" max="7667" width="17.7109375" style="53" bestFit="1" customWidth="1"/>
    <col min="7668" max="7668" width="16.85546875" style="53" bestFit="1" customWidth="1"/>
    <col min="7669" max="7669" width="15.42578125" style="53" customWidth="1"/>
    <col min="7670" max="7670" width="14.28515625" style="53" customWidth="1"/>
    <col min="7671" max="7689" width="0" style="53" hidden="1" customWidth="1"/>
    <col min="7690" max="7690" width="9.140625" style="53"/>
    <col min="7691" max="7691" width="13.28515625" style="53" customWidth="1"/>
    <col min="7692" max="7917" width="9.140625" style="53"/>
    <col min="7918" max="7918" width="6.28515625" style="53" customWidth="1"/>
    <col min="7919" max="7919" width="7.5703125" style="53" customWidth="1"/>
    <col min="7920" max="7920" width="9.140625" style="53" customWidth="1"/>
    <col min="7921" max="7921" width="42.28515625" style="53" customWidth="1"/>
    <col min="7922" max="7922" width="16.7109375" style="53" customWidth="1"/>
    <col min="7923" max="7923" width="17.7109375" style="53" bestFit="1" customWidth="1"/>
    <col min="7924" max="7924" width="16.85546875" style="53" bestFit="1" customWidth="1"/>
    <col min="7925" max="7925" width="15.42578125" style="53" customWidth="1"/>
    <col min="7926" max="7926" width="14.28515625" style="53" customWidth="1"/>
    <col min="7927" max="7945" width="0" style="53" hidden="1" customWidth="1"/>
    <col min="7946" max="7946" width="9.140625" style="53"/>
    <col min="7947" max="7947" width="13.28515625" style="53" customWidth="1"/>
    <col min="7948" max="8173" width="9.140625" style="53"/>
    <col min="8174" max="8174" width="6.28515625" style="53" customWidth="1"/>
    <col min="8175" max="8175" width="7.5703125" style="53" customWidth="1"/>
    <col min="8176" max="8176" width="9.140625" style="53" customWidth="1"/>
    <col min="8177" max="8177" width="42.28515625" style="53" customWidth="1"/>
    <col min="8178" max="8178" width="16.7109375" style="53" customWidth="1"/>
    <col min="8179" max="8179" width="17.7109375" style="53" bestFit="1" customWidth="1"/>
    <col min="8180" max="8180" width="16.85546875" style="53" bestFit="1" customWidth="1"/>
    <col min="8181" max="8181" width="15.42578125" style="53" customWidth="1"/>
    <col min="8182" max="8182" width="14.28515625" style="53" customWidth="1"/>
    <col min="8183" max="8201" width="0" style="53" hidden="1" customWidth="1"/>
    <col min="8202" max="8202" width="9.140625" style="53"/>
    <col min="8203" max="8203" width="13.28515625" style="53" customWidth="1"/>
    <col min="8204" max="8429" width="9.140625" style="53"/>
    <col min="8430" max="8430" width="6.28515625" style="53" customWidth="1"/>
    <col min="8431" max="8431" width="7.5703125" style="53" customWidth="1"/>
    <col min="8432" max="8432" width="9.140625" style="53" customWidth="1"/>
    <col min="8433" max="8433" width="42.28515625" style="53" customWidth="1"/>
    <col min="8434" max="8434" width="16.7109375" style="53" customWidth="1"/>
    <col min="8435" max="8435" width="17.7109375" style="53" bestFit="1" customWidth="1"/>
    <col min="8436" max="8436" width="16.85546875" style="53" bestFit="1" customWidth="1"/>
    <col min="8437" max="8437" width="15.42578125" style="53" customWidth="1"/>
    <col min="8438" max="8438" width="14.28515625" style="53" customWidth="1"/>
    <col min="8439" max="8457" width="0" style="53" hidden="1" customWidth="1"/>
    <col min="8458" max="8458" width="9.140625" style="53"/>
    <col min="8459" max="8459" width="13.28515625" style="53" customWidth="1"/>
    <col min="8460" max="8685" width="9.140625" style="53"/>
    <col min="8686" max="8686" width="6.28515625" style="53" customWidth="1"/>
    <col min="8687" max="8687" width="7.5703125" style="53" customWidth="1"/>
    <col min="8688" max="8688" width="9.140625" style="53" customWidth="1"/>
    <col min="8689" max="8689" width="42.28515625" style="53" customWidth="1"/>
    <col min="8690" max="8690" width="16.7109375" style="53" customWidth="1"/>
    <col min="8691" max="8691" width="17.7109375" style="53" bestFit="1" customWidth="1"/>
    <col min="8692" max="8692" width="16.85546875" style="53" bestFit="1" customWidth="1"/>
    <col min="8693" max="8693" width="15.42578125" style="53" customWidth="1"/>
    <col min="8694" max="8694" width="14.28515625" style="53" customWidth="1"/>
    <col min="8695" max="8713" width="0" style="53" hidden="1" customWidth="1"/>
    <col min="8714" max="8714" width="9.140625" style="53"/>
    <col min="8715" max="8715" width="13.28515625" style="53" customWidth="1"/>
    <col min="8716" max="8941" width="9.140625" style="53"/>
    <col min="8942" max="8942" width="6.28515625" style="53" customWidth="1"/>
    <col min="8943" max="8943" width="7.5703125" style="53" customWidth="1"/>
    <col min="8944" max="8944" width="9.140625" style="53" customWidth="1"/>
    <col min="8945" max="8945" width="42.28515625" style="53" customWidth="1"/>
    <col min="8946" max="8946" width="16.7109375" style="53" customWidth="1"/>
    <col min="8947" max="8947" width="17.7109375" style="53" bestFit="1" customWidth="1"/>
    <col min="8948" max="8948" width="16.85546875" style="53" bestFit="1" customWidth="1"/>
    <col min="8949" max="8949" width="15.42578125" style="53" customWidth="1"/>
    <col min="8950" max="8950" width="14.28515625" style="53" customWidth="1"/>
    <col min="8951" max="8969" width="0" style="53" hidden="1" customWidth="1"/>
    <col min="8970" max="8970" width="9.140625" style="53"/>
    <col min="8971" max="8971" width="13.28515625" style="53" customWidth="1"/>
    <col min="8972" max="9197" width="9.140625" style="53"/>
    <col min="9198" max="9198" width="6.28515625" style="53" customWidth="1"/>
    <col min="9199" max="9199" width="7.5703125" style="53" customWidth="1"/>
    <col min="9200" max="9200" width="9.140625" style="53" customWidth="1"/>
    <col min="9201" max="9201" width="42.28515625" style="53" customWidth="1"/>
    <col min="9202" max="9202" width="16.7109375" style="53" customWidth="1"/>
    <col min="9203" max="9203" width="17.7109375" style="53" bestFit="1" customWidth="1"/>
    <col min="9204" max="9204" width="16.85546875" style="53" bestFit="1" customWidth="1"/>
    <col min="9205" max="9205" width="15.42578125" style="53" customWidth="1"/>
    <col min="9206" max="9206" width="14.28515625" style="53" customWidth="1"/>
    <col min="9207" max="9225" width="0" style="53" hidden="1" customWidth="1"/>
    <col min="9226" max="9226" width="9.140625" style="53"/>
    <col min="9227" max="9227" width="13.28515625" style="53" customWidth="1"/>
    <col min="9228" max="9453" width="9.140625" style="53"/>
    <col min="9454" max="9454" width="6.28515625" style="53" customWidth="1"/>
    <col min="9455" max="9455" width="7.5703125" style="53" customWidth="1"/>
    <col min="9456" max="9456" width="9.140625" style="53" customWidth="1"/>
    <col min="9457" max="9457" width="42.28515625" style="53" customWidth="1"/>
    <col min="9458" max="9458" width="16.7109375" style="53" customWidth="1"/>
    <col min="9459" max="9459" width="17.7109375" style="53" bestFit="1" customWidth="1"/>
    <col min="9460" max="9460" width="16.85546875" style="53" bestFit="1" customWidth="1"/>
    <col min="9461" max="9461" width="15.42578125" style="53" customWidth="1"/>
    <col min="9462" max="9462" width="14.28515625" style="53" customWidth="1"/>
    <col min="9463" max="9481" width="0" style="53" hidden="1" customWidth="1"/>
    <col min="9482" max="9482" width="9.140625" style="53"/>
    <col min="9483" max="9483" width="13.28515625" style="53" customWidth="1"/>
    <col min="9484" max="9709" width="9.140625" style="53"/>
    <col min="9710" max="9710" width="6.28515625" style="53" customWidth="1"/>
    <col min="9711" max="9711" width="7.5703125" style="53" customWidth="1"/>
    <col min="9712" max="9712" width="9.140625" style="53" customWidth="1"/>
    <col min="9713" max="9713" width="42.28515625" style="53" customWidth="1"/>
    <col min="9714" max="9714" width="16.7109375" style="53" customWidth="1"/>
    <col min="9715" max="9715" width="17.7109375" style="53" bestFit="1" customWidth="1"/>
    <col min="9716" max="9716" width="16.85546875" style="53" bestFit="1" customWidth="1"/>
    <col min="9717" max="9717" width="15.42578125" style="53" customWidth="1"/>
    <col min="9718" max="9718" width="14.28515625" style="53" customWidth="1"/>
    <col min="9719" max="9737" width="0" style="53" hidden="1" customWidth="1"/>
    <col min="9738" max="9738" width="9.140625" style="53"/>
    <col min="9739" max="9739" width="13.28515625" style="53" customWidth="1"/>
    <col min="9740" max="9965" width="9.140625" style="53"/>
    <col min="9966" max="9966" width="6.28515625" style="53" customWidth="1"/>
    <col min="9967" max="9967" width="7.5703125" style="53" customWidth="1"/>
    <col min="9968" max="9968" width="9.140625" style="53" customWidth="1"/>
    <col min="9969" max="9969" width="42.28515625" style="53" customWidth="1"/>
    <col min="9970" max="9970" width="16.7109375" style="53" customWidth="1"/>
    <col min="9971" max="9971" width="17.7109375" style="53" bestFit="1" customWidth="1"/>
    <col min="9972" max="9972" width="16.85546875" style="53" bestFit="1" customWidth="1"/>
    <col min="9973" max="9973" width="15.42578125" style="53" customWidth="1"/>
    <col min="9974" max="9974" width="14.28515625" style="53" customWidth="1"/>
    <col min="9975" max="9993" width="0" style="53" hidden="1" customWidth="1"/>
    <col min="9994" max="9994" width="9.140625" style="53"/>
    <col min="9995" max="9995" width="13.28515625" style="53" customWidth="1"/>
    <col min="9996" max="10221" width="9.140625" style="53"/>
    <col min="10222" max="10222" width="6.28515625" style="53" customWidth="1"/>
    <col min="10223" max="10223" width="7.5703125" style="53" customWidth="1"/>
    <col min="10224" max="10224" width="9.140625" style="53" customWidth="1"/>
    <col min="10225" max="10225" width="42.28515625" style="53" customWidth="1"/>
    <col min="10226" max="10226" width="16.7109375" style="53" customWidth="1"/>
    <col min="10227" max="10227" width="17.7109375" style="53" bestFit="1" customWidth="1"/>
    <col min="10228" max="10228" width="16.85546875" style="53" bestFit="1" customWidth="1"/>
    <col min="10229" max="10229" width="15.42578125" style="53" customWidth="1"/>
    <col min="10230" max="10230" width="14.28515625" style="53" customWidth="1"/>
    <col min="10231" max="10249" width="0" style="53" hidden="1" customWidth="1"/>
    <col min="10250" max="10250" width="9.140625" style="53"/>
    <col min="10251" max="10251" width="13.28515625" style="53" customWidth="1"/>
    <col min="10252" max="10477" width="9.140625" style="53"/>
    <col min="10478" max="10478" width="6.28515625" style="53" customWidth="1"/>
    <col min="10479" max="10479" width="7.5703125" style="53" customWidth="1"/>
    <col min="10480" max="10480" width="9.140625" style="53" customWidth="1"/>
    <col min="10481" max="10481" width="42.28515625" style="53" customWidth="1"/>
    <col min="10482" max="10482" width="16.7109375" style="53" customWidth="1"/>
    <col min="10483" max="10483" width="17.7109375" style="53" bestFit="1" customWidth="1"/>
    <col min="10484" max="10484" width="16.85546875" style="53" bestFit="1" customWidth="1"/>
    <col min="10485" max="10485" width="15.42578125" style="53" customWidth="1"/>
    <col min="10486" max="10486" width="14.28515625" style="53" customWidth="1"/>
    <col min="10487" max="10505" width="0" style="53" hidden="1" customWidth="1"/>
    <col min="10506" max="10506" width="9.140625" style="53"/>
    <col min="10507" max="10507" width="13.28515625" style="53" customWidth="1"/>
    <col min="10508" max="10733" width="9.140625" style="53"/>
    <col min="10734" max="10734" width="6.28515625" style="53" customWidth="1"/>
    <col min="10735" max="10735" width="7.5703125" style="53" customWidth="1"/>
    <col min="10736" max="10736" width="9.140625" style="53" customWidth="1"/>
    <col min="10737" max="10737" width="42.28515625" style="53" customWidth="1"/>
    <col min="10738" max="10738" width="16.7109375" style="53" customWidth="1"/>
    <col min="10739" max="10739" width="17.7109375" style="53" bestFit="1" customWidth="1"/>
    <col min="10740" max="10740" width="16.85546875" style="53" bestFit="1" customWidth="1"/>
    <col min="10741" max="10741" width="15.42578125" style="53" customWidth="1"/>
    <col min="10742" max="10742" width="14.28515625" style="53" customWidth="1"/>
    <col min="10743" max="10761" width="0" style="53" hidden="1" customWidth="1"/>
    <col min="10762" max="10762" width="9.140625" style="53"/>
    <col min="10763" max="10763" width="13.28515625" style="53" customWidth="1"/>
    <col min="10764" max="10989" width="9.140625" style="53"/>
    <col min="10990" max="10990" width="6.28515625" style="53" customWidth="1"/>
    <col min="10991" max="10991" width="7.5703125" style="53" customWidth="1"/>
    <col min="10992" max="10992" width="9.140625" style="53" customWidth="1"/>
    <col min="10993" max="10993" width="42.28515625" style="53" customWidth="1"/>
    <col min="10994" max="10994" width="16.7109375" style="53" customWidth="1"/>
    <col min="10995" max="10995" width="17.7109375" style="53" bestFit="1" customWidth="1"/>
    <col min="10996" max="10996" width="16.85546875" style="53" bestFit="1" customWidth="1"/>
    <col min="10997" max="10997" width="15.42578125" style="53" customWidth="1"/>
    <col min="10998" max="10998" width="14.28515625" style="53" customWidth="1"/>
    <col min="10999" max="11017" width="0" style="53" hidden="1" customWidth="1"/>
    <col min="11018" max="11018" width="9.140625" style="53"/>
    <col min="11019" max="11019" width="13.28515625" style="53" customWidth="1"/>
    <col min="11020" max="11245" width="9.140625" style="53"/>
    <col min="11246" max="11246" width="6.28515625" style="53" customWidth="1"/>
    <col min="11247" max="11247" width="7.5703125" style="53" customWidth="1"/>
    <col min="11248" max="11248" width="9.140625" style="53" customWidth="1"/>
    <col min="11249" max="11249" width="42.28515625" style="53" customWidth="1"/>
    <col min="11250" max="11250" width="16.7109375" style="53" customWidth="1"/>
    <col min="11251" max="11251" width="17.7109375" style="53" bestFit="1" customWidth="1"/>
    <col min="11252" max="11252" width="16.85546875" style="53" bestFit="1" customWidth="1"/>
    <col min="11253" max="11253" width="15.42578125" style="53" customWidth="1"/>
    <col min="11254" max="11254" width="14.28515625" style="53" customWidth="1"/>
    <col min="11255" max="11273" width="0" style="53" hidden="1" customWidth="1"/>
    <col min="11274" max="11274" width="9.140625" style="53"/>
    <col min="11275" max="11275" width="13.28515625" style="53" customWidth="1"/>
    <col min="11276" max="11501" width="9.140625" style="53"/>
    <col min="11502" max="11502" width="6.28515625" style="53" customWidth="1"/>
    <col min="11503" max="11503" width="7.5703125" style="53" customWidth="1"/>
    <col min="11504" max="11504" width="9.140625" style="53" customWidth="1"/>
    <col min="11505" max="11505" width="42.28515625" style="53" customWidth="1"/>
    <col min="11506" max="11506" width="16.7109375" style="53" customWidth="1"/>
    <col min="11507" max="11507" width="17.7109375" style="53" bestFit="1" customWidth="1"/>
    <col min="11508" max="11508" width="16.85546875" style="53" bestFit="1" customWidth="1"/>
    <col min="11509" max="11509" width="15.42578125" style="53" customWidth="1"/>
    <col min="11510" max="11510" width="14.28515625" style="53" customWidth="1"/>
    <col min="11511" max="11529" width="0" style="53" hidden="1" customWidth="1"/>
    <col min="11530" max="11530" width="9.140625" style="53"/>
    <col min="11531" max="11531" width="13.28515625" style="53" customWidth="1"/>
    <col min="11532" max="11757" width="9.140625" style="53"/>
    <col min="11758" max="11758" width="6.28515625" style="53" customWidth="1"/>
    <col min="11759" max="11759" width="7.5703125" style="53" customWidth="1"/>
    <col min="11760" max="11760" width="9.140625" style="53" customWidth="1"/>
    <col min="11761" max="11761" width="42.28515625" style="53" customWidth="1"/>
    <col min="11762" max="11762" width="16.7109375" style="53" customWidth="1"/>
    <col min="11763" max="11763" width="17.7109375" style="53" bestFit="1" customWidth="1"/>
    <col min="11764" max="11764" width="16.85546875" style="53" bestFit="1" customWidth="1"/>
    <col min="11765" max="11765" width="15.42578125" style="53" customWidth="1"/>
    <col min="11766" max="11766" width="14.28515625" style="53" customWidth="1"/>
    <col min="11767" max="11785" width="0" style="53" hidden="1" customWidth="1"/>
    <col min="11786" max="11786" width="9.140625" style="53"/>
    <col min="11787" max="11787" width="13.28515625" style="53" customWidth="1"/>
    <col min="11788" max="12013" width="9.140625" style="53"/>
    <col min="12014" max="12014" width="6.28515625" style="53" customWidth="1"/>
    <col min="12015" max="12015" width="7.5703125" style="53" customWidth="1"/>
    <col min="12016" max="12016" width="9.140625" style="53" customWidth="1"/>
    <col min="12017" max="12017" width="42.28515625" style="53" customWidth="1"/>
    <col min="12018" max="12018" width="16.7109375" style="53" customWidth="1"/>
    <col min="12019" max="12019" width="17.7109375" style="53" bestFit="1" customWidth="1"/>
    <col min="12020" max="12020" width="16.85546875" style="53" bestFit="1" customWidth="1"/>
    <col min="12021" max="12021" width="15.42578125" style="53" customWidth="1"/>
    <col min="12022" max="12022" width="14.28515625" style="53" customWidth="1"/>
    <col min="12023" max="12041" width="0" style="53" hidden="1" customWidth="1"/>
    <col min="12042" max="12042" width="9.140625" style="53"/>
    <col min="12043" max="12043" width="13.28515625" style="53" customWidth="1"/>
    <col min="12044" max="12269" width="9.140625" style="53"/>
    <col min="12270" max="12270" width="6.28515625" style="53" customWidth="1"/>
    <col min="12271" max="12271" width="7.5703125" style="53" customWidth="1"/>
    <col min="12272" max="12272" width="9.140625" style="53" customWidth="1"/>
    <col min="12273" max="12273" width="42.28515625" style="53" customWidth="1"/>
    <col min="12274" max="12274" width="16.7109375" style="53" customWidth="1"/>
    <col min="12275" max="12275" width="17.7109375" style="53" bestFit="1" customWidth="1"/>
    <col min="12276" max="12276" width="16.85546875" style="53" bestFit="1" customWidth="1"/>
    <col min="12277" max="12277" width="15.42578125" style="53" customWidth="1"/>
    <col min="12278" max="12278" width="14.28515625" style="53" customWidth="1"/>
    <col min="12279" max="12297" width="0" style="53" hidden="1" customWidth="1"/>
    <col min="12298" max="12298" width="9.140625" style="53"/>
    <col min="12299" max="12299" width="13.28515625" style="53" customWidth="1"/>
    <col min="12300" max="12525" width="9.140625" style="53"/>
    <col min="12526" max="12526" width="6.28515625" style="53" customWidth="1"/>
    <col min="12527" max="12527" width="7.5703125" style="53" customWidth="1"/>
    <col min="12528" max="12528" width="9.140625" style="53" customWidth="1"/>
    <col min="12529" max="12529" width="42.28515625" style="53" customWidth="1"/>
    <col min="12530" max="12530" width="16.7109375" style="53" customWidth="1"/>
    <col min="12531" max="12531" width="17.7109375" style="53" bestFit="1" customWidth="1"/>
    <col min="12532" max="12532" width="16.85546875" style="53" bestFit="1" customWidth="1"/>
    <col min="12533" max="12533" width="15.42578125" style="53" customWidth="1"/>
    <col min="12534" max="12534" width="14.28515625" style="53" customWidth="1"/>
    <col min="12535" max="12553" width="0" style="53" hidden="1" customWidth="1"/>
    <col min="12554" max="12554" width="9.140625" style="53"/>
    <col min="12555" max="12555" width="13.28515625" style="53" customWidth="1"/>
    <col min="12556" max="12781" width="9.140625" style="53"/>
    <col min="12782" max="12782" width="6.28515625" style="53" customWidth="1"/>
    <col min="12783" max="12783" width="7.5703125" style="53" customWidth="1"/>
    <col min="12784" max="12784" width="9.140625" style="53" customWidth="1"/>
    <col min="12785" max="12785" width="42.28515625" style="53" customWidth="1"/>
    <col min="12786" max="12786" width="16.7109375" style="53" customWidth="1"/>
    <col min="12787" max="12787" width="17.7109375" style="53" bestFit="1" customWidth="1"/>
    <col min="12788" max="12788" width="16.85546875" style="53" bestFit="1" customWidth="1"/>
    <col min="12789" max="12789" width="15.42578125" style="53" customWidth="1"/>
    <col min="12790" max="12790" width="14.28515625" style="53" customWidth="1"/>
    <col min="12791" max="12809" width="0" style="53" hidden="1" customWidth="1"/>
    <col min="12810" max="12810" width="9.140625" style="53"/>
    <col min="12811" max="12811" width="13.28515625" style="53" customWidth="1"/>
    <col min="12812" max="13037" width="9.140625" style="53"/>
    <col min="13038" max="13038" width="6.28515625" style="53" customWidth="1"/>
    <col min="13039" max="13039" width="7.5703125" style="53" customWidth="1"/>
    <col min="13040" max="13040" width="9.140625" style="53" customWidth="1"/>
    <col min="13041" max="13041" width="42.28515625" style="53" customWidth="1"/>
    <col min="13042" max="13042" width="16.7109375" style="53" customWidth="1"/>
    <col min="13043" max="13043" width="17.7109375" style="53" bestFit="1" customWidth="1"/>
    <col min="13044" max="13044" width="16.85546875" style="53" bestFit="1" customWidth="1"/>
    <col min="13045" max="13045" width="15.42578125" style="53" customWidth="1"/>
    <col min="13046" max="13046" width="14.28515625" style="53" customWidth="1"/>
    <col min="13047" max="13065" width="0" style="53" hidden="1" customWidth="1"/>
    <col min="13066" max="13066" width="9.140625" style="53"/>
    <col min="13067" max="13067" width="13.28515625" style="53" customWidth="1"/>
    <col min="13068" max="13293" width="9.140625" style="53"/>
    <col min="13294" max="13294" width="6.28515625" style="53" customWidth="1"/>
    <col min="13295" max="13295" width="7.5703125" style="53" customWidth="1"/>
    <col min="13296" max="13296" width="9.140625" style="53" customWidth="1"/>
    <col min="13297" max="13297" width="42.28515625" style="53" customWidth="1"/>
    <col min="13298" max="13298" width="16.7109375" style="53" customWidth="1"/>
    <col min="13299" max="13299" width="17.7109375" style="53" bestFit="1" customWidth="1"/>
    <col min="13300" max="13300" width="16.85546875" style="53" bestFit="1" customWidth="1"/>
    <col min="13301" max="13301" width="15.42578125" style="53" customWidth="1"/>
    <col min="13302" max="13302" width="14.28515625" style="53" customWidth="1"/>
    <col min="13303" max="13321" width="0" style="53" hidden="1" customWidth="1"/>
    <col min="13322" max="13322" width="9.140625" style="53"/>
    <col min="13323" max="13323" width="13.28515625" style="53" customWidth="1"/>
    <col min="13324" max="13549" width="9.140625" style="53"/>
    <col min="13550" max="13550" width="6.28515625" style="53" customWidth="1"/>
    <col min="13551" max="13551" width="7.5703125" style="53" customWidth="1"/>
    <col min="13552" max="13552" width="9.140625" style="53" customWidth="1"/>
    <col min="13553" max="13553" width="42.28515625" style="53" customWidth="1"/>
    <col min="13554" max="13554" width="16.7109375" style="53" customWidth="1"/>
    <col min="13555" max="13555" width="17.7109375" style="53" bestFit="1" customWidth="1"/>
    <col min="13556" max="13556" width="16.85546875" style="53" bestFit="1" customWidth="1"/>
    <col min="13557" max="13557" width="15.42578125" style="53" customWidth="1"/>
    <col min="13558" max="13558" width="14.28515625" style="53" customWidth="1"/>
    <col min="13559" max="13577" width="0" style="53" hidden="1" customWidth="1"/>
    <col min="13578" max="13578" width="9.140625" style="53"/>
    <col min="13579" max="13579" width="13.28515625" style="53" customWidth="1"/>
    <col min="13580" max="13805" width="9.140625" style="53"/>
    <col min="13806" max="13806" width="6.28515625" style="53" customWidth="1"/>
    <col min="13807" max="13807" width="7.5703125" style="53" customWidth="1"/>
    <col min="13808" max="13808" width="9.140625" style="53" customWidth="1"/>
    <col min="13809" max="13809" width="42.28515625" style="53" customWidth="1"/>
    <col min="13810" max="13810" width="16.7109375" style="53" customWidth="1"/>
    <col min="13811" max="13811" width="17.7109375" style="53" bestFit="1" customWidth="1"/>
    <col min="13812" max="13812" width="16.85546875" style="53" bestFit="1" customWidth="1"/>
    <col min="13813" max="13813" width="15.42578125" style="53" customWidth="1"/>
    <col min="13814" max="13814" width="14.28515625" style="53" customWidth="1"/>
    <col min="13815" max="13833" width="0" style="53" hidden="1" customWidth="1"/>
    <col min="13834" max="13834" width="9.140625" style="53"/>
    <col min="13835" max="13835" width="13.28515625" style="53" customWidth="1"/>
    <col min="13836" max="14061" width="9.140625" style="53"/>
    <col min="14062" max="14062" width="6.28515625" style="53" customWidth="1"/>
    <col min="14063" max="14063" width="7.5703125" style="53" customWidth="1"/>
    <col min="14064" max="14064" width="9.140625" style="53" customWidth="1"/>
    <col min="14065" max="14065" width="42.28515625" style="53" customWidth="1"/>
    <col min="14066" max="14066" width="16.7109375" style="53" customWidth="1"/>
    <col min="14067" max="14067" width="17.7109375" style="53" bestFit="1" customWidth="1"/>
    <col min="14068" max="14068" width="16.85546875" style="53" bestFit="1" customWidth="1"/>
    <col min="14069" max="14069" width="15.42578125" style="53" customWidth="1"/>
    <col min="14070" max="14070" width="14.28515625" style="53" customWidth="1"/>
    <col min="14071" max="14089" width="0" style="53" hidden="1" customWidth="1"/>
    <col min="14090" max="14090" width="9.140625" style="53"/>
    <col min="14091" max="14091" width="13.28515625" style="53" customWidth="1"/>
    <col min="14092" max="14317" width="9.140625" style="53"/>
    <col min="14318" max="14318" width="6.28515625" style="53" customWidth="1"/>
    <col min="14319" max="14319" width="7.5703125" style="53" customWidth="1"/>
    <col min="14320" max="14320" width="9.140625" style="53" customWidth="1"/>
    <col min="14321" max="14321" width="42.28515625" style="53" customWidth="1"/>
    <col min="14322" max="14322" width="16.7109375" style="53" customWidth="1"/>
    <col min="14323" max="14323" width="17.7109375" style="53" bestFit="1" customWidth="1"/>
    <col min="14324" max="14324" width="16.85546875" style="53" bestFit="1" customWidth="1"/>
    <col min="14325" max="14325" width="15.42578125" style="53" customWidth="1"/>
    <col min="14326" max="14326" width="14.28515625" style="53" customWidth="1"/>
    <col min="14327" max="14345" width="0" style="53" hidden="1" customWidth="1"/>
    <col min="14346" max="14346" width="9.140625" style="53"/>
    <col min="14347" max="14347" width="13.28515625" style="53" customWidth="1"/>
    <col min="14348" max="14573" width="9.140625" style="53"/>
    <col min="14574" max="14574" width="6.28515625" style="53" customWidth="1"/>
    <col min="14575" max="14575" width="7.5703125" style="53" customWidth="1"/>
    <col min="14576" max="14576" width="9.140625" style="53" customWidth="1"/>
    <col min="14577" max="14577" width="42.28515625" style="53" customWidth="1"/>
    <col min="14578" max="14578" width="16.7109375" style="53" customWidth="1"/>
    <col min="14579" max="14579" width="17.7109375" style="53" bestFit="1" customWidth="1"/>
    <col min="14580" max="14580" width="16.85546875" style="53" bestFit="1" customWidth="1"/>
    <col min="14581" max="14581" width="15.42578125" style="53" customWidth="1"/>
    <col min="14582" max="14582" width="14.28515625" style="53" customWidth="1"/>
    <col min="14583" max="14601" width="0" style="53" hidden="1" customWidth="1"/>
    <col min="14602" max="14602" width="9.140625" style="53"/>
    <col min="14603" max="14603" width="13.28515625" style="53" customWidth="1"/>
    <col min="14604" max="14829" width="9.140625" style="53"/>
    <col min="14830" max="14830" width="6.28515625" style="53" customWidth="1"/>
    <col min="14831" max="14831" width="7.5703125" style="53" customWidth="1"/>
    <col min="14832" max="14832" width="9.140625" style="53" customWidth="1"/>
    <col min="14833" max="14833" width="42.28515625" style="53" customWidth="1"/>
    <col min="14834" max="14834" width="16.7109375" style="53" customWidth="1"/>
    <col min="14835" max="14835" width="17.7109375" style="53" bestFit="1" customWidth="1"/>
    <col min="14836" max="14836" width="16.85546875" style="53" bestFit="1" customWidth="1"/>
    <col min="14837" max="14837" width="15.42578125" style="53" customWidth="1"/>
    <col min="14838" max="14838" width="14.28515625" style="53" customWidth="1"/>
    <col min="14839" max="14857" width="0" style="53" hidden="1" customWidth="1"/>
    <col min="14858" max="14858" width="9.140625" style="53"/>
    <col min="14859" max="14859" width="13.28515625" style="53" customWidth="1"/>
    <col min="14860" max="15085" width="9.140625" style="53"/>
    <col min="15086" max="15086" width="6.28515625" style="53" customWidth="1"/>
    <col min="15087" max="15087" width="7.5703125" style="53" customWidth="1"/>
    <col min="15088" max="15088" width="9.140625" style="53" customWidth="1"/>
    <col min="15089" max="15089" width="42.28515625" style="53" customWidth="1"/>
    <col min="15090" max="15090" width="16.7109375" style="53" customWidth="1"/>
    <col min="15091" max="15091" width="17.7109375" style="53" bestFit="1" customWidth="1"/>
    <col min="15092" max="15092" width="16.85546875" style="53" bestFit="1" customWidth="1"/>
    <col min="15093" max="15093" width="15.42578125" style="53" customWidth="1"/>
    <col min="15094" max="15094" width="14.28515625" style="53" customWidth="1"/>
    <col min="15095" max="15113" width="0" style="53" hidden="1" customWidth="1"/>
    <col min="15114" max="15114" width="9.140625" style="53"/>
    <col min="15115" max="15115" width="13.28515625" style="53" customWidth="1"/>
    <col min="15116" max="15341" width="9.140625" style="53"/>
    <col min="15342" max="15342" width="6.28515625" style="53" customWidth="1"/>
    <col min="15343" max="15343" width="7.5703125" style="53" customWidth="1"/>
    <col min="15344" max="15344" width="9.140625" style="53" customWidth="1"/>
    <col min="15345" max="15345" width="42.28515625" style="53" customWidth="1"/>
    <col min="15346" max="15346" width="16.7109375" style="53" customWidth="1"/>
    <col min="15347" max="15347" width="17.7109375" style="53" bestFit="1" customWidth="1"/>
    <col min="15348" max="15348" width="16.85546875" style="53" bestFit="1" customWidth="1"/>
    <col min="15349" max="15349" width="15.42578125" style="53" customWidth="1"/>
    <col min="15350" max="15350" width="14.28515625" style="53" customWidth="1"/>
    <col min="15351" max="15369" width="0" style="53" hidden="1" customWidth="1"/>
    <col min="15370" max="15370" width="9.140625" style="53"/>
    <col min="15371" max="15371" width="13.28515625" style="53" customWidth="1"/>
    <col min="15372" max="15597" width="9.140625" style="53"/>
    <col min="15598" max="15598" width="6.28515625" style="53" customWidth="1"/>
    <col min="15599" max="15599" width="7.5703125" style="53" customWidth="1"/>
    <col min="15600" max="15600" width="9.140625" style="53" customWidth="1"/>
    <col min="15601" max="15601" width="42.28515625" style="53" customWidth="1"/>
    <col min="15602" max="15602" width="16.7109375" style="53" customWidth="1"/>
    <col min="15603" max="15603" width="17.7109375" style="53" bestFit="1" customWidth="1"/>
    <col min="15604" max="15604" width="16.85546875" style="53" bestFit="1" customWidth="1"/>
    <col min="15605" max="15605" width="15.42578125" style="53" customWidth="1"/>
    <col min="15606" max="15606" width="14.28515625" style="53" customWidth="1"/>
    <col min="15607" max="15625" width="0" style="53" hidden="1" customWidth="1"/>
    <col min="15626" max="15626" width="9.140625" style="53"/>
    <col min="15627" max="15627" width="13.28515625" style="53" customWidth="1"/>
    <col min="15628" max="15853" width="9.140625" style="53"/>
    <col min="15854" max="15854" width="6.28515625" style="53" customWidth="1"/>
    <col min="15855" max="15855" width="7.5703125" style="53" customWidth="1"/>
    <col min="15856" max="15856" width="9.140625" style="53" customWidth="1"/>
    <col min="15857" max="15857" width="42.28515625" style="53" customWidth="1"/>
    <col min="15858" max="15858" width="16.7109375" style="53" customWidth="1"/>
    <col min="15859" max="15859" width="17.7109375" style="53" bestFit="1" customWidth="1"/>
    <col min="15860" max="15860" width="16.85546875" style="53" bestFit="1" customWidth="1"/>
    <col min="15861" max="15861" width="15.42578125" style="53" customWidth="1"/>
    <col min="15862" max="15862" width="14.28515625" style="53" customWidth="1"/>
    <col min="15863" max="15881" width="0" style="53" hidden="1" customWidth="1"/>
    <col min="15882" max="15882" width="9.140625" style="53"/>
    <col min="15883" max="15883" width="13.28515625" style="53" customWidth="1"/>
    <col min="15884" max="16109" width="9.140625" style="53"/>
    <col min="16110" max="16110" width="6.28515625" style="53" customWidth="1"/>
    <col min="16111" max="16111" width="7.5703125" style="53" customWidth="1"/>
    <col min="16112" max="16112" width="9.140625" style="53" customWidth="1"/>
    <col min="16113" max="16113" width="42.28515625" style="53" customWidth="1"/>
    <col min="16114" max="16114" width="16.7109375" style="53" customWidth="1"/>
    <col min="16115" max="16115" width="17.7109375" style="53" bestFit="1" customWidth="1"/>
    <col min="16116" max="16116" width="16.85546875" style="53" bestFit="1" customWidth="1"/>
    <col min="16117" max="16117" width="15.42578125" style="53" customWidth="1"/>
    <col min="16118" max="16118" width="14.28515625" style="53" customWidth="1"/>
    <col min="16119" max="16137" width="0" style="53" hidden="1" customWidth="1"/>
    <col min="16138" max="16138" width="9.140625" style="53"/>
    <col min="16139" max="16139" width="13.28515625" style="53" customWidth="1"/>
    <col min="16140" max="16384" width="9.140625" style="53"/>
  </cols>
  <sheetData>
    <row r="1" spans="1:10" ht="14.25" x14ac:dyDescent="0.25">
      <c r="A1" s="52"/>
      <c r="B1" s="52"/>
      <c r="C1" s="52"/>
      <c r="D1" s="52"/>
      <c r="E1" s="52"/>
      <c r="F1" s="283" t="s">
        <v>61</v>
      </c>
      <c r="G1" s="283"/>
      <c r="H1" s="283"/>
      <c r="I1" s="283"/>
      <c r="J1" s="223"/>
    </row>
    <row r="2" spans="1:10" ht="14.25" x14ac:dyDescent="0.25">
      <c r="A2" s="52"/>
      <c r="B2" s="52"/>
      <c r="C2" s="52"/>
      <c r="D2" s="52"/>
      <c r="E2" s="52"/>
      <c r="F2" s="283" t="s">
        <v>83</v>
      </c>
      <c r="G2" s="283"/>
      <c r="H2" s="283"/>
      <c r="I2" s="283"/>
      <c r="J2" s="223"/>
    </row>
    <row r="3" spans="1:10" ht="14.25" x14ac:dyDescent="0.25">
      <c r="A3" s="52"/>
      <c r="B3" s="52"/>
      <c r="C3" s="52"/>
      <c r="D3" s="52"/>
      <c r="E3" s="52"/>
      <c r="F3" s="283" t="s">
        <v>62</v>
      </c>
      <c r="G3" s="283"/>
      <c r="H3" s="283"/>
      <c r="I3" s="283"/>
      <c r="J3" s="223"/>
    </row>
    <row r="4" spans="1:10" ht="14.25" x14ac:dyDescent="0.25">
      <c r="A4" s="52"/>
      <c r="B4" s="52"/>
      <c r="C4" s="52"/>
      <c r="D4" s="52"/>
      <c r="E4" s="52"/>
      <c r="F4" s="223"/>
      <c r="G4" s="223"/>
      <c r="H4" s="223"/>
      <c r="I4" s="223"/>
      <c r="J4" s="223"/>
    </row>
    <row r="5" spans="1:10" ht="63" customHeight="1" x14ac:dyDescent="0.3">
      <c r="B5" s="70"/>
      <c r="C5" s="70"/>
      <c r="D5" s="70"/>
      <c r="E5" s="282" t="s">
        <v>63</v>
      </c>
      <c r="F5" s="282"/>
      <c r="G5" s="282"/>
      <c r="H5" s="282"/>
      <c r="I5" s="282"/>
      <c r="J5" s="54"/>
    </row>
    <row r="6" spans="1:10" x14ac:dyDescent="0.25">
      <c r="A6" s="52"/>
      <c r="B6" s="52"/>
      <c r="C6" s="52"/>
      <c r="D6" s="52"/>
      <c r="E6" s="52"/>
      <c r="I6" s="225"/>
      <c r="J6" s="225" t="s">
        <v>64</v>
      </c>
    </row>
    <row r="7" spans="1:10" s="59" customFormat="1" ht="14.25" x14ac:dyDescent="0.25">
      <c r="A7" s="55"/>
      <c r="B7" s="55"/>
      <c r="C7" s="55"/>
      <c r="D7" s="56"/>
      <c r="E7" s="57"/>
      <c r="F7" s="63"/>
      <c r="G7" s="63"/>
      <c r="H7" s="63"/>
      <c r="I7" s="63"/>
      <c r="J7" s="58"/>
    </row>
    <row r="8" spans="1:10" s="59" customFormat="1" ht="42.75" customHeight="1" x14ac:dyDescent="0.25">
      <c r="A8" s="284" t="s">
        <v>66</v>
      </c>
      <c r="B8" s="285"/>
      <c r="C8" s="286"/>
      <c r="D8" s="293" t="s">
        <v>67</v>
      </c>
      <c r="E8" s="296" t="s">
        <v>68</v>
      </c>
      <c r="F8" s="300" t="s">
        <v>6</v>
      </c>
      <c r="G8" s="300"/>
      <c r="H8" s="300"/>
      <c r="I8" s="300"/>
      <c r="J8" s="300"/>
    </row>
    <row r="9" spans="1:10" s="60" customFormat="1" ht="38.25" customHeight="1" x14ac:dyDescent="0.25">
      <c r="A9" s="287"/>
      <c r="B9" s="288"/>
      <c r="C9" s="289"/>
      <c r="D9" s="294"/>
      <c r="E9" s="297"/>
      <c r="F9" s="299" t="s">
        <v>87</v>
      </c>
      <c r="G9" s="301" t="s">
        <v>8</v>
      </c>
      <c r="H9" s="301"/>
      <c r="I9" s="301"/>
      <c r="J9" s="301"/>
    </row>
    <row r="10" spans="1:10" s="60" customFormat="1" ht="13.5" customHeight="1" x14ac:dyDescent="0.25">
      <c r="A10" s="290"/>
      <c r="B10" s="291"/>
      <c r="C10" s="292"/>
      <c r="D10" s="294"/>
      <c r="E10" s="297"/>
      <c r="F10" s="299"/>
      <c r="G10" s="299" t="s">
        <v>88</v>
      </c>
      <c r="H10" s="299" t="s">
        <v>89</v>
      </c>
      <c r="I10" s="299" t="s">
        <v>90</v>
      </c>
      <c r="J10" s="302" t="s">
        <v>134</v>
      </c>
    </row>
    <row r="11" spans="1:10" s="60" customFormat="1" ht="87.75" customHeight="1" x14ac:dyDescent="0.25">
      <c r="A11" s="61" t="s">
        <v>69</v>
      </c>
      <c r="B11" s="61" t="s">
        <v>70</v>
      </c>
      <c r="C11" s="61" t="s">
        <v>71</v>
      </c>
      <c r="D11" s="295"/>
      <c r="E11" s="298"/>
      <c r="F11" s="299"/>
      <c r="G11" s="299"/>
      <c r="H11" s="299"/>
      <c r="I11" s="299"/>
      <c r="J11" s="302"/>
    </row>
    <row r="12" spans="1:10" s="62" customFormat="1" ht="30.75" customHeight="1" x14ac:dyDescent="0.25">
      <c r="A12" s="11"/>
      <c r="B12" s="11"/>
      <c r="C12" s="11"/>
      <c r="D12" s="12"/>
      <c r="E12" s="9" t="s">
        <v>72</v>
      </c>
      <c r="F12" s="64">
        <f>SUM(G12:J12)</f>
        <v>-40000.029999998769</v>
      </c>
      <c r="G12" s="64">
        <f>SUM(G13+G120)</f>
        <v>0</v>
      </c>
      <c r="H12" s="64">
        <f>SUM(H13+H120)</f>
        <v>-102073.42999999877</v>
      </c>
      <c r="I12" s="64">
        <f>SUM(I13+I120)</f>
        <v>62073.4</v>
      </c>
      <c r="J12" s="64">
        <f>SUM(J13+J120)</f>
        <v>0</v>
      </c>
    </row>
    <row r="13" spans="1:10" s="19" customFormat="1" ht="49.5" x14ac:dyDescent="0.25">
      <c r="A13" s="7"/>
      <c r="B13" s="7"/>
      <c r="C13" s="7"/>
      <c r="D13" s="8"/>
      <c r="E13" s="18" t="s">
        <v>9</v>
      </c>
      <c r="F13" s="64">
        <f>SUM(G13:J13)</f>
        <v>5840335.2700000014</v>
      </c>
      <c r="G13" s="64">
        <v>0</v>
      </c>
      <c r="H13" s="64">
        <f>SUM(H15+H96)</f>
        <v>5778261.870000001</v>
      </c>
      <c r="I13" s="64">
        <f>SUM(I15+I96)</f>
        <v>62073.4</v>
      </c>
      <c r="J13" s="227"/>
    </row>
    <row r="14" spans="1:10" s="19" customFormat="1" ht="16.5" x14ac:dyDescent="0.25">
      <c r="A14" s="7"/>
      <c r="B14" s="7"/>
      <c r="C14" s="7"/>
      <c r="D14" s="8"/>
      <c r="E14" s="20" t="s">
        <v>73</v>
      </c>
      <c r="F14" s="64">
        <f>SUM(G14:J14)</f>
        <v>0</v>
      </c>
      <c r="G14" s="65"/>
      <c r="H14" s="65"/>
      <c r="I14" s="65"/>
      <c r="J14" s="227"/>
    </row>
    <row r="15" spans="1:10" s="10" customFormat="1" ht="49.5" x14ac:dyDescent="0.25">
      <c r="A15" s="7" t="s">
        <v>10</v>
      </c>
      <c r="B15" s="7" t="s">
        <v>11</v>
      </c>
      <c r="C15" s="7" t="s">
        <v>12</v>
      </c>
      <c r="D15" s="22" t="s">
        <v>12</v>
      </c>
      <c r="E15" s="23" t="s">
        <v>59</v>
      </c>
      <c r="F15" s="66">
        <f t="shared" ref="F15:I15" si="0">SUM(F17+F69)</f>
        <v>5525671.4700000007</v>
      </c>
      <c r="G15" s="66">
        <f t="shared" si="0"/>
        <v>0</v>
      </c>
      <c r="H15" s="66">
        <f t="shared" si="0"/>
        <v>5463746.4700000007</v>
      </c>
      <c r="I15" s="66">
        <f t="shared" si="0"/>
        <v>61925</v>
      </c>
      <c r="J15" s="228"/>
    </row>
    <row r="16" spans="1:10" s="19" customFormat="1" ht="16.5" x14ac:dyDescent="0.25">
      <c r="A16" s="7"/>
      <c r="B16" s="7"/>
      <c r="C16" s="7"/>
      <c r="D16" s="8"/>
      <c r="E16" s="20" t="s">
        <v>73</v>
      </c>
      <c r="F16" s="64"/>
      <c r="G16" s="65"/>
      <c r="H16" s="65"/>
      <c r="I16" s="65"/>
      <c r="J16" s="227"/>
    </row>
    <row r="17" spans="1:10" s="19" customFormat="1" ht="33" x14ac:dyDescent="0.25">
      <c r="A17" s="7"/>
      <c r="B17" s="7"/>
      <c r="C17" s="7"/>
      <c r="D17" s="8"/>
      <c r="E17" s="9" t="s">
        <v>132</v>
      </c>
      <c r="F17" s="64">
        <f>SUM(G17:J17)</f>
        <v>5427161.4700000007</v>
      </c>
      <c r="G17" s="65">
        <f t="shared" ref="G17" si="1">SUM(G18+G42+G52)</f>
        <v>0</v>
      </c>
      <c r="H17" s="65">
        <f>SUM(H18+H42+H52)</f>
        <v>5463746.4700000007</v>
      </c>
      <c r="I17" s="65">
        <f>SUM(I18+I42+I52)</f>
        <v>-36585</v>
      </c>
      <c r="J17" s="227"/>
    </row>
    <row r="18" spans="1:10" s="19" customFormat="1" ht="33" x14ac:dyDescent="0.25">
      <c r="A18" s="7"/>
      <c r="B18" s="7"/>
      <c r="C18" s="7"/>
      <c r="D18" s="8"/>
      <c r="E18" s="24" t="s">
        <v>131</v>
      </c>
      <c r="F18" s="66">
        <f>SUM(G18:J18)</f>
        <v>3592295.12</v>
      </c>
      <c r="G18" s="66">
        <f t="shared" ref="G18:J18" si="2">SUM(G20+G28+G32+G34+G36+G39)</f>
        <v>0</v>
      </c>
      <c r="H18" s="66">
        <f>SUM(H20+H28+H32+H34+H36+H39)</f>
        <v>3617565.12</v>
      </c>
      <c r="I18" s="66">
        <f t="shared" si="2"/>
        <v>-25270</v>
      </c>
      <c r="J18" s="40">
        <f t="shared" si="2"/>
        <v>0</v>
      </c>
    </row>
    <row r="19" spans="1:10" s="19" customFormat="1" ht="16.5" x14ac:dyDescent="0.25">
      <c r="A19" s="7"/>
      <c r="B19" s="7"/>
      <c r="C19" s="7"/>
      <c r="D19" s="8"/>
      <c r="E19" s="20" t="s">
        <v>73</v>
      </c>
      <c r="F19" s="66"/>
      <c r="G19" s="66"/>
      <c r="H19" s="66"/>
      <c r="I19" s="66"/>
      <c r="J19" s="227"/>
    </row>
    <row r="20" spans="1:10" s="19" customFormat="1" ht="33" x14ac:dyDescent="0.25">
      <c r="A20" s="7"/>
      <c r="B20" s="7"/>
      <c r="C20" s="7"/>
      <c r="D20" s="7"/>
      <c r="E20" s="25" t="s">
        <v>18</v>
      </c>
      <c r="F20" s="38">
        <f>SUM(F21:F27)</f>
        <v>866423.63</v>
      </c>
      <c r="G20" s="38">
        <f t="shared" ref="G20" si="3">SUM(G21:G27)</f>
        <v>0</v>
      </c>
      <c r="H20" s="38">
        <f>SUM(H21:H27)</f>
        <v>868055.63</v>
      </c>
      <c r="I20" s="38">
        <f>SUM(I21:I27)</f>
        <v>-1632</v>
      </c>
      <c r="J20" s="227"/>
    </row>
    <row r="21" spans="1:10" s="17" customFormat="1" ht="49.5" x14ac:dyDescent="0.25">
      <c r="A21" s="22"/>
      <c r="B21" s="22"/>
      <c r="C21" s="22"/>
      <c r="D21" s="22"/>
      <c r="E21" s="39" t="s">
        <v>20</v>
      </c>
      <c r="F21" s="43">
        <f>SUM(G21:I21)</f>
        <v>-1544.9000000000015</v>
      </c>
      <c r="G21" s="43"/>
      <c r="H21" s="43">
        <f>52727.1-54272</f>
        <v>-1544.9000000000015</v>
      </c>
      <c r="I21" s="43">
        <v>0</v>
      </c>
      <c r="J21" s="229"/>
    </row>
    <row r="22" spans="1:10" s="17" customFormat="1" ht="33" x14ac:dyDescent="0.25">
      <c r="A22" s="22"/>
      <c r="B22" s="22"/>
      <c r="C22" s="22"/>
      <c r="D22" s="22"/>
      <c r="E22" s="28" t="s">
        <v>19</v>
      </c>
      <c r="F22" s="43">
        <f>SUM(G22:I22)</f>
        <v>169067.04</v>
      </c>
      <c r="G22" s="43"/>
      <c r="H22" s="43">
        <v>169367.04000000001</v>
      </c>
      <c r="I22" s="43">
        <f>3300-3600</f>
        <v>-300</v>
      </c>
      <c r="J22" s="229"/>
    </row>
    <row r="23" spans="1:10" s="17" customFormat="1" ht="33" x14ac:dyDescent="0.25">
      <c r="A23" s="22"/>
      <c r="B23" s="22"/>
      <c r="C23" s="22"/>
      <c r="D23" s="22"/>
      <c r="E23" s="28" t="s">
        <v>21</v>
      </c>
      <c r="F23" s="43">
        <f t="shared" ref="F23:F27" si="4">SUM(G23:I23)</f>
        <v>149562.28</v>
      </c>
      <c r="G23" s="43"/>
      <c r="H23" s="43">
        <v>150222.28</v>
      </c>
      <c r="I23" s="43">
        <f>5340-6000</f>
        <v>-660</v>
      </c>
      <c r="J23" s="229"/>
    </row>
    <row r="24" spans="1:10" s="17" customFormat="1" ht="33" x14ac:dyDescent="0.25">
      <c r="A24" s="22"/>
      <c r="B24" s="22"/>
      <c r="C24" s="22"/>
      <c r="D24" s="22"/>
      <c r="E24" s="28" t="s">
        <v>22</v>
      </c>
      <c r="F24" s="43">
        <f t="shared" si="4"/>
        <v>244797.05</v>
      </c>
      <c r="G24" s="43"/>
      <c r="H24" s="43">
        <v>245233.05</v>
      </c>
      <c r="I24" s="43">
        <f>3564-4000</f>
        <v>-436</v>
      </c>
      <c r="J24" s="229"/>
    </row>
    <row r="25" spans="1:10" s="19" customFormat="1" ht="33" x14ac:dyDescent="0.25">
      <c r="A25" s="7"/>
      <c r="B25" s="7"/>
      <c r="C25" s="7"/>
      <c r="D25" s="7"/>
      <c r="E25" s="34" t="s">
        <v>92</v>
      </c>
      <c r="F25" s="43">
        <f t="shared" si="4"/>
        <v>162183.4</v>
      </c>
      <c r="G25" s="38"/>
      <c r="H25" s="5">
        <v>162183.4</v>
      </c>
      <c r="I25" s="5">
        <v>0</v>
      </c>
      <c r="J25" s="227"/>
    </row>
    <row r="26" spans="1:10" s="19" customFormat="1" ht="33" x14ac:dyDescent="0.25">
      <c r="A26" s="7"/>
      <c r="B26" s="7"/>
      <c r="C26" s="7"/>
      <c r="D26" s="7"/>
      <c r="E26" s="33" t="s">
        <v>23</v>
      </c>
      <c r="F26" s="43">
        <f t="shared" si="4"/>
        <v>76461.72</v>
      </c>
      <c r="G26" s="38"/>
      <c r="H26" s="5">
        <v>76641.72</v>
      </c>
      <c r="I26" s="5">
        <f>2220-2400</f>
        <v>-180</v>
      </c>
      <c r="J26" s="227"/>
    </row>
    <row r="27" spans="1:10" s="17" customFormat="1" ht="49.5" x14ac:dyDescent="0.25">
      <c r="A27" s="22"/>
      <c r="B27" s="22"/>
      <c r="C27" s="22"/>
      <c r="D27" s="22"/>
      <c r="E27" s="27" t="s">
        <v>24</v>
      </c>
      <c r="F27" s="43">
        <f t="shared" si="4"/>
        <v>65897.039999999994</v>
      </c>
      <c r="G27" s="43"/>
      <c r="H27" s="43">
        <v>65953.039999999994</v>
      </c>
      <c r="I27" s="43">
        <f>624-680</f>
        <v>-56</v>
      </c>
      <c r="J27" s="229"/>
    </row>
    <row r="28" spans="1:10" s="19" customFormat="1" ht="33" x14ac:dyDescent="0.25">
      <c r="A28" s="7"/>
      <c r="B28" s="7"/>
      <c r="C28" s="7"/>
      <c r="D28" s="7"/>
      <c r="E28" s="25" t="s">
        <v>25</v>
      </c>
      <c r="F28" s="38">
        <f t="shared" ref="F28:I28" si="5">SUM(F29:F31)</f>
        <v>1212532.72</v>
      </c>
      <c r="G28" s="38">
        <f t="shared" si="5"/>
        <v>0</v>
      </c>
      <c r="H28" s="38">
        <f>SUM(H29:H31)</f>
        <v>1224452.72</v>
      </c>
      <c r="I28" s="38">
        <f t="shared" si="5"/>
        <v>-11920</v>
      </c>
      <c r="J28" s="227"/>
    </row>
    <row r="29" spans="1:10" s="17" customFormat="1" ht="33" x14ac:dyDescent="0.25">
      <c r="A29" s="22"/>
      <c r="B29" s="22"/>
      <c r="C29" s="22"/>
      <c r="D29" s="22"/>
      <c r="E29" s="33" t="s">
        <v>93</v>
      </c>
      <c r="F29" s="43">
        <f>SUM(G29:I29)</f>
        <v>878684.72</v>
      </c>
      <c r="G29" s="43"/>
      <c r="H29" s="43">
        <v>870884.72</v>
      </c>
      <c r="I29" s="43">
        <v>7800</v>
      </c>
      <c r="J29" s="229"/>
    </row>
    <row r="30" spans="1:10" s="17" customFormat="1" ht="49.5" x14ac:dyDescent="0.25">
      <c r="A30" s="22"/>
      <c r="B30" s="22"/>
      <c r="C30" s="22"/>
      <c r="D30" s="22"/>
      <c r="E30" s="34" t="s">
        <v>102</v>
      </c>
      <c r="F30" s="43">
        <f>SUM(G30:J30)</f>
        <v>353568</v>
      </c>
      <c r="G30" s="43"/>
      <c r="H30" s="43">
        <v>353568</v>
      </c>
      <c r="I30" s="43"/>
      <c r="J30" s="229"/>
    </row>
    <row r="31" spans="1:10" s="17" customFormat="1" ht="33" x14ac:dyDescent="0.25">
      <c r="A31" s="22"/>
      <c r="B31" s="22"/>
      <c r="C31" s="22"/>
      <c r="D31" s="22"/>
      <c r="E31" s="34" t="s">
        <v>74</v>
      </c>
      <c r="F31" s="43">
        <f>SUM(G31:J31)</f>
        <v>-19720</v>
      </c>
      <c r="G31" s="43"/>
      <c r="H31" s="43"/>
      <c r="I31" s="43">
        <v>-19720</v>
      </c>
      <c r="J31" s="229"/>
    </row>
    <row r="32" spans="1:10" s="19" customFormat="1" ht="33" x14ac:dyDescent="0.25">
      <c r="A32" s="7"/>
      <c r="B32" s="7"/>
      <c r="C32" s="7"/>
      <c r="D32" s="7"/>
      <c r="E32" s="25" t="s">
        <v>26</v>
      </c>
      <c r="F32" s="38">
        <f>F33</f>
        <v>-241.5</v>
      </c>
      <c r="G32" s="38">
        <f>G33</f>
        <v>0</v>
      </c>
      <c r="H32" s="38">
        <f>H33</f>
        <v>-241.5</v>
      </c>
      <c r="I32" s="38">
        <f>I33</f>
        <v>0</v>
      </c>
      <c r="J32" s="227"/>
    </row>
    <row r="33" spans="1:10" s="17" customFormat="1" ht="49.5" x14ac:dyDescent="0.25">
      <c r="A33" s="22"/>
      <c r="B33" s="22"/>
      <c r="C33" s="22"/>
      <c r="D33" s="22"/>
      <c r="E33" s="27" t="s">
        <v>27</v>
      </c>
      <c r="F33" s="43">
        <f>SUM(G33:I33)</f>
        <v>-241.5</v>
      </c>
      <c r="G33" s="43"/>
      <c r="H33" s="43">
        <f>18226.5-18468</f>
        <v>-241.5</v>
      </c>
      <c r="I33" s="43"/>
      <c r="J33" s="229"/>
    </row>
    <row r="34" spans="1:10" s="19" customFormat="1" ht="33" x14ac:dyDescent="0.25">
      <c r="A34" s="7"/>
      <c r="B34" s="7"/>
      <c r="C34" s="7"/>
      <c r="D34" s="7"/>
      <c r="E34" s="25" t="s">
        <v>28</v>
      </c>
      <c r="F34" s="38">
        <f>F35</f>
        <v>2041.9</v>
      </c>
      <c r="G34" s="38">
        <f>G35</f>
        <v>0</v>
      </c>
      <c r="H34" s="38">
        <f>H35</f>
        <v>2043.9</v>
      </c>
      <c r="I34" s="38">
        <f>I35</f>
        <v>-2</v>
      </c>
      <c r="J34" s="227"/>
    </row>
    <row r="35" spans="1:10" s="17" customFormat="1" ht="16.5" x14ac:dyDescent="0.25">
      <c r="A35" s="22"/>
      <c r="B35" s="22"/>
      <c r="C35" s="22"/>
      <c r="D35" s="22"/>
      <c r="E35" s="28" t="s">
        <v>29</v>
      </c>
      <c r="F35" s="43">
        <f>SUM(G35:I35)</f>
        <v>2041.9</v>
      </c>
      <c r="G35" s="43"/>
      <c r="H35" s="43">
        <v>2043.9</v>
      </c>
      <c r="I35" s="43">
        <f>78-80</f>
        <v>-2</v>
      </c>
      <c r="J35" s="229"/>
    </row>
    <row r="36" spans="1:10" s="19" customFormat="1" ht="33" x14ac:dyDescent="0.25">
      <c r="A36" s="7"/>
      <c r="B36" s="7"/>
      <c r="C36" s="7"/>
      <c r="D36" s="7"/>
      <c r="E36" s="25" t="s">
        <v>30</v>
      </c>
      <c r="F36" s="38">
        <f>SUM(F37:F38)</f>
        <v>28679.33</v>
      </c>
      <c r="G36" s="38">
        <f t="shared" ref="G36:I36" si="6">SUM(G37:G38)</f>
        <v>0</v>
      </c>
      <c r="H36" s="38">
        <f t="shared" si="6"/>
        <v>28775.33</v>
      </c>
      <c r="I36" s="38">
        <f t="shared" si="6"/>
        <v>-96</v>
      </c>
      <c r="J36" s="227"/>
    </row>
    <row r="37" spans="1:10" s="17" customFormat="1" ht="33" x14ac:dyDescent="0.25">
      <c r="A37" s="22"/>
      <c r="B37" s="22"/>
      <c r="C37" s="22"/>
      <c r="D37" s="22"/>
      <c r="E37" s="41" t="s">
        <v>75</v>
      </c>
      <c r="F37" s="43">
        <f>SUM(G37:I37)</f>
        <v>-600</v>
      </c>
      <c r="G37" s="43"/>
      <c r="H37" s="43">
        <v>0</v>
      </c>
      <c r="I37" s="43">
        <v>-600</v>
      </c>
      <c r="J37" s="229"/>
    </row>
    <row r="38" spans="1:10" s="17" customFormat="1" ht="33" x14ac:dyDescent="0.25">
      <c r="A38" s="22"/>
      <c r="B38" s="22"/>
      <c r="C38" s="22"/>
      <c r="D38" s="22"/>
      <c r="E38" s="41" t="s">
        <v>103</v>
      </c>
      <c r="F38" s="43">
        <f>SUM(G38:I38)</f>
        <v>29279.33</v>
      </c>
      <c r="G38" s="43"/>
      <c r="H38" s="43">
        <v>28775.33</v>
      </c>
      <c r="I38" s="43">
        <v>504</v>
      </c>
      <c r="J38" s="229"/>
    </row>
    <row r="39" spans="1:10" s="19" customFormat="1" ht="16.5" x14ac:dyDescent="0.25">
      <c r="A39" s="7"/>
      <c r="B39" s="7"/>
      <c r="C39" s="7"/>
      <c r="D39" s="7"/>
      <c r="E39" s="25" t="s">
        <v>76</v>
      </c>
      <c r="F39" s="38">
        <f>F40+F41</f>
        <v>1482859.04</v>
      </c>
      <c r="G39" s="38">
        <f t="shared" ref="G39:I39" si="7">G40+G41</f>
        <v>0</v>
      </c>
      <c r="H39" s="38">
        <f t="shared" si="7"/>
        <v>1494479.04</v>
      </c>
      <c r="I39" s="38">
        <f t="shared" si="7"/>
        <v>-11620</v>
      </c>
      <c r="J39" s="227"/>
    </row>
    <row r="40" spans="1:10" s="17" customFormat="1" ht="33" x14ac:dyDescent="0.25">
      <c r="A40" s="22"/>
      <c r="B40" s="22"/>
      <c r="C40" s="22"/>
      <c r="D40" s="22"/>
      <c r="E40" s="28" t="s">
        <v>31</v>
      </c>
      <c r="F40" s="43">
        <f>SUM(G40:I40)</f>
        <v>1472859.04</v>
      </c>
      <c r="G40" s="43"/>
      <c r="H40" s="43">
        <v>1494479.04</v>
      </c>
      <c r="I40" s="43">
        <f>14400-36020</f>
        <v>-21620</v>
      </c>
      <c r="J40" s="229"/>
    </row>
    <row r="41" spans="1:10" s="17" customFormat="1" ht="82.5" x14ac:dyDescent="0.25">
      <c r="A41" s="22"/>
      <c r="B41" s="22"/>
      <c r="C41" s="22"/>
      <c r="D41" s="22"/>
      <c r="E41" s="31" t="s">
        <v>94</v>
      </c>
      <c r="F41" s="43">
        <f>SUM(G41:I41)</f>
        <v>10000</v>
      </c>
      <c r="G41" s="43"/>
      <c r="H41" s="43">
        <v>0</v>
      </c>
      <c r="I41" s="43">
        <v>10000</v>
      </c>
      <c r="J41" s="229"/>
    </row>
    <row r="42" spans="1:10" s="10" customFormat="1" ht="33" x14ac:dyDescent="0.25">
      <c r="A42" s="29"/>
      <c r="B42" s="29"/>
      <c r="C42" s="29"/>
      <c r="D42" s="30"/>
      <c r="E42" s="24" t="s">
        <v>135</v>
      </c>
      <c r="F42" s="66">
        <f>SUM(F44+F46+F50+F48)</f>
        <v>197987.33000000002</v>
      </c>
      <c r="G42" s="66">
        <f t="shared" ref="G42:I42" si="8">SUM(G44+G46+G50+G48)</f>
        <v>0</v>
      </c>
      <c r="H42" s="66">
        <f t="shared" si="8"/>
        <v>199569.33000000002</v>
      </c>
      <c r="I42" s="66">
        <f t="shared" si="8"/>
        <v>-1582</v>
      </c>
      <c r="J42" s="228"/>
    </row>
    <row r="43" spans="1:10" s="19" customFormat="1" ht="16.5" x14ac:dyDescent="0.25">
      <c r="A43" s="7"/>
      <c r="B43" s="7"/>
      <c r="C43" s="7"/>
      <c r="D43" s="8"/>
      <c r="E43" s="20" t="s">
        <v>73</v>
      </c>
      <c r="F43" s="67"/>
      <c r="G43" s="67"/>
      <c r="H43" s="67"/>
      <c r="I43" s="67"/>
      <c r="J43" s="227"/>
    </row>
    <row r="44" spans="1:10" s="19" customFormat="1" ht="33" x14ac:dyDescent="0.25">
      <c r="A44" s="7"/>
      <c r="B44" s="7"/>
      <c r="C44" s="7"/>
      <c r="D44" s="7"/>
      <c r="E44" s="25" t="s">
        <v>32</v>
      </c>
      <c r="F44" s="38">
        <f>F45</f>
        <v>-52784.399999999994</v>
      </c>
      <c r="G44" s="38">
        <f>G45</f>
        <v>0</v>
      </c>
      <c r="H44" s="38">
        <f>H45</f>
        <v>-52784.399999999994</v>
      </c>
      <c r="I44" s="38">
        <f>I45</f>
        <v>0</v>
      </c>
      <c r="J44" s="227"/>
    </row>
    <row r="45" spans="1:10" s="17" customFormat="1" ht="33" x14ac:dyDescent="0.25">
      <c r="A45" s="22"/>
      <c r="B45" s="22"/>
      <c r="C45" s="22"/>
      <c r="D45" s="22"/>
      <c r="E45" s="31" t="s">
        <v>33</v>
      </c>
      <c r="F45" s="43">
        <f>SUM(G45:I45)</f>
        <v>-52784.399999999994</v>
      </c>
      <c r="G45" s="43"/>
      <c r="H45" s="43">
        <f>210633.6-263418</f>
        <v>-52784.399999999994</v>
      </c>
      <c r="I45" s="43"/>
      <c r="J45" s="229"/>
    </row>
    <row r="46" spans="1:10" s="19" customFormat="1" ht="16.5" x14ac:dyDescent="0.25">
      <c r="A46" s="7"/>
      <c r="B46" s="7"/>
      <c r="C46" s="7"/>
      <c r="D46" s="7"/>
      <c r="E46" s="25" t="s">
        <v>34</v>
      </c>
      <c r="F46" s="38">
        <f>F47</f>
        <v>212076.03</v>
      </c>
      <c r="G46" s="38">
        <f>G47</f>
        <v>0</v>
      </c>
      <c r="H46" s="38">
        <f>H47</f>
        <v>212512.03</v>
      </c>
      <c r="I46" s="38">
        <f>I47</f>
        <v>-436</v>
      </c>
      <c r="J46" s="227"/>
    </row>
    <row r="47" spans="1:10" s="17" customFormat="1" ht="33" x14ac:dyDescent="0.25">
      <c r="A47" s="22"/>
      <c r="B47" s="22"/>
      <c r="C47" s="22"/>
      <c r="D47" s="22"/>
      <c r="E47" s="39" t="s">
        <v>35</v>
      </c>
      <c r="F47" s="43">
        <f>SUM(H47:I47)</f>
        <v>212076.03</v>
      </c>
      <c r="G47" s="43"/>
      <c r="H47" s="43">
        <v>212512.03</v>
      </c>
      <c r="I47" s="43">
        <f>3564-4000</f>
        <v>-436</v>
      </c>
      <c r="J47" s="229"/>
    </row>
    <row r="48" spans="1:10" s="17" customFormat="1" ht="33" x14ac:dyDescent="0.25">
      <c r="A48" s="22"/>
      <c r="B48" s="22"/>
      <c r="C48" s="22"/>
      <c r="D48" s="22"/>
      <c r="E48" s="25" t="s">
        <v>65</v>
      </c>
      <c r="F48" s="66">
        <f>SUM(F49)</f>
        <v>-436</v>
      </c>
      <c r="G48" s="66">
        <f t="shared" ref="G48:J48" si="9">SUM(G49)</f>
        <v>0</v>
      </c>
      <c r="H48" s="66">
        <f t="shared" si="9"/>
        <v>0</v>
      </c>
      <c r="I48" s="66">
        <f t="shared" si="9"/>
        <v>-436</v>
      </c>
      <c r="J48" s="66">
        <f t="shared" si="9"/>
        <v>0</v>
      </c>
    </row>
    <row r="49" spans="1:10" s="17" customFormat="1" ht="33" x14ac:dyDescent="0.25">
      <c r="A49" s="22"/>
      <c r="B49" s="22"/>
      <c r="C49" s="22"/>
      <c r="D49" s="22"/>
      <c r="E49" s="28" t="s">
        <v>77</v>
      </c>
      <c r="F49" s="43">
        <f>SUM(G49:J49)</f>
        <v>-436</v>
      </c>
      <c r="G49" s="43"/>
      <c r="H49" s="43">
        <v>0</v>
      </c>
      <c r="I49" s="43">
        <f>3564-4000</f>
        <v>-436</v>
      </c>
      <c r="J49" s="229"/>
    </row>
    <row r="50" spans="1:10" s="19" customFormat="1" ht="49.5" x14ac:dyDescent="0.25">
      <c r="A50" s="7"/>
      <c r="B50" s="7"/>
      <c r="C50" s="7"/>
      <c r="D50" s="7"/>
      <c r="E50" s="25" t="s">
        <v>36</v>
      </c>
      <c r="F50" s="38">
        <f>F51</f>
        <v>39131.699999999997</v>
      </c>
      <c r="G50" s="38">
        <f>G51</f>
        <v>0</v>
      </c>
      <c r="H50" s="38">
        <f>H51</f>
        <v>39841.699999999997</v>
      </c>
      <c r="I50" s="38">
        <f>I51</f>
        <v>-710</v>
      </c>
      <c r="J50" s="227"/>
    </row>
    <row r="51" spans="1:10" s="17" customFormat="1" ht="33" x14ac:dyDescent="0.25">
      <c r="A51" s="22"/>
      <c r="B51" s="22"/>
      <c r="C51" s="22"/>
      <c r="D51" s="22"/>
      <c r="E51" s="39" t="s">
        <v>37</v>
      </c>
      <c r="F51" s="43">
        <f>SUM(G51:I51)</f>
        <v>39131.699999999997</v>
      </c>
      <c r="G51" s="43"/>
      <c r="H51" s="43">
        <v>39841.699999999997</v>
      </c>
      <c r="I51" s="43">
        <f>250-960</f>
        <v>-710</v>
      </c>
      <c r="J51" s="229"/>
    </row>
    <row r="52" spans="1:10" s="10" customFormat="1" ht="33" x14ac:dyDescent="0.25">
      <c r="A52" s="29"/>
      <c r="B52" s="29"/>
      <c r="C52" s="29"/>
      <c r="D52" s="30"/>
      <c r="E52" s="42" t="s">
        <v>136</v>
      </c>
      <c r="F52" s="66">
        <f>SUM(F54+F56+F57+F58+F59+F60+F61+F62+F63+F64+F65+F66+F67+F68)</f>
        <v>1636879.02</v>
      </c>
      <c r="G52" s="66">
        <f t="shared" ref="G52:I52" si="10">SUM(G54+G56+G57+G58+G59+G60+G61+G62+G63+G64+G65+G66+G67+G68)</f>
        <v>0</v>
      </c>
      <c r="H52" s="66">
        <f t="shared" si="10"/>
        <v>1646612.02</v>
      </c>
      <c r="I52" s="66">
        <f t="shared" si="10"/>
        <v>-9733</v>
      </c>
      <c r="J52" s="228"/>
    </row>
    <row r="53" spans="1:10" s="10" customFormat="1" ht="16.5" x14ac:dyDescent="0.25">
      <c r="A53" s="8"/>
      <c r="B53" s="8"/>
      <c r="C53" s="8"/>
      <c r="D53" s="22"/>
      <c r="E53" s="20" t="s">
        <v>73</v>
      </c>
      <c r="F53" s="67"/>
      <c r="G53" s="67"/>
      <c r="H53" s="67"/>
      <c r="I53" s="67"/>
      <c r="J53" s="228"/>
    </row>
    <row r="54" spans="1:10" s="19" customFormat="1" ht="16.5" x14ac:dyDescent="0.25">
      <c r="A54" s="7"/>
      <c r="B54" s="7"/>
      <c r="C54" s="7"/>
      <c r="D54" s="7"/>
      <c r="E54" s="25" t="s">
        <v>38</v>
      </c>
      <c r="F54" s="38">
        <f>SUM(F55:F55)</f>
        <v>9156.3100000000049</v>
      </c>
      <c r="G54" s="38">
        <f>SUM(G55:G55)</f>
        <v>0</v>
      </c>
      <c r="H54" s="38">
        <f>SUM(H55:H55)</f>
        <v>9156.3100000000049</v>
      </c>
      <c r="I54" s="38">
        <f>SUM(I55:I55)</f>
        <v>0</v>
      </c>
      <c r="J54" s="227"/>
    </row>
    <row r="55" spans="1:10" s="17" customFormat="1" ht="49.5" x14ac:dyDescent="0.25">
      <c r="A55" s="22"/>
      <c r="B55" s="22"/>
      <c r="C55" s="22"/>
      <c r="D55" s="22"/>
      <c r="E55" s="39" t="s">
        <v>39</v>
      </c>
      <c r="F55" s="43">
        <f t="shared" ref="F55:F68" si="11">SUM(G55:I55)</f>
        <v>9156.3100000000049</v>
      </c>
      <c r="G55" s="43"/>
      <c r="H55" s="43">
        <f>65515.51-56359.2</f>
        <v>9156.3100000000049</v>
      </c>
      <c r="I55" s="43"/>
      <c r="J55" s="229"/>
    </row>
    <row r="56" spans="1:10" s="19" customFormat="1" ht="49.5" x14ac:dyDescent="0.25">
      <c r="A56" s="7"/>
      <c r="B56" s="7"/>
      <c r="C56" s="7"/>
      <c r="D56" s="7"/>
      <c r="E56" s="37" t="s">
        <v>78</v>
      </c>
      <c r="F56" s="38">
        <f t="shared" si="11"/>
        <v>12820.7</v>
      </c>
      <c r="G56" s="38"/>
      <c r="H56" s="38">
        <v>12828.7</v>
      </c>
      <c r="I56" s="38">
        <f>252-260</f>
        <v>-8</v>
      </c>
      <c r="J56" s="227"/>
    </row>
    <row r="57" spans="1:10" s="19" customFormat="1" ht="66" x14ac:dyDescent="0.25">
      <c r="A57" s="7"/>
      <c r="B57" s="7"/>
      <c r="C57" s="7"/>
      <c r="D57" s="7"/>
      <c r="E57" s="37" t="s">
        <v>79</v>
      </c>
      <c r="F57" s="68">
        <f t="shared" si="11"/>
        <v>80764.37</v>
      </c>
      <c r="G57" s="38"/>
      <c r="H57" s="38">
        <v>81169.37</v>
      </c>
      <c r="I57" s="38">
        <f>1195-1600</f>
        <v>-405</v>
      </c>
      <c r="J57" s="227"/>
    </row>
    <row r="58" spans="1:10" s="19" customFormat="1" ht="49.5" x14ac:dyDescent="0.25">
      <c r="A58" s="7"/>
      <c r="B58" s="7"/>
      <c r="C58" s="7"/>
      <c r="D58" s="7"/>
      <c r="E58" s="25" t="s">
        <v>40</v>
      </c>
      <c r="F58" s="38">
        <f t="shared" si="11"/>
        <v>30346.61</v>
      </c>
      <c r="G58" s="38"/>
      <c r="H58" s="38">
        <v>30442.61</v>
      </c>
      <c r="I58" s="38">
        <f>504-600</f>
        <v>-96</v>
      </c>
      <c r="J58" s="227"/>
    </row>
    <row r="59" spans="1:10" s="19" customFormat="1" ht="49.5" x14ac:dyDescent="0.25">
      <c r="A59" s="7"/>
      <c r="B59" s="7"/>
      <c r="C59" s="7"/>
      <c r="D59" s="7"/>
      <c r="E59" s="25" t="s">
        <v>41</v>
      </c>
      <c r="F59" s="38">
        <f t="shared" si="11"/>
        <v>9420.6200000000008</v>
      </c>
      <c r="G59" s="38"/>
      <c r="H59" s="38">
        <v>9446.6200000000008</v>
      </c>
      <c r="I59" s="38">
        <f>174-200</f>
        <v>-26</v>
      </c>
      <c r="J59" s="227"/>
    </row>
    <row r="60" spans="1:10" s="19" customFormat="1" ht="33" x14ac:dyDescent="0.25">
      <c r="A60" s="7"/>
      <c r="B60" s="7"/>
      <c r="C60" s="7"/>
      <c r="D60" s="7"/>
      <c r="E60" s="25" t="s">
        <v>42</v>
      </c>
      <c r="F60" s="38">
        <f t="shared" si="11"/>
        <v>106519.19</v>
      </c>
      <c r="G60" s="38"/>
      <c r="H60" s="38">
        <v>106639.19</v>
      </c>
      <c r="I60" s="38">
        <f>1980-2100</f>
        <v>-120</v>
      </c>
      <c r="J60" s="227"/>
    </row>
    <row r="61" spans="1:10" s="19" customFormat="1" ht="49.5" x14ac:dyDescent="0.25">
      <c r="A61" s="7"/>
      <c r="B61" s="7"/>
      <c r="C61" s="7"/>
      <c r="D61" s="7"/>
      <c r="E61" s="25" t="s">
        <v>43</v>
      </c>
      <c r="F61" s="38">
        <f t="shared" si="11"/>
        <v>201237.06</v>
      </c>
      <c r="G61" s="38"/>
      <c r="H61" s="38">
        <v>203947.06</v>
      </c>
      <c r="I61" s="38">
        <f>990-3700</f>
        <v>-2710</v>
      </c>
      <c r="J61" s="227"/>
    </row>
    <row r="62" spans="1:10" s="19" customFormat="1" ht="49.5" x14ac:dyDescent="0.25">
      <c r="A62" s="7"/>
      <c r="B62" s="7"/>
      <c r="C62" s="7"/>
      <c r="D62" s="7"/>
      <c r="E62" s="25" t="s">
        <v>44</v>
      </c>
      <c r="F62" s="38">
        <f t="shared" si="11"/>
        <v>177931.97</v>
      </c>
      <c r="G62" s="38"/>
      <c r="H62" s="38">
        <v>180751.97</v>
      </c>
      <c r="I62" s="38">
        <f>1100-3920</f>
        <v>-2820</v>
      </c>
      <c r="J62" s="227"/>
    </row>
    <row r="63" spans="1:10" s="19" customFormat="1" ht="49.5" x14ac:dyDescent="0.25">
      <c r="A63" s="7"/>
      <c r="B63" s="7"/>
      <c r="C63" s="7"/>
      <c r="D63" s="7"/>
      <c r="E63" s="25" t="s">
        <v>45</v>
      </c>
      <c r="F63" s="38">
        <f t="shared" si="11"/>
        <v>297858.98</v>
      </c>
      <c r="G63" s="38"/>
      <c r="H63" s="38">
        <v>302118.98</v>
      </c>
      <c r="I63" s="38">
        <f>1700-5960</f>
        <v>-4260</v>
      </c>
      <c r="J63" s="227"/>
    </row>
    <row r="64" spans="1:10" s="19" customFormat="1" ht="49.5" x14ac:dyDescent="0.25">
      <c r="A64" s="7"/>
      <c r="B64" s="7"/>
      <c r="C64" s="7"/>
      <c r="D64" s="7"/>
      <c r="E64" s="25" t="s">
        <v>46</v>
      </c>
      <c r="F64" s="38">
        <f t="shared" si="11"/>
        <v>35601.699999999997</v>
      </c>
      <c r="G64" s="38"/>
      <c r="H64" s="38">
        <v>35657.699999999997</v>
      </c>
      <c r="I64" s="38">
        <f>564-620</f>
        <v>-56</v>
      </c>
      <c r="J64" s="227"/>
    </row>
    <row r="65" spans="1:10" s="19" customFormat="1" ht="33" x14ac:dyDescent="0.25">
      <c r="A65" s="7"/>
      <c r="B65" s="7"/>
      <c r="C65" s="7"/>
      <c r="D65" s="7"/>
      <c r="E65" s="25" t="s">
        <v>47</v>
      </c>
      <c r="F65" s="38">
        <f t="shared" si="11"/>
        <v>228327.7</v>
      </c>
      <c r="G65" s="38"/>
      <c r="H65" s="38">
        <v>228787.7</v>
      </c>
      <c r="I65" s="38">
        <f>4140-4600</f>
        <v>-460</v>
      </c>
      <c r="J65" s="227"/>
    </row>
    <row r="66" spans="1:10" s="19" customFormat="1" ht="66" x14ac:dyDescent="0.25">
      <c r="A66" s="7"/>
      <c r="B66" s="7"/>
      <c r="C66" s="7"/>
      <c r="D66" s="7"/>
      <c r="E66" s="25" t="s">
        <v>99</v>
      </c>
      <c r="F66" s="38">
        <f>SUM(G66:I66)</f>
        <v>91840</v>
      </c>
      <c r="G66" s="38"/>
      <c r="H66" s="38">
        <v>91440</v>
      </c>
      <c r="I66" s="38">
        <v>400</v>
      </c>
      <c r="J66" s="227"/>
    </row>
    <row r="67" spans="1:10" s="19" customFormat="1" ht="49.5" x14ac:dyDescent="0.25">
      <c r="A67" s="7"/>
      <c r="B67" s="7"/>
      <c r="C67" s="7"/>
      <c r="D67" s="7"/>
      <c r="E67" s="25" t="s">
        <v>100</v>
      </c>
      <c r="F67" s="38">
        <f t="shared" si="11"/>
        <v>222268.49</v>
      </c>
      <c r="G67" s="38"/>
      <c r="H67" s="38">
        <v>222268.49</v>
      </c>
      <c r="I67" s="38">
        <v>0</v>
      </c>
      <c r="J67" s="227"/>
    </row>
    <row r="68" spans="1:10" s="19" customFormat="1" ht="33" x14ac:dyDescent="0.25">
      <c r="A68" s="7"/>
      <c r="B68" s="7"/>
      <c r="C68" s="7"/>
      <c r="D68" s="7"/>
      <c r="E68" s="25" t="s">
        <v>101</v>
      </c>
      <c r="F68" s="38">
        <f t="shared" si="11"/>
        <v>132785.32</v>
      </c>
      <c r="G68" s="38"/>
      <c r="H68" s="38">
        <v>131957.32</v>
      </c>
      <c r="I68" s="38">
        <v>828</v>
      </c>
      <c r="J68" s="227"/>
    </row>
    <row r="69" spans="1:10" s="45" customFormat="1" ht="66" x14ac:dyDescent="0.25">
      <c r="A69" s="36"/>
      <c r="B69" s="36"/>
      <c r="C69" s="36"/>
      <c r="D69" s="36"/>
      <c r="E69" s="46" t="s">
        <v>395</v>
      </c>
      <c r="F69" s="38">
        <f>SUM(F70+F79+F81)</f>
        <v>98510</v>
      </c>
      <c r="G69" s="38">
        <f t="shared" ref="G69:I69" si="12">SUM(G70+G79+G81)</f>
        <v>0</v>
      </c>
      <c r="H69" s="38">
        <f t="shared" si="12"/>
        <v>0</v>
      </c>
      <c r="I69" s="38">
        <f t="shared" si="12"/>
        <v>98510</v>
      </c>
      <c r="J69" s="38">
        <f>SUM(J70+J79+J81+J78)</f>
        <v>0</v>
      </c>
    </row>
    <row r="70" spans="1:10" s="45" customFormat="1" ht="33" x14ac:dyDescent="0.25">
      <c r="A70" s="36"/>
      <c r="B70" s="36"/>
      <c r="C70" s="36"/>
      <c r="D70" s="36"/>
      <c r="E70" s="35" t="s">
        <v>91</v>
      </c>
      <c r="F70" s="38">
        <f>SUM(F71+F73+F76+F75+F78)</f>
        <v>64050</v>
      </c>
      <c r="G70" s="38">
        <f>SUM(G71+G73+G76+G75+G78)</f>
        <v>0</v>
      </c>
      <c r="H70" s="38">
        <f>SUM(H71+H73+H76+H75+H78)</f>
        <v>0</v>
      </c>
      <c r="I70" s="38">
        <f>SUM(I71+I73+I76+I75+I78)</f>
        <v>64050</v>
      </c>
      <c r="J70" s="38">
        <f>SUM(J71+J73+J76+J75+J78)</f>
        <v>0</v>
      </c>
    </row>
    <row r="71" spans="1:10" s="45" customFormat="1" ht="33" x14ac:dyDescent="0.25">
      <c r="A71" s="36"/>
      <c r="B71" s="36"/>
      <c r="C71" s="36"/>
      <c r="D71" s="36"/>
      <c r="E71" s="35" t="s">
        <v>25</v>
      </c>
      <c r="F71" s="38">
        <f>SUM(F72)</f>
        <v>350</v>
      </c>
      <c r="G71" s="38">
        <f t="shared" ref="G71" si="13">SUM(G72)</f>
        <v>0</v>
      </c>
      <c r="H71" s="38"/>
      <c r="I71" s="38">
        <v>350</v>
      </c>
      <c r="J71" s="230"/>
    </row>
    <row r="72" spans="1:10" s="45" customFormat="1" ht="33" x14ac:dyDescent="0.25">
      <c r="A72" s="36"/>
      <c r="B72" s="36"/>
      <c r="C72" s="36"/>
      <c r="D72" s="36"/>
      <c r="E72" s="34" t="s">
        <v>105</v>
      </c>
      <c r="F72" s="5">
        <f>SUM(G72:I72)</f>
        <v>350</v>
      </c>
      <c r="G72" s="5"/>
      <c r="H72" s="5"/>
      <c r="I72" s="5">
        <v>350</v>
      </c>
      <c r="J72" s="230"/>
    </row>
    <row r="73" spans="1:10" s="45" customFormat="1" ht="23.25" customHeight="1" x14ac:dyDescent="0.25">
      <c r="A73" s="36"/>
      <c r="B73" s="36"/>
      <c r="C73" s="36"/>
      <c r="D73" s="36"/>
      <c r="E73" s="35" t="s">
        <v>106</v>
      </c>
      <c r="F73" s="38">
        <f>SUM(G73:I73)</f>
        <v>37900</v>
      </c>
      <c r="G73" s="38"/>
      <c r="H73" s="38"/>
      <c r="I73" s="38">
        <f>SUM(I74)</f>
        <v>37900</v>
      </c>
      <c r="J73" s="38">
        <f t="shared" ref="J73" si="14">SUM(K73:M73)</f>
        <v>0</v>
      </c>
    </row>
    <row r="74" spans="1:10" s="45" customFormat="1" ht="23.25" customHeight="1" x14ac:dyDescent="0.25">
      <c r="A74" s="36"/>
      <c r="B74" s="36"/>
      <c r="C74" s="36"/>
      <c r="D74" s="36"/>
      <c r="E74" s="34" t="s">
        <v>107</v>
      </c>
      <c r="F74" s="5">
        <f t="shared" ref="F74:F95" si="15">SUM(G74:I74)</f>
        <v>37900</v>
      </c>
      <c r="G74" s="38"/>
      <c r="H74" s="38"/>
      <c r="I74" s="5">
        <v>37900</v>
      </c>
      <c r="J74" s="230"/>
    </row>
    <row r="75" spans="1:10" s="45" customFormat="1" ht="66" x14ac:dyDescent="0.25">
      <c r="A75" s="36"/>
      <c r="B75" s="36"/>
      <c r="C75" s="36"/>
      <c r="D75" s="36"/>
      <c r="E75" s="34" t="s">
        <v>411</v>
      </c>
      <c r="F75" s="38">
        <v>400</v>
      </c>
      <c r="G75" s="38"/>
      <c r="H75" s="38"/>
      <c r="I75" s="38">
        <v>400</v>
      </c>
      <c r="J75" s="230"/>
    </row>
    <row r="76" spans="1:10" s="45" customFormat="1" ht="23.25" customHeight="1" x14ac:dyDescent="0.25">
      <c r="A76" s="36"/>
      <c r="B76" s="36"/>
      <c r="C76" s="36"/>
      <c r="D76" s="36"/>
      <c r="E76" s="35" t="s">
        <v>108</v>
      </c>
      <c r="F76" s="38">
        <f t="shared" si="15"/>
        <v>1900</v>
      </c>
      <c r="G76" s="38"/>
      <c r="H76" s="38"/>
      <c r="I76" s="38">
        <v>1900</v>
      </c>
      <c r="J76" s="230"/>
    </row>
    <row r="77" spans="1:10" s="45" customFormat="1" ht="49.5" x14ac:dyDescent="0.25">
      <c r="A77" s="36"/>
      <c r="B77" s="36"/>
      <c r="C77" s="36"/>
      <c r="D77" s="36"/>
      <c r="E77" s="34" t="s">
        <v>109</v>
      </c>
      <c r="F77" s="5">
        <f t="shared" si="15"/>
        <v>1900</v>
      </c>
      <c r="G77" s="38"/>
      <c r="H77" s="38"/>
      <c r="I77" s="5">
        <v>1900</v>
      </c>
      <c r="J77" s="230"/>
    </row>
    <row r="78" spans="1:10" s="19" customFormat="1" ht="186.75" customHeight="1" x14ac:dyDescent="0.25">
      <c r="A78" s="7"/>
      <c r="B78" s="7"/>
      <c r="C78" s="7"/>
      <c r="D78" s="7"/>
      <c r="E78" s="235" t="s">
        <v>130</v>
      </c>
      <c r="F78" s="38">
        <v>23500</v>
      </c>
      <c r="G78" s="38"/>
      <c r="H78" s="38"/>
      <c r="I78" s="38">
        <v>23500</v>
      </c>
      <c r="J78" s="227"/>
    </row>
    <row r="79" spans="1:10" s="45" customFormat="1" ht="33" x14ac:dyDescent="0.25">
      <c r="A79" s="36"/>
      <c r="B79" s="36"/>
      <c r="C79" s="36"/>
      <c r="D79" s="36"/>
      <c r="E79" s="35" t="s">
        <v>95</v>
      </c>
      <c r="F79" s="38">
        <f>SUM(G79:I79)</f>
        <v>200</v>
      </c>
      <c r="G79" s="38">
        <f t="shared" ref="G79" si="16">SUM(G80)</f>
        <v>0</v>
      </c>
      <c r="H79" s="38"/>
      <c r="I79" s="38">
        <v>200</v>
      </c>
      <c r="J79" s="230"/>
    </row>
    <row r="80" spans="1:10" s="45" customFormat="1" ht="49.5" x14ac:dyDescent="0.25">
      <c r="A80" s="36"/>
      <c r="B80" s="36"/>
      <c r="C80" s="36"/>
      <c r="D80" s="36"/>
      <c r="E80" s="34" t="s">
        <v>110</v>
      </c>
      <c r="F80" s="5">
        <f t="shared" si="15"/>
        <v>200</v>
      </c>
      <c r="G80" s="38"/>
      <c r="H80" s="38"/>
      <c r="I80" s="5">
        <v>200</v>
      </c>
      <c r="J80" s="230"/>
    </row>
    <row r="81" spans="1:10" s="45" customFormat="1" ht="33" x14ac:dyDescent="0.25">
      <c r="A81" s="36"/>
      <c r="B81" s="36"/>
      <c r="C81" s="36"/>
      <c r="D81" s="36"/>
      <c r="E81" s="35" t="s">
        <v>96</v>
      </c>
      <c r="F81" s="38">
        <f>SUM(F82:F95)</f>
        <v>34260</v>
      </c>
      <c r="G81" s="38">
        <f>SUM(G82:G95)</f>
        <v>0</v>
      </c>
      <c r="H81" s="38">
        <f>SUM(H82:H95)</f>
        <v>0</v>
      </c>
      <c r="I81" s="38">
        <f>SUM(I82:I95)</f>
        <v>34260</v>
      </c>
      <c r="J81" s="230"/>
    </row>
    <row r="82" spans="1:10" s="45" customFormat="1" ht="49.5" x14ac:dyDescent="0.25">
      <c r="A82" s="36"/>
      <c r="B82" s="36"/>
      <c r="C82" s="36"/>
      <c r="D82" s="36"/>
      <c r="E82" s="34" t="s">
        <v>111</v>
      </c>
      <c r="F82" s="5">
        <f t="shared" si="15"/>
        <v>7000</v>
      </c>
      <c r="G82" s="38"/>
      <c r="H82" s="38"/>
      <c r="I82" s="5">
        <v>7000</v>
      </c>
      <c r="J82" s="230"/>
    </row>
    <row r="83" spans="1:10" s="45" customFormat="1" ht="49.5" x14ac:dyDescent="0.25">
      <c r="A83" s="36"/>
      <c r="B83" s="36"/>
      <c r="C83" s="36"/>
      <c r="D83" s="36"/>
      <c r="E83" s="34" t="s">
        <v>112</v>
      </c>
      <c r="F83" s="5">
        <f t="shared" si="15"/>
        <v>3600</v>
      </c>
      <c r="G83" s="38"/>
      <c r="H83" s="38"/>
      <c r="I83" s="5">
        <v>3600</v>
      </c>
      <c r="J83" s="230"/>
    </row>
    <row r="84" spans="1:10" s="45" customFormat="1" ht="66" x14ac:dyDescent="0.25">
      <c r="A84" s="36"/>
      <c r="B84" s="36"/>
      <c r="C84" s="36"/>
      <c r="D84" s="36"/>
      <c r="E84" s="34" t="s">
        <v>412</v>
      </c>
      <c r="F84" s="5">
        <v>700</v>
      </c>
      <c r="G84" s="38"/>
      <c r="H84" s="38"/>
      <c r="I84" s="5">
        <v>700</v>
      </c>
      <c r="J84" s="230"/>
    </row>
    <row r="85" spans="1:10" s="45" customFormat="1" ht="33" x14ac:dyDescent="0.25">
      <c r="A85" s="36"/>
      <c r="B85" s="36"/>
      <c r="C85" s="36"/>
      <c r="D85" s="36"/>
      <c r="E85" s="34" t="s">
        <v>113</v>
      </c>
      <c r="F85" s="5">
        <f t="shared" si="15"/>
        <v>1300</v>
      </c>
      <c r="G85" s="38"/>
      <c r="H85" s="38"/>
      <c r="I85" s="5">
        <v>1300</v>
      </c>
      <c r="J85" s="230"/>
    </row>
    <row r="86" spans="1:10" s="45" customFormat="1" ht="49.5" x14ac:dyDescent="0.25">
      <c r="A86" s="36"/>
      <c r="B86" s="36"/>
      <c r="C86" s="36"/>
      <c r="D86" s="36"/>
      <c r="E86" s="34" t="s">
        <v>114</v>
      </c>
      <c r="F86" s="5">
        <f>SUM(G86:I86)</f>
        <v>3370</v>
      </c>
      <c r="G86" s="38"/>
      <c r="H86" s="38"/>
      <c r="I86" s="5">
        <v>3370</v>
      </c>
      <c r="J86" s="230"/>
    </row>
    <row r="87" spans="1:10" s="45" customFormat="1" ht="66" x14ac:dyDescent="0.25">
      <c r="A87" s="36"/>
      <c r="B87" s="36"/>
      <c r="C87" s="36"/>
      <c r="D87" s="36"/>
      <c r="E87" s="34" t="s">
        <v>115</v>
      </c>
      <c r="F87" s="5">
        <f t="shared" si="15"/>
        <v>2400</v>
      </c>
      <c r="G87" s="38"/>
      <c r="H87" s="38"/>
      <c r="I87" s="5">
        <v>2400</v>
      </c>
      <c r="J87" s="230"/>
    </row>
    <row r="88" spans="1:10" s="45" customFormat="1" ht="49.5" x14ac:dyDescent="0.25">
      <c r="A88" s="36"/>
      <c r="B88" s="36"/>
      <c r="C88" s="36"/>
      <c r="D88" s="36"/>
      <c r="E88" s="34" t="s">
        <v>116</v>
      </c>
      <c r="F88" s="5">
        <f t="shared" si="15"/>
        <v>2200</v>
      </c>
      <c r="G88" s="38"/>
      <c r="H88" s="38"/>
      <c r="I88" s="5">
        <v>2200</v>
      </c>
      <c r="J88" s="230"/>
    </row>
    <row r="89" spans="1:10" s="45" customFormat="1" ht="49.5" x14ac:dyDescent="0.25">
      <c r="A89" s="36"/>
      <c r="B89" s="36"/>
      <c r="C89" s="36"/>
      <c r="D89" s="36"/>
      <c r="E89" s="34" t="s">
        <v>117</v>
      </c>
      <c r="F89" s="5">
        <f>SUM(G89:I89)</f>
        <v>1130</v>
      </c>
      <c r="G89" s="38"/>
      <c r="H89" s="38"/>
      <c r="I89" s="5">
        <v>1130</v>
      </c>
      <c r="J89" s="230"/>
    </row>
    <row r="90" spans="1:10" s="45" customFormat="1" ht="33" x14ac:dyDescent="0.25">
      <c r="A90" s="36"/>
      <c r="B90" s="36"/>
      <c r="C90" s="36"/>
      <c r="D90" s="36"/>
      <c r="E90" s="34" t="s">
        <v>118</v>
      </c>
      <c r="F90" s="5">
        <f t="shared" si="15"/>
        <v>700</v>
      </c>
      <c r="G90" s="38"/>
      <c r="H90" s="38"/>
      <c r="I90" s="5">
        <v>700</v>
      </c>
      <c r="J90" s="230"/>
    </row>
    <row r="91" spans="1:10" s="45" customFormat="1" ht="49.5" x14ac:dyDescent="0.25">
      <c r="A91" s="36"/>
      <c r="B91" s="36"/>
      <c r="C91" s="36"/>
      <c r="D91" s="36"/>
      <c r="E91" s="34" t="s">
        <v>119</v>
      </c>
      <c r="F91" s="5">
        <f t="shared" si="15"/>
        <v>1360</v>
      </c>
      <c r="G91" s="38"/>
      <c r="H91" s="38"/>
      <c r="I91" s="5">
        <v>1360</v>
      </c>
      <c r="J91" s="230"/>
    </row>
    <row r="92" spans="1:10" s="45" customFormat="1" ht="49.5" x14ac:dyDescent="0.25">
      <c r="A92" s="36"/>
      <c r="B92" s="36"/>
      <c r="C92" s="36"/>
      <c r="D92" s="36"/>
      <c r="E92" s="34" t="s">
        <v>120</v>
      </c>
      <c r="F92" s="5">
        <f t="shared" si="15"/>
        <v>1300</v>
      </c>
      <c r="G92" s="38"/>
      <c r="H92" s="38"/>
      <c r="I92" s="5">
        <v>1300</v>
      </c>
      <c r="J92" s="230"/>
    </row>
    <row r="93" spans="1:10" s="45" customFormat="1" ht="33" x14ac:dyDescent="0.25">
      <c r="A93" s="36"/>
      <c r="B93" s="36"/>
      <c r="C93" s="36"/>
      <c r="D93" s="36"/>
      <c r="E93" s="34" t="s">
        <v>121</v>
      </c>
      <c r="F93" s="5">
        <f t="shared" si="15"/>
        <v>1500</v>
      </c>
      <c r="G93" s="38"/>
      <c r="H93" s="38"/>
      <c r="I93" s="5">
        <v>1500</v>
      </c>
      <c r="J93" s="230"/>
    </row>
    <row r="94" spans="1:10" s="45" customFormat="1" ht="49.5" x14ac:dyDescent="0.25">
      <c r="A94" s="36"/>
      <c r="B94" s="36"/>
      <c r="C94" s="36"/>
      <c r="D94" s="36"/>
      <c r="E94" s="34" t="s">
        <v>122</v>
      </c>
      <c r="F94" s="5">
        <f t="shared" si="15"/>
        <v>6000</v>
      </c>
      <c r="G94" s="38"/>
      <c r="H94" s="38"/>
      <c r="I94" s="5">
        <v>6000</v>
      </c>
      <c r="J94" s="230"/>
    </row>
    <row r="95" spans="1:10" s="45" customFormat="1" ht="33" x14ac:dyDescent="0.25">
      <c r="A95" s="36"/>
      <c r="B95" s="36"/>
      <c r="C95" s="36"/>
      <c r="D95" s="36"/>
      <c r="E95" s="34" t="s">
        <v>123</v>
      </c>
      <c r="F95" s="5">
        <f t="shared" si="15"/>
        <v>1700</v>
      </c>
      <c r="G95" s="38"/>
      <c r="H95" s="38"/>
      <c r="I95" s="5">
        <v>1700</v>
      </c>
      <c r="J95" s="230"/>
    </row>
    <row r="96" spans="1:10" s="10" customFormat="1" ht="33" x14ac:dyDescent="0.25">
      <c r="A96" s="7" t="s">
        <v>10</v>
      </c>
      <c r="B96" s="7" t="s">
        <v>11</v>
      </c>
      <c r="C96" s="7" t="s">
        <v>12</v>
      </c>
      <c r="D96" s="44" t="s">
        <v>60</v>
      </c>
      <c r="E96" s="23" t="s">
        <v>80</v>
      </c>
      <c r="F96" s="65">
        <f t="shared" ref="F96:G96" si="17">SUM(F98+F112)</f>
        <v>314663.8</v>
      </c>
      <c r="G96" s="65">
        <f t="shared" si="17"/>
        <v>0</v>
      </c>
      <c r="H96" s="65">
        <f>SUM(H98+H112)</f>
        <v>314515.40000000002</v>
      </c>
      <c r="I96" s="65">
        <f>SUM(I98+I112)</f>
        <v>148.40000000000009</v>
      </c>
      <c r="J96" s="65">
        <f t="shared" ref="J96" si="18">SUM(J98+J112)</f>
        <v>0</v>
      </c>
    </row>
    <row r="97" spans="1:10" s="19" customFormat="1" ht="16.5" x14ac:dyDescent="0.25">
      <c r="A97" s="7"/>
      <c r="B97" s="7"/>
      <c r="C97" s="7"/>
      <c r="D97" s="8"/>
      <c r="E97" s="20" t="s">
        <v>73</v>
      </c>
      <c r="F97" s="65"/>
      <c r="G97" s="65"/>
      <c r="H97" s="65"/>
      <c r="I97" s="5"/>
      <c r="J97" s="227"/>
    </row>
    <row r="98" spans="1:10" s="19" customFormat="1" ht="33" x14ac:dyDescent="0.25">
      <c r="A98" s="7"/>
      <c r="B98" s="7"/>
      <c r="C98" s="7"/>
      <c r="D98" s="8"/>
      <c r="E98" s="9" t="s">
        <v>133</v>
      </c>
      <c r="F98" s="65">
        <f>SUM(F101+F104+F105+F106+F107+F108+F109+F110+F111+F99)</f>
        <v>311723.8</v>
      </c>
      <c r="G98" s="65">
        <f t="shared" ref="G98:H98" si="19">SUM(G101+G104+G105+G106+G107+G108+G109+G110+G111+G99)</f>
        <v>0</v>
      </c>
      <c r="H98" s="65">
        <f t="shared" si="19"/>
        <v>314515.40000000002</v>
      </c>
      <c r="I98" s="65">
        <f>SUM(I101+I104+I105+I106+I107+I108+I109+I110+I111+I99)</f>
        <v>-2791.6</v>
      </c>
      <c r="J98" s="65">
        <f t="shared" ref="J98" si="20">SUM(J101+J104+J105+J106+J107+J108+J109+J110+J111+J99)</f>
        <v>0</v>
      </c>
    </row>
    <row r="99" spans="1:10" s="19" customFormat="1" ht="33" x14ac:dyDescent="0.25">
      <c r="A99" s="7"/>
      <c r="B99" s="7"/>
      <c r="C99" s="7"/>
      <c r="D99" s="8"/>
      <c r="E99" s="25" t="s">
        <v>18</v>
      </c>
      <c r="F99" s="65">
        <f>SUM(F100)</f>
        <v>-2370</v>
      </c>
      <c r="G99" s="65">
        <f t="shared" ref="G99:J99" si="21">SUM(G100)</f>
        <v>0</v>
      </c>
      <c r="H99" s="65">
        <f t="shared" si="21"/>
        <v>0</v>
      </c>
      <c r="I99" s="65">
        <f t="shared" si="21"/>
        <v>-2370</v>
      </c>
      <c r="J99" s="65">
        <f t="shared" si="21"/>
        <v>0</v>
      </c>
    </row>
    <row r="100" spans="1:10" s="19" customFormat="1" ht="33" x14ac:dyDescent="0.25">
      <c r="A100" s="7"/>
      <c r="B100" s="7"/>
      <c r="C100" s="7"/>
      <c r="D100" s="8"/>
      <c r="E100" s="31" t="s">
        <v>81</v>
      </c>
      <c r="F100" s="69">
        <f>SUM(G100:J100)</f>
        <v>-2370</v>
      </c>
      <c r="G100" s="69"/>
      <c r="H100" s="69"/>
      <c r="I100" s="69">
        <f>630-3000</f>
        <v>-2370</v>
      </c>
      <c r="J100" s="21"/>
    </row>
    <row r="101" spans="1:10" s="19" customFormat="1" ht="33" x14ac:dyDescent="0.25">
      <c r="A101" s="7"/>
      <c r="B101" s="7"/>
      <c r="C101" s="7"/>
      <c r="D101" s="7"/>
      <c r="E101" s="25" t="s">
        <v>48</v>
      </c>
      <c r="F101" s="38">
        <f>F102+F103</f>
        <v>-1611.5</v>
      </c>
      <c r="G101" s="38">
        <f>G102+G103</f>
        <v>0</v>
      </c>
      <c r="H101" s="38">
        <f t="shared" ref="H101:J101" si="22">H102+H103</f>
        <v>-1611.5</v>
      </c>
      <c r="I101" s="38">
        <f t="shared" si="22"/>
        <v>0</v>
      </c>
      <c r="J101" s="26">
        <f t="shared" si="22"/>
        <v>0</v>
      </c>
    </row>
    <row r="102" spans="1:10" s="10" customFormat="1" ht="33" x14ac:dyDescent="0.25">
      <c r="A102" s="8"/>
      <c r="B102" s="8"/>
      <c r="C102" s="8"/>
      <c r="D102" s="22"/>
      <c r="E102" s="31" t="s">
        <v>49</v>
      </c>
      <c r="F102" s="5">
        <f t="shared" ref="F102:F111" si="23">SUM(G102:I102)</f>
        <v>-1111.5</v>
      </c>
      <c r="G102" s="69"/>
      <c r="H102" s="69">
        <f>45453-46564.5</f>
        <v>-1111.5</v>
      </c>
      <c r="I102" s="38"/>
      <c r="J102" s="228"/>
    </row>
    <row r="103" spans="1:10" s="10" customFormat="1" ht="33" x14ac:dyDescent="0.25">
      <c r="A103" s="8"/>
      <c r="B103" s="8"/>
      <c r="C103" s="8"/>
      <c r="D103" s="22"/>
      <c r="E103" s="31" t="s">
        <v>50</v>
      </c>
      <c r="F103" s="5">
        <f t="shared" si="23"/>
        <v>-500</v>
      </c>
      <c r="G103" s="69"/>
      <c r="H103" s="69">
        <f>25663-26163</f>
        <v>-500</v>
      </c>
      <c r="I103" s="38"/>
      <c r="J103" s="228"/>
    </row>
    <row r="104" spans="1:10" s="19" customFormat="1" ht="66" x14ac:dyDescent="0.25">
      <c r="A104" s="7"/>
      <c r="B104" s="7"/>
      <c r="C104" s="7"/>
      <c r="D104" s="7"/>
      <c r="E104" s="25" t="s">
        <v>51</v>
      </c>
      <c r="F104" s="68">
        <f t="shared" si="23"/>
        <v>100972.5</v>
      </c>
      <c r="G104" s="38"/>
      <c r="H104" s="38">
        <v>101174.5</v>
      </c>
      <c r="I104" s="38">
        <f>798-1000</f>
        <v>-202</v>
      </c>
      <c r="J104" s="227"/>
    </row>
    <row r="105" spans="1:10" s="19" customFormat="1" ht="49.5" x14ac:dyDescent="0.25">
      <c r="A105" s="7"/>
      <c r="B105" s="7"/>
      <c r="C105" s="7"/>
      <c r="D105" s="7"/>
      <c r="E105" s="25" t="s">
        <v>52</v>
      </c>
      <c r="F105" s="38">
        <f t="shared" si="23"/>
        <v>58088.2</v>
      </c>
      <c r="G105" s="38"/>
      <c r="H105" s="38">
        <v>58090.2</v>
      </c>
      <c r="I105" s="38">
        <f>798-800</f>
        <v>-2</v>
      </c>
      <c r="J105" s="227"/>
    </row>
    <row r="106" spans="1:10" s="19" customFormat="1" ht="49.5" x14ac:dyDescent="0.25">
      <c r="A106" s="7"/>
      <c r="B106" s="7"/>
      <c r="C106" s="7"/>
      <c r="D106" s="7"/>
      <c r="E106" s="25" t="s">
        <v>53</v>
      </c>
      <c r="F106" s="38">
        <f t="shared" si="23"/>
        <v>23168.400000000001</v>
      </c>
      <c r="G106" s="38"/>
      <c r="H106" s="38">
        <v>23036</v>
      </c>
      <c r="I106" s="38">
        <f>932.4-800</f>
        <v>132.39999999999998</v>
      </c>
      <c r="J106" s="227"/>
    </row>
    <row r="107" spans="1:10" s="19" customFormat="1" ht="82.5" x14ac:dyDescent="0.25">
      <c r="A107" s="7"/>
      <c r="B107" s="7"/>
      <c r="C107" s="7"/>
      <c r="D107" s="7"/>
      <c r="E107" s="25" t="s">
        <v>82</v>
      </c>
      <c r="F107" s="68">
        <f t="shared" si="23"/>
        <v>23724.400000000001</v>
      </c>
      <c r="G107" s="38"/>
      <c r="H107" s="38">
        <v>23814.400000000001</v>
      </c>
      <c r="I107" s="38">
        <f>510-600</f>
        <v>-90</v>
      </c>
      <c r="J107" s="227"/>
    </row>
    <row r="108" spans="1:10" s="19" customFormat="1" ht="49.5" x14ac:dyDescent="0.25">
      <c r="A108" s="7"/>
      <c r="B108" s="7"/>
      <c r="C108" s="7"/>
      <c r="D108" s="7"/>
      <c r="E108" s="25" t="s">
        <v>54</v>
      </c>
      <c r="F108" s="38">
        <f t="shared" si="23"/>
        <v>15880.9</v>
      </c>
      <c r="G108" s="38"/>
      <c r="H108" s="38">
        <v>15990.9</v>
      </c>
      <c r="I108" s="38">
        <f>690-800</f>
        <v>-110</v>
      </c>
      <c r="J108" s="227"/>
    </row>
    <row r="109" spans="1:10" s="19" customFormat="1" ht="66" x14ac:dyDescent="0.25">
      <c r="A109" s="7"/>
      <c r="B109" s="7"/>
      <c r="C109" s="7"/>
      <c r="D109" s="7"/>
      <c r="E109" s="25" t="s">
        <v>55</v>
      </c>
      <c r="F109" s="68">
        <f t="shared" si="23"/>
        <v>25435.4</v>
      </c>
      <c r="G109" s="38"/>
      <c r="H109" s="38">
        <v>25525.4</v>
      </c>
      <c r="I109" s="38">
        <f>510-600</f>
        <v>-90</v>
      </c>
      <c r="J109" s="227"/>
    </row>
    <row r="110" spans="1:10" s="19" customFormat="1" ht="49.5" x14ac:dyDescent="0.25">
      <c r="A110" s="7"/>
      <c r="B110" s="7"/>
      <c r="C110" s="7"/>
      <c r="D110" s="7"/>
      <c r="E110" s="25" t="s">
        <v>56</v>
      </c>
      <c r="F110" s="38">
        <f t="shared" si="23"/>
        <v>60754.1</v>
      </c>
      <c r="G110" s="38"/>
      <c r="H110" s="38">
        <v>60814.1</v>
      </c>
      <c r="I110" s="38">
        <f>1140-1200</f>
        <v>-60</v>
      </c>
      <c r="J110" s="227"/>
    </row>
    <row r="111" spans="1:10" s="19" customFormat="1" ht="49.5" x14ac:dyDescent="0.25">
      <c r="A111" s="7"/>
      <c r="B111" s="7"/>
      <c r="C111" s="7"/>
      <c r="D111" s="7"/>
      <c r="E111" s="25" t="s">
        <v>104</v>
      </c>
      <c r="F111" s="38">
        <f t="shared" si="23"/>
        <v>7681.4</v>
      </c>
      <c r="G111" s="38"/>
      <c r="H111" s="38">
        <v>7681.4</v>
      </c>
      <c r="I111" s="38"/>
      <c r="J111" s="227"/>
    </row>
    <row r="112" spans="1:10" s="19" customFormat="1" ht="66" x14ac:dyDescent="0.25">
      <c r="A112" s="7"/>
      <c r="B112" s="7"/>
      <c r="C112" s="7"/>
      <c r="D112" s="7"/>
      <c r="E112" s="46" t="s">
        <v>395</v>
      </c>
      <c r="F112" s="38">
        <f>SUM(F114+F117+F119+F115)</f>
        <v>2940</v>
      </c>
      <c r="G112" s="38">
        <f t="shared" ref="G112:I112" si="24">SUM(G114+G117+G119+G115)</f>
        <v>0</v>
      </c>
      <c r="H112" s="38">
        <f t="shared" si="24"/>
        <v>0</v>
      </c>
      <c r="I112" s="38">
        <f t="shared" si="24"/>
        <v>2940</v>
      </c>
      <c r="J112" s="38">
        <f t="shared" ref="J112" si="25">SUM(J114+J117+J119)</f>
        <v>0</v>
      </c>
    </row>
    <row r="113" spans="1:10" s="19" customFormat="1" ht="16.5" x14ac:dyDescent="0.25">
      <c r="A113" s="7"/>
      <c r="B113" s="7"/>
      <c r="C113" s="7"/>
      <c r="D113" s="7"/>
      <c r="E113" s="32" t="s">
        <v>124</v>
      </c>
      <c r="F113" s="38">
        <f>SUM(F114)</f>
        <v>1900</v>
      </c>
      <c r="G113" s="38">
        <f t="shared" ref="G113:J113" si="26">SUM(G114)</f>
        <v>0</v>
      </c>
      <c r="H113" s="38">
        <f t="shared" si="26"/>
        <v>0</v>
      </c>
      <c r="I113" s="38">
        <f t="shared" si="26"/>
        <v>1900</v>
      </c>
      <c r="J113" s="26">
        <f t="shared" si="26"/>
        <v>0</v>
      </c>
    </row>
    <row r="114" spans="1:10" s="19" customFormat="1" ht="16.5" x14ac:dyDescent="0.25">
      <c r="A114" s="7"/>
      <c r="B114" s="7"/>
      <c r="C114" s="7"/>
      <c r="D114" s="7"/>
      <c r="E114" s="47" t="s">
        <v>125</v>
      </c>
      <c r="F114" s="5">
        <v>1900</v>
      </c>
      <c r="G114" s="5">
        <v>0</v>
      </c>
      <c r="H114" s="5">
        <v>0</v>
      </c>
      <c r="I114" s="5">
        <v>1900</v>
      </c>
      <c r="J114" s="227"/>
    </row>
    <row r="115" spans="1:10" s="19" customFormat="1" ht="33" x14ac:dyDescent="0.25">
      <c r="A115" s="7"/>
      <c r="B115" s="7"/>
      <c r="C115" s="7"/>
      <c r="D115" s="7"/>
      <c r="E115" s="47" t="s">
        <v>413</v>
      </c>
      <c r="F115" s="38">
        <v>440</v>
      </c>
      <c r="G115" s="5"/>
      <c r="H115" s="5"/>
      <c r="I115" s="38">
        <v>440</v>
      </c>
      <c r="J115" s="227"/>
    </row>
    <row r="116" spans="1:10" s="19" customFormat="1" ht="33" x14ac:dyDescent="0.25">
      <c r="A116" s="7"/>
      <c r="B116" s="7"/>
      <c r="C116" s="7"/>
      <c r="D116" s="7"/>
      <c r="E116" s="32" t="s">
        <v>126</v>
      </c>
      <c r="F116" s="38">
        <f>SUM(F117)</f>
        <v>500</v>
      </c>
      <c r="G116" s="38">
        <f t="shared" ref="G116:J116" si="27">SUM(G117)</f>
        <v>0</v>
      </c>
      <c r="H116" s="38">
        <f t="shared" si="27"/>
        <v>0</v>
      </c>
      <c r="I116" s="38">
        <f t="shared" si="27"/>
        <v>500</v>
      </c>
      <c r="J116" s="26">
        <f t="shared" si="27"/>
        <v>0</v>
      </c>
    </row>
    <row r="117" spans="1:10" s="19" customFormat="1" ht="16.5" x14ac:dyDescent="0.25">
      <c r="A117" s="7"/>
      <c r="B117" s="7"/>
      <c r="C117" s="7"/>
      <c r="D117" s="7"/>
      <c r="E117" s="48" t="s">
        <v>127</v>
      </c>
      <c r="F117" s="5">
        <f>SUM(G117:I117)</f>
        <v>500</v>
      </c>
      <c r="G117" s="38"/>
      <c r="H117" s="38"/>
      <c r="I117" s="5">
        <v>500</v>
      </c>
      <c r="J117" s="227"/>
    </row>
    <row r="118" spans="1:10" s="19" customFormat="1" ht="16.5" x14ac:dyDescent="0.25">
      <c r="A118" s="7"/>
      <c r="B118" s="7"/>
      <c r="C118" s="7"/>
      <c r="D118" s="7"/>
      <c r="E118" s="49" t="s">
        <v>128</v>
      </c>
      <c r="F118" s="38">
        <f>SUM(F119)</f>
        <v>100</v>
      </c>
      <c r="G118" s="38">
        <f t="shared" ref="G118:J118" si="28">SUM(G119)</f>
        <v>0</v>
      </c>
      <c r="H118" s="38">
        <f t="shared" si="28"/>
        <v>0</v>
      </c>
      <c r="I118" s="38">
        <f t="shared" si="28"/>
        <v>100</v>
      </c>
      <c r="J118" s="26">
        <f t="shared" si="28"/>
        <v>0</v>
      </c>
    </row>
    <row r="119" spans="1:10" s="19" customFormat="1" ht="16.5" x14ac:dyDescent="0.25">
      <c r="A119" s="7"/>
      <c r="B119" s="7"/>
      <c r="C119" s="7"/>
      <c r="D119" s="7"/>
      <c r="E119" s="50" t="s">
        <v>129</v>
      </c>
      <c r="F119" s="5">
        <f>SUM(G119:I119)</f>
        <v>100</v>
      </c>
      <c r="G119" s="5"/>
      <c r="H119" s="5"/>
      <c r="I119" s="5">
        <v>100</v>
      </c>
      <c r="J119" s="227"/>
    </row>
    <row r="120" spans="1:10" s="10" customFormat="1" ht="16.5" x14ac:dyDescent="0.25">
      <c r="A120" s="7"/>
      <c r="B120" s="7"/>
      <c r="C120" s="7"/>
      <c r="D120" s="8"/>
      <c r="E120" s="18" t="s">
        <v>58</v>
      </c>
      <c r="F120" s="226">
        <f>SUM(F122)</f>
        <v>-5880335.2999999998</v>
      </c>
      <c r="G120" s="226">
        <f t="shared" ref="G120:I120" si="29">SUM(G122)</f>
        <v>0</v>
      </c>
      <c r="H120" s="226">
        <f t="shared" si="29"/>
        <v>-5880335.2999999998</v>
      </c>
      <c r="I120" s="226">
        <f t="shared" si="29"/>
        <v>0</v>
      </c>
      <c r="J120" s="228"/>
    </row>
    <row r="121" spans="1:10" s="19" customFormat="1" ht="16.5" x14ac:dyDescent="0.25">
      <c r="A121" s="7"/>
      <c r="B121" s="7"/>
      <c r="C121" s="7"/>
      <c r="D121" s="8"/>
      <c r="E121" s="20" t="s">
        <v>73</v>
      </c>
      <c r="F121" s="65"/>
      <c r="G121" s="65"/>
      <c r="H121" s="65"/>
      <c r="I121" s="65"/>
      <c r="J121" s="227"/>
    </row>
    <row r="122" spans="1:10" s="10" customFormat="1" ht="49.5" x14ac:dyDescent="0.25">
      <c r="A122" s="7" t="s">
        <v>10</v>
      </c>
      <c r="B122" s="7" t="s">
        <v>11</v>
      </c>
      <c r="C122" s="7" t="s">
        <v>12</v>
      </c>
      <c r="D122" s="22" t="s">
        <v>12</v>
      </c>
      <c r="E122" s="23" t="s">
        <v>59</v>
      </c>
      <c r="F122" s="65">
        <f>SUM(G122:I122)</f>
        <v>-5880335.2999999998</v>
      </c>
      <c r="G122" s="65"/>
      <c r="H122" s="65">
        <v>-5880335.2999999998</v>
      </c>
      <c r="I122" s="65"/>
      <c r="J122" s="228"/>
    </row>
    <row r="132" spans="6:10" x14ac:dyDescent="0.25">
      <c r="F132" s="53"/>
      <c r="G132" s="53"/>
      <c r="H132" s="53"/>
      <c r="I132" s="53"/>
      <c r="J132" s="53"/>
    </row>
    <row r="133" spans="6:10" x14ac:dyDescent="0.25">
      <c r="F133" s="53"/>
      <c r="G133" s="53"/>
      <c r="H133" s="53"/>
      <c r="I133" s="53"/>
      <c r="J133" s="53"/>
    </row>
    <row r="134" spans="6:10" x14ac:dyDescent="0.25">
      <c r="F134" s="53"/>
      <c r="G134" s="53"/>
      <c r="H134" s="53"/>
      <c r="I134" s="53"/>
      <c r="J134" s="53"/>
    </row>
    <row r="135" spans="6:10" x14ac:dyDescent="0.25">
      <c r="F135" s="53"/>
      <c r="G135" s="53"/>
      <c r="H135" s="53"/>
      <c r="I135" s="53"/>
      <c r="J135" s="53"/>
    </row>
    <row r="136" spans="6:10" x14ac:dyDescent="0.25">
      <c r="F136" s="53"/>
      <c r="G136" s="53"/>
      <c r="H136" s="53"/>
      <c r="I136" s="53"/>
      <c r="J136" s="53"/>
    </row>
    <row r="137" spans="6:10" x14ac:dyDescent="0.25">
      <c r="F137" s="53"/>
      <c r="G137" s="53"/>
      <c r="H137" s="53"/>
      <c r="I137" s="53"/>
      <c r="J137" s="53"/>
    </row>
    <row r="138" spans="6:10" x14ac:dyDescent="0.25">
      <c r="F138" s="53"/>
      <c r="G138" s="53"/>
      <c r="H138" s="53"/>
      <c r="I138" s="53"/>
      <c r="J138" s="53"/>
    </row>
    <row r="139" spans="6:10" x14ac:dyDescent="0.25">
      <c r="F139" s="53"/>
      <c r="G139" s="53"/>
      <c r="H139" s="53"/>
      <c r="I139" s="53"/>
      <c r="J139" s="53"/>
    </row>
    <row r="140" spans="6:10" x14ac:dyDescent="0.25">
      <c r="F140" s="53"/>
      <c r="G140" s="53"/>
      <c r="H140" s="53"/>
      <c r="I140" s="53"/>
      <c r="J140" s="53"/>
    </row>
    <row r="141" spans="6:10" x14ac:dyDescent="0.25">
      <c r="F141" s="53"/>
      <c r="G141" s="53"/>
      <c r="H141" s="53"/>
      <c r="I141" s="53"/>
      <c r="J141" s="53"/>
    </row>
    <row r="142" spans="6:10" x14ac:dyDescent="0.25">
      <c r="F142" s="53"/>
      <c r="G142" s="53"/>
      <c r="H142" s="53"/>
      <c r="I142" s="53"/>
      <c r="J142" s="53"/>
    </row>
    <row r="143" spans="6:10" x14ac:dyDescent="0.25">
      <c r="F143" s="53"/>
      <c r="G143" s="53"/>
      <c r="H143" s="53"/>
      <c r="I143" s="53"/>
      <c r="J143" s="53"/>
    </row>
    <row r="144" spans="6:10" x14ac:dyDescent="0.25">
      <c r="F144" s="53"/>
      <c r="G144" s="53"/>
      <c r="H144" s="53"/>
      <c r="I144" s="53"/>
      <c r="J144" s="53"/>
    </row>
    <row r="145" spans="6:10" x14ac:dyDescent="0.25">
      <c r="F145" s="53"/>
      <c r="G145" s="53"/>
      <c r="H145" s="53"/>
      <c r="I145" s="53"/>
      <c r="J145" s="53"/>
    </row>
    <row r="146" spans="6:10" x14ac:dyDescent="0.25">
      <c r="F146" s="53"/>
      <c r="G146" s="53"/>
      <c r="H146" s="53"/>
      <c r="I146" s="53"/>
      <c r="J146" s="53"/>
    </row>
    <row r="147" spans="6:10" x14ac:dyDescent="0.25">
      <c r="F147" s="53"/>
      <c r="G147" s="53"/>
      <c r="H147" s="53"/>
      <c r="I147" s="53"/>
      <c r="J147" s="53"/>
    </row>
    <row r="148" spans="6:10" x14ac:dyDescent="0.25">
      <c r="F148" s="53"/>
      <c r="G148" s="53"/>
      <c r="H148" s="53"/>
      <c r="I148" s="53"/>
      <c r="J148" s="53"/>
    </row>
    <row r="149" spans="6:10" x14ac:dyDescent="0.25">
      <c r="F149" s="53"/>
      <c r="G149" s="53"/>
      <c r="H149" s="53"/>
      <c r="I149" s="53"/>
      <c r="J149" s="53"/>
    </row>
    <row r="150" spans="6:10" x14ac:dyDescent="0.25">
      <c r="F150" s="53"/>
      <c r="G150" s="53"/>
      <c r="H150" s="53"/>
      <c r="I150" s="53"/>
      <c r="J150" s="53"/>
    </row>
    <row r="151" spans="6:10" x14ac:dyDescent="0.25">
      <c r="F151" s="53"/>
      <c r="G151" s="53"/>
      <c r="H151" s="53"/>
      <c r="I151" s="53"/>
      <c r="J151" s="53"/>
    </row>
    <row r="152" spans="6:10" x14ac:dyDescent="0.25">
      <c r="F152" s="53"/>
      <c r="G152" s="53"/>
      <c r="H152" s="53"/>
      <c r="I152" s="53"/>
      <c r="J152" s="53"/>
    </row>
    <row r="153" spans="6:10" x14ac:dyDescent="0.25">
      <c r="F153" s="53"/>
      <c r="G153" s="53"/>
      <c r="H153" s="53"/>
      <c r="I153" s="53"/>
      <c r="J153" s="53"/>
    </row>
    <row r="154" spans="6:10" x14ac:dyDescent="0.25">
      <c r="F154" s="53"/>
      <c r="G154" s="53"/>
      <c r="H154" s="53"/>
      <c r="I154" s="53"/>
      <c r="J154" s="53"/>
    </row>
    <row r="155" spans="6:10" x14ac:dyDescent="0.25">
      <c r="F155" s="53"/>
      <c r="G155" s="53"/>
      <c r="H155" s="53"/>
      <c r="I155" s="53"/>
      <c r="J155" s="53"/>
    </row>
    <row r="156" spans="6:10" x14ac:dyDescent="0.25">
      <c r="F156" s="53"/>
      <c r="G156" s="53"/>
      <c r="H156" s="53"/>
      <c r="I156" s="53"/>
      <c r="J156" s="53"/>
    </row>
    <row r="157" spans="6:10" x14ac:dyDescent="0.25">
      <c r="F157" s="53"/>
      <c r="G157" s="53"/>
      <c r="H157" s="53"/>
      <c r="I157" s="53"/>
      <c r="J157" s="53"/>
    </row>
    <row r="158" spans="6:10" x14ac:dyDescent="0.25">
      <c r="F158" s="53"/>
      <c r="G158" s="53"/>
      <c r="H158" s="53"/>
      <c r="I158" s="53"/>
      <c r="J158" s="53"/>
    </row>
    <row r="159" spans="6:10" x14ac:dyDescent="0.25">
      <c r="F159" s="53"/>
      <c r="G159" s="53"/>
      <c r="H159" s="53"/>
      <c r="I159" s="53"/>
      <c r="J159" s="53"/>
    </row>
    <row r="160" spans="6:10" x14ac:dyDescent="0.25">
      <c r="F160" s="53"/>
      <c r="G160" s="53"/>
      <c r="H160" s="53"/>
      <c r="I160" s="53"/>
      <c r="J160" s="53"/>
    </row>
    <row r="161" spans="6:10" x14ac:dyDescent="0.25">
      <c r="F161" s="53"/>
      <c r="G161" s="53"/>
      <c r="H161" s="53"/>
      <c r="I161" s="53"/>
      <c r="J161" s="53"/>
    </row>
    <row r="162" spans="6:10" x14ac:dyDescent="0.25">
      <c r="F162" s="53"/>
      <c r="G162" s="53"/>
      <c r="H162" s="53"/>
      <c r="I162" s="53"/>
      <c r="J162" s="53"/>
    </row>
    <row r="163" spans="6:10" x14ac:dyDescent="0.25">
      <c r="F163" s="53"/>
      <c r="G163" s="53"/>
      <c r="H163" s="53"/>
      <c r="I163" s="53"/>
      <c r="J163" s="53"/>
    </row>
    <row r="164" spans="6:10" x14ac:dyDescent="0.25">
      <c r="F164" s="53"/>
      <c r="G164" s="53"/>
      <c r="H164" s="53"/>
      <c r="I164" s="53"/>
      <c r="J164" s="53"/>
    </row>
    <row r="165" spans="6:10" x14ac:dyDescent="0.25">
      <c r="F165" s="53"/>
      <c r="G165" s="53"/>
      <c r="H165" s="53"/>
      <c r="I165" s="53"/>
      <c r="J165" s="53"/>
    </row>
    <row r="166" spans="6:10" x14ac:dyDescent="0.25">
      <c r="F166" s="53"/>
      <c r="G166" s="53"/>
      <c r="H166" s="53"/>
      <c r="I166" s="53"/>
      <c r="J166" s="53"/>
    </row>
    <row r="167" spans="6:10" x14ac:dyDescent="0.25">
      <c r="F167" s="53"/>
      <c r="G167" s="53"/>
      <c r="H167" s="53"/>
      <c r="I167" s="53"/>
      <c r="J167" s="53"/>
    </row>
    <row r="168" spans="6:10" x14ac:dyDescent="0.25">
      <c r="F168" s="53"/>
      <c r="G168" s="53"/>
      <c r="H168" s="53"/>
      <c r="I168" s="53"/>
      <c r="J168" s="53"/>
    </row>
    <row r="169" spans="6:10" x14ac:dyDescent="0.25">
      <c r="F169" s="53"/>
      <c r="G169" s="53"/>
      <c r="H169" s="53"/>
      <c r="I169" s="53"/>
      <c r="J169" s="53"/>
    </row>
    <row r="170" spans="6:10" x14ac:dyDescent="0.25">
      <c r="F170" s="53"/>
      <c r="G170" s="53"/>
      <c r="H170" s="53"/>
      <c r="I170" s="53"/>
      <c r="J170" s="53"/>
    </row>
    <row r="171" spans="6:10" x14ac:dyDescent="0.25">
      <c r="F171" s="53"/>
      <c r="G171" s="53"/>
      <c r="H171" s="53"/>
      <c r="I171" s="53"/>
      <c r="J171" s="53"/>
    </row>
    <row r="172" spans="6:10" x14ac:dyDescent="0.25">
      <c r="F172" s="53"/>
      <c r="G172" s="53"/>
      <c r="H172" s="53"/>
      <c r="I172" s="53"/>
      <c r="J172" s="53"/>
    </row>
    <row r="173" spans="6:10" x14ac:dyDescent="0.25">
      <c r="F173" s="53"/>
      <c r="G173" s="53"/>
      <c r="H173" s="53"/>
      <c r="I173" s="53"/>
      <c r="J173" s="53"/>
    </row>
    <row r="174" spans="6:10" x14ac:dyDescent="0.25">
      <c r="F174" s="53"/>
      <c r="G174" s="53"/>
      <c r="H174" s="53"/>
      <c r="I174" s="53"/>
      <c r="J174" s="53"/>
    </row>
    <row r="175" spans="6:10" x14ac:dyDescent="0.25">
      <c r="F175" s="53"/>
      <c r="G175" s="53"/>
      <c r="H175" s="53"/>
      <c r="I175" s="53"/>
      <c r="J175" s="53"/>
    </row>
    <row r="176" spans="6:10" x14ac:dyDescent="0.25">
      <c r="F176" s="53"/>
      <c r="G176" s="53"/>
      <c r="H176" s="53"/>
      <c r="I176" s="53"/>
      <c r="J176" s="53"/>
    </row>
    <row r="177" spans="6:10" x14ac:dyDescent="0.25">
      <c r="F177" s="53"/>
      <c r="G177" s="53"/>
      <c r="H177" s="53"/>
      <c r="I177" s="53"/>
      <c r="J177" s="53"/>
    </row>
    <row r="178" spans="6:10" x14ac:dyDescent="0.25">
      <c r="F178" s="53"/>
      <c r="G178" s="53"/>
      <c r="H178" s="53"/>
      <c r="I178" s="53"/>
      <c r="J178" s="53"/>
    </row>
    <row r="179" spans="6:10" x14ac:dyDescent="0.25">
      <c r="F179" s="53"/>
      <c r="G179" s="53"/>
      <c r="H179" s="53"/>
      <c r="I179" s="53"/>
      <c r="J179" s="53"/>
    </row>
    <row r="180" spans="6:10" x14ac:dyDescent="0.25">
      <c r="F180" s="53"/>
      <c r="G180" s="53"/>
      <c r="H180" s="53"/>
      <c r="I180" s="53"/>
      <c r="J180" s="53"/>
    </row>
    <row r="181" spans="6:10" x14ac:dyDescent="0.25">
      <c r="F181" s="53"/>
      <c r="G181" s="53"/>
      <c r="H181" s="53"/>
      <c r="I181" s="53"/>
      <c r="J181" s="53"/>
    </row>
    <row r="182" spans="6:10" x14ac:dyDescent="0.25">
      <c r="F182" s="53"/>
      <c r="G182" s="53"/>
      <c r="H182" s="53"/>
      <c r="I182" s="53"/>
      <c r="J182" s="53"/>
    </row>
    <row r="183" spans="6:10" x14ac:dyDescent="0.25">
      <c r="F183" s="53"/>
      <c r="G183" s="53"/>
      <c r="H183" s="53"/>
      <c r="I183" s="53"/>
      <c r="J183" s="53"/>
    </row>
    <row r="184" spans="6:10" x14ac:dyDescent="0.25">
      <c r="F184" s="53"/>
      <c r="G184" s="53"/>
      <c r="H184" s="53"/>
      <c r="I184" s="53"/>
      <c r="J184" s="53"/>
    </row>
    <row r="185" spans="6:10" x14ac:dyDescent="0.25">
      <c r="F185" s="53"/>
      <c r="G185" s="53"/>
      <c r="H185" s="53"/>
      <c r="I185" s="53"/>
      <c r="J185" s="53"/>
    </row>
    <row r="186" spans="6:10" x14ac:dyDescent="0.25">
      <c r="F186" s="53"/>
      <c r="G186" s="53"/>
      <c r="H186" s="53"/>
      <c r="I186" s="53"/>
      <c r="J186" s="53"/>
    </row>
    <row r="187" spans="6:10" x14ac:dyDescent="0.25">
      <c r="F187" s="53"/>
      <c r="G187" s="53"/>
      <c r="H187" s="53"/>
      <c r="I187" s="53"/>
      <c r="J187" s="53"/>
    </row>
    <row r="188" spans="6:10" x14ac:dyDescent="0.25">
      <c r="F188" s="53"/>
      <c r="G188" s="53"/>
      <c r="H188" s="53"/>
      <c r="I188" s="53"/>
      <c r="J188" s="53"/>
    </row>
    <row r="189" spans="6:10" x14ac:dyDescent="0.25">
      <c r="F189" s="53"/>
      <c r="G189" s="53"/>
      <c r="H189" s="53"/>
      <c r="I189" s="53"/>
      <c r="J189" s="53"/>
    </row>
    <row r="190" spans="6:10" x14ac:dyDescent="0.25">
      <c r="F190" s="53"/>
      <c r="G190" s="53"/>
      <c r="H190" s="53"/>
      <c r="I190" s="53"/>
      <c r="J190" s="53"/>
    </row>
    <row r="191" spans="6:10" x14ac:dyDescent="0.25">
      <c r="F191" s="53"/>
      <c r="G191" s="53"/>
      <c r="H191" s="53"/>
      <c r="I191" s="53"/>
      <c r="J191" s="53"/>
    </row>
    <row r="192" spans="6:10" x14ac:dyDescent="0.25">
      <c r="F192" s="53"/>
      <c r="G192" s="53"/>
      <c r="H192" s="53"/>
      <c r="I192" s="53"/>
      <c r="J192" s="53"/>
    </row>
    <row r="193" spans="6:10" x14ac:dyDescent="0.25">
      <c r="F193" s="53"/>
      <c r="G193" s="53"/>
      <c r="H193" s="53"/>
      <c r="I193" s="53"/>
      <c r="J193" s="53"/>
    </row>
    <row r="194" spans="6:10" x14ac:dyDescent="0.25">
      <c r="F194" s="53"/>
      <c r="G194" s="53"/>
      <c r="H194" s="53"/>
      <c r="I194" s="53"/>
      <c r="J194" s="53"/>
    </row>
    <row r="195" spans="6:10" x14ac:dyDescent="0.25">
      <c r="F195" s="53"/>
      <c r="G195" s="53"/>
      <c r="H195" s="53"/>
      <c r="I195" s="53"/>
      <c r="J195" s="53"/>
    </row>
    <row r="196" spans="6:10" x14ac:dyDescent="0.25">
      <c r="F196" s="53"/>
      <c r="G196" s="53"/>
      <c r="H196" s="53"/>
      <c r="I196" s="53"/>
      <c r="J196" s="53"/>
    </row>
    <row r="197" spans="6:10" x14ac:dyDescent="0.25">
      <c r="F197" s="53"/>
      <c r="G197" s="53"/>
      <c r="H197" s="53"/>
      <c r="I197" s="53"/>
      <c r="J197" s="53"/>
    </row>
    <row r="198" spans="6:10" x14ac:dyDescent="0.25">
      <c r="F198" s="53"/>
      <c r="G198" s="53"/>
      <c r="H198" s="53"/>
      <c r="I198" s="53"/>
      <c r="J198" s="53"/>
    </row>
    <row r="199" spans="6:10" x14ac:dyDescent="0.25">
      <c r="F199" s="53"/>
      <c r="G199" s="53"/>
      <c r="H199" s="53"/>
      <c r="I199" s="53"/>
      <c r="J199" s="53"/>
    </row>
    <row r="200" spans="6:10" x14ac:dyDescent="0.25">
      <c r="F200" s="53"/>
      <c r="G200" s="53"/>
      <c r="H200" s="53"/>
      <c r="I200" s="53"/>
      <c r="J200" s="53"/>
    </row>
    <row r="201" spans="6:10" x14ac:dyDescent="0.25">
      <c r="F201" s="53"/>
      <c r="G201" s="53"/>
      <c r="H201" s="53"/>
      <c r="I201" s="53"/>
      <c r="J201" s="53"/>
    </row>
    <row r="202" spans="6:10" x14ac:dyDescent="0.25">
      <c r="F202" s="53"/>
      <c r="G202" s="53"/>
      <c r="H202" s="53"/>
      <c r="I202" s="53"/>
      <c r="J202" s="53"/>
    </row>
    <row r="203" spans="6:10" x14ac:dyDescent="0.25">
      <c r="F203" s="53"/>
      <c r="G203" s="53"/>
      <c r="H203" s="53"/>
      <c r="I203" s="53"/>
      <c r="J203" s="53"/>
    </row>
    <row r="204" spans="6:10" x14ac:dyDescent="0.25">
      <c r="F204" s="53"/>
      <c r="G204" s="53"/>
      <c r="H204" s="53"/>
      <c r="I204" s="53"/>
      <c r="J204" s="53"/>
    </row>
    <row r="205" spans="6:10" x14ac:dyDescent="0.25">
      <c r="F205" s="53"/>
      <c r="G205" s="53"/>
      <c r="H205" s="53"/>
      <c r="I205" s="53"/>
      <c r="J205" s="53"/>
    </row>
    <row r="206" spans="6:10" x14ac:dyDescent="0.25">
      <c r="F206" s="53"/>
      <c r="G206" s="53"/>
      <c r="H206" s="53"/>
      <c r="I206" s="53"/>
      <c r="J206" s="53"/>
    </row>
    <row r="207" spans="6:10" x14ac:dyDescent="0.25">
      <c r="F207" s="53"/>
      <c r="G207" s="53"/>
      <c r="H207" s="53"/>
      <c r="I207" s="53"/>
      <c r="J207" s="53"/>
    </row>
    <row r="208" spans="6:10" x14ac:dyDescent="0.25">
      <c r="F208" s="53"/>
      <c r="G208" s="53"/>
      <c r="H208" s="53"/>
      <c r="I208" s="53"/>
      <c r="J208" s="53"/>
    </row>
    <row r="209" spans="6:10" x14ac:dyDescent="0.25">
      <c r="F209" s="53"/>
      <c r="G209" s="53"/>
      <c r="H209" s="53"/>
      <c r="I209" s="53"/>
      <c r="J209" s="53"/>
    </row>
    <row r="210" spans="6:10" x14ac:dyDescent="0.25">
      <c r="F210" s="53"/>
      <c r="G210" s="53"/>
      <c r="H210" s="53"/>
      <c r="I210" s="53"/>
      <c r="J210" s="53"/>
    </row>
    <row r="211" spans="6:10" x14ac:dyDescent="0.25">
      <c r="F211" s="53"/>
      <c r="G211" s="53"/>
      <c r="H211" s="53"/>
      <c r="I211" s="53"/>
      <c r="J211" s="53"/>
    </row>
    <row r="212" spans="6:10" x14ac:dyDescent="0.25">
      <c r="F212" s="53"/>
      <c r="G212" s="53"/>
      <c r="H212" s="53"/>
      <c r="I212" s="53"/>
      <c r="J212" s="53"/>
    </row>
    <row r="213" spans="6:10" x14ac:dyDescent="0.25">
      <c r="F213" s="53"/>
      <c r="G213" s="53"/>
      <c r="H213" s="53"/>
      <c r="I213" s="53"/>
      <c r="J213" s="53"/>
    </row>
    <row r="214" spans="6:10" x14ac:dyDescent="0.25">
      <c r="F214" s="53"/>
      <c r="G214" s="53"/>
      <c r="H214" s="53"/>
      <c r="I214" s="53"/>
      <c r="J214" s="53"/>
    </row>
    <row r="215" spans="6:10" x14ac:dyDescent="0.25">
      <c r="F215" s="53"/>
      <c r="G215" s="53"/>
      <c r="H215" s="53"/>
      <c r="I215" s="53"/>
      <c r="J215" s="53"/>
    </row>
    <row r="216" spans="6:10" x14ac:dyDescent="0.25">
      <c r="F216" s="53"/>
      <c r="G216" s="53"/>
      <c r="H216" s="53"/>
      <c r="I216" s="53"/>
      <c r="J216" s="53"/>
    </row>
    <row r="217" spans="6:10" x14ac:dyDescent="0.25">
      <c r="F217" s="53"/>
      <c r="G217" s="53"/>
      <c r="H217" s="53"/>
      <c r="I217" s="53"/>
      <c r="J217" s="53"/>
    </row>
    <row r="218" spans="6:10" x14ac:dyDescent="0.25">
      <c r="F218" s="53"/>
      <c r="G218" s="53"/>
      <c r="H218" s="53"/>
      <c r="I218" s="53"/>
      <c r="J218" s="53"/>
    </row>
    <row r="219" spans="6:10" x14ac:dyDescent="0.25">
      <c r="F219" s="53"/>
      <c r="G219" s="53"/>
      <c r="H219" s="53"/>
      <c r="I219" s="53"/>
      <c r="J219" s="53"/>
    </row>
    <row r="220" spans="6:10" x14ac:dyDescent="0.25">
      <c r="F220" s="53"/>
      <c r="G220" s="53"/>
      <c r="H220" s="53"/>
      <c r="I220" s="53"/>
      <c r="J220" s="53"/>
    </row>
    <row r="221" spans="6:10" x14ac:dyDescent="0.25">
      <c r="F221" s="53"/>
      <c r="G221" s="53"/>
      <c r="H221" s="53"/>
      <c r="I221" s="53"/>
      <c r="J221" s="53"/>
    </row>
    <row r="222" spans="6:10" x14ac:dyDescent="0.25">
      <c r="F222" s="53"/>
      <c r="G222" s="53"/>
      <c r="H222" s="53"/>
      <c r="I222" s="53"/>
      <c r="J222" s="53"/>
    </row>
    <row r="223" spans="6:10" x14ac:dyDescent="0.25">
      <c r="F223" s="53"/>
      <c r="G223" s="53"/>
      <c r="H223" s="53"/>
      <c r="I223" s="53"/>
      <c r="J223" s="53"/>
    </row>
    <row r="224" spans="6:10" x14ac:dyDescent="0.25">
      <c r="F224" s="53"/>
      <c r="G224" s="53"/>
      <c r="H224" s="53"/>
      <c r="I224" s="53"/>
      <c r="J224" s="53"/>
    </row>
    <row r="225" spans="6:10" x14ac:dyDescent="0.25">
      <c r="F225" s="53"/>
      <c r="G225" s="53"/>
      <c r="H225" s="53"/>
      <c r="I225" s="53"/>
      <c r="J225" s="53"/>
    </row>
    <row r="226" spans="6:10" x14ac:dyDescent="0.25">
      <c r="F226" s="53"/>
      <c r="G226" s="53"/>
      <c r="H226" s="53"/>
      <c r="I226" s="53"/>
      <c r="J226" s="53"/>
    </row>
    <row r="227" spans="6:10" x14ac:dyDescent="0.25">
      <c r="F227" s="53"/>
      <c r="G227" s="53"/>
      <c r="H227" s="53"/>
      <c r="I227" s="53"/>
      <c r="J227" s="53"/>
    </row>
    <row r="228" spans="6:10" x14ac:dyDescent="0.25">
      <c r="F228" s="53"/>
      <c r="G228" s="53"/>
      <c r="H228" s="53"/>
      <c r="I228" s="53"/>
      <c r="J228" s="53"/>
    </row>
    <row r="229" spans="6:10" x14ac:dyDescent="0.25">
      <c r="F229" s="53"/>
      <c r="G229" s="53"/>
      <c r="H229" s="53"/>
      <c r="I229" s="53"/>
      <c r="J229" s="53"/>
    </row>
    <row r="230" spans="6:10" x14ac:dyDescent="0.25">
      <c r="F230" s="53"/>
      <c r="G230" s="53"/>
      <c r="H230" s="53"/>
      <c r="I230" s="53"/>
      <c r="J230" s="53"/>
    </row>
    <row r="231" spans="6:10" x14ac:dyDescent="0.25">
      <c r="F231" s="53"/>
      <c r="G231" s="53"/>
      <c r="H231" s="53"/>
      <c r="I231" s="53"/>
      <c r="J231" s="53"/>
    </row>
    <row r="232" spans="6:10" x14ac:dyDescent="0.25">
      <c r="F232" s="53"/>
      <c r="G232" s="53"/>
      <c r="H232" s="53"/>
      <c r="I232" s="53"/>
      <c r="J232" s="53"/>
    </row>
    <row r="233" spans="6:10" x14ac:dyDescent="0.25">
      <c r="F233" s="53"/>
      <c r="G233" s="53"/>
      <c r="H233" s="53"/>
      <c r="I233" s="53"/>
      <c r="J233" s="53"/>
    </row>
    <row r="234" spans="6:10" x14ac:dyDescent="0.25">
      <c r="F234" s="53"/>
      <c r="G234" s="53"/>
      <c r="H234" s="53"/>
      <c r="I234" s="53"/>
      <c r="J234" s="53"/>
    </row>
    <row r="235" spans="6:10" x14ac:dyDescent="0.25">
      <c r="F235" s="53"/>
      <c r="G235" s="53"/>
      <c r="H235" s="53"/>
      <c r="I235" s="53"/>
      <c r="J235" s="53"/>
    </row>
    <row r="236" spans="6:10" x14ac:dyDescent="0.25">
      <c r="F236" s="53"/>
      <c r="G236" s="53"/>
      <c r="H236" s="53"/>
      <c r="I236" s="53"/>
      <c r="J236" s="53"/>
    </row>
    <row r="237" spans="6:10" x14ac:dyDescent="0.25">
      <c r="F237" s="53"/>
      <c r="G237" s="53"/>
      <c r="H237" s="53"/>
      <c r="I237" s="53"/>
      <c r="J237" s="53"/>
    </row>
    <row r="238" spans="6:10" x14ac:dyDescent="0.25">
      <c r="F238" s="53"/>
      <c r="G238" s="53"/>
      <c r="H238" s="53"/>
      <c r="I238" s="53"/>
      <c r="J238" s="53"/>
    </row>
    <row r="239" spans="6:10" x14ac:dyDescent="0.25">
      <c r="F239" s="53"/>
      <c r="G239" s="53"/>
      <c r="H239" s="53"/>
      <c r="I239" s="53"/>
      <c r="J239" s="53"/>
    </row>
    <row r="240" spans="6:10" x14ac:dyDescent="0.25">
      <c r="F240" s="53"/>
      <c r="G240" s="53"/>
      <c r="H240" s="53"/>
      <c r="I240" s="53"/>
      <c r="J240" s="53"/>
    </row>
    <row r="241" spans="6:10" x14ac:dyDescent="0.25">
      <c r="F241" s="53"/>
      <c r="G241" s="53"/>
      <c r="H241" s="53"/>
      <c r="I241" s="53"/>
      <c r="J241" s="53"/>
    </row>
    <row r="242" spans="6:10" x14ac:dyDescent="0.25">
      <c r="F242" s="53"/>
      <c r="G242" s="53"/>
      <c r="H242" s="53"/>
      <c r="I242" s="53"/>
      <c r="J242" s="53"/>
    </row>
    <row r="243" spans="6:10" x14ac:dyDescent="0.25">
      <c r="F243" s="53"/>
      <c r="G243" s="53"/>
      <c r="H243" s="53"/>
      <c r="I243" s="53"/>
      <c r="J243" s="53"/>
    </row>
    <row r="244" spans="6:10" x14ac:dyDescent="0.25">
      <c r="F244" s="53"/>
      <c r="G244" s="53"/>
      <c r="H244" s="53"/>
      <c r="I244" s="53"/>
      <c r="J244" s="53"/>
    </row>
    <row r="245" spans="6:10" x14ac:dyDescent="0.25">
      <c r="F245" s="53"/>
      <c r="G245" s="53"/>
      <c r="H245" s="53"/>
      <c r="I245" s="53"/>
      <c r="J245" s="53"/>
    </row>
    <row r="246" spans="6:10" x14ac:dyDescent="0.25">
      <c r="F246" s="53"/>
      <c r="G246" s="53"/>
      <c r="H246" s="53"/>
      <c r="I246" s="53"/>
      <c r="J246" s="53"/>
    </row>
    <row r="247" spans="6:10" x14ac:dyDescent="0.25">
      <c r="F247" s="53"/>
      <c r="G247" s="53"/>
      <c r="H247" s="53"/>
      <c r="I247" s="53"/>
      <c r="J247" s="53"/>
    </row>
    <row r="248" spans="6:10" x14ac:dyDescent="0.25">
      <c r="F248" s="53"/>
      <c r="G248" s="53"/>
      <c r="H248" s="53"/>
      <c r="I248" s="53"/>
      <c r="J248" s="53"/>
    </row>
    <row r="249" spans="6:10" x14ac:dyDescent="0.25">
      <c r="F249" s="53"/>
      <c r="G249" s="53"/>
      <c r="H249" s="53"/>
      <c r="I249" s="53"/>
      <c r="J249" s="53"/>
    </row>
    <row r="250" spans="6:10" x14ac:dyDescent="0.25">
      <c r="F250" s="53"/>
      <c r="G250" s="53"/>
      <c r="H250" s="53"/>
      <c r="I250" s="53"/>
      <c r="J250" s="53"/>
    </row>
    <row r="251" spans="6:10" x14ac:dyDescent="0.25">
      <c r="F251" s="53"/>
      <c r="G251" s="53"/>
      <c r="H251" s="53"/>
      <c r="I251" s="53"/>
      <c r="J251" s="53"/>
    </row>
    <row r="252" spans="6:10" x14ac:dyDescent="0.25">
      <c r="F252" s="53"/>
      <c r="G252" s="53"/>
      <c r="H252" s="53"/>
      <c r="I252" s="53"/>
      <c r="J252" s="53"/>
    </row>
    <row r="253" spans="6:10" x14ac:dyDescent="0.25">
      <c r="F253" s="53"/>
      <c r="G253" s="53"/>
      <c r="H253" s="53"/>
      <c r="I253" s="53"/>
      <c r="J253" s="53"/>
    </row>
    <row r="254" spans="6:10" x14ac:dyDescent="0.25">
      <c r="F254" s="53"/>
      <c r="G254" s="53"/>
      <c r="H254" s="53"/>
      <c r="I254" s="53"/>
      <c r="J254" s="53"/>
    </row>
    <row r="255" spans="6:10" x14ac:dyDescent="0.25">
      <c r="F255" s="53"/>
      <c r="G255" s="53"/>
      <c r="H255" s="53"/>
      <c r="I255" s="53"/>
      <c r="J255" s="53"/>
    </row>
    <row r="256" spans="6:10" x14ac:dyDescent="0.25">
      <c r="F256" s="53"/>
      <c r="G256" s="53"/>
      <c r="H256" s="53"/>
      <c r="I256" s="53"/>
      <c r="J256" s="53"/>
    </row>
    <row r="257" spans="6:10" x14ac:dyDescent="0.25">
      <c r="F257" s="53"/>
      <c r="G257" s="53"/>
      <c r="H257" s="53"/>
      <c r="I257" s="53"/>
      <c r="J257" s="53"/>
    </row>
    <row r="258" spans="6:10" x14ac:dyDescent="0.25">
      <c r="F258" s="53"/>
      <c r="G258" s="53"/>
      <c r="H258" s="53"/>
      <c r="I258" s="53"/>
      <c r="J258" s="53"/>
    </row>
    <row r="259" spans="6:10" x14ac:dyDescent="0.25">
      <c r="F259" s="53"/>
      <c r="G259" s="53"/>
      <c r="H259" s="53"/>
      <c r="I259" s="53"/>
      <c r="J259" s="53"/>
    </row>
    <row r="260" spans="6:10" x14ac:dyDescent="0.25">
      <c r="F260" s="53"/>
      <c r="G260" s="53"/>
      <c r="H260" s="53"/>
      <c r="I260" s="53"/>
      <c r="J260" s="53"/>
    </row>
    <row r="261" spans="6:10" x14ac:dyDescent="0.25">
      <c r="F261" s="53"/>
      <c r="G261" s="53"/>
      <c r="H261" s="53"/>
      <c r="I261" s="53"/>
      <c r="J261" s="53"/>
    </row>
    <row r="262" spans="6:10" x14ac:dyDescent="0.25">
      <c r="F262" s="53"/>
      <c r="G262" s="53"/>
      <c r="H262" s="53"/>
      <c r="I262" s="53"/>
      <c r="J262" s="53"/>
    </row>
    <row r="263" spans="6:10" x14ac:dyDescent="0.25">
      <c r="F263" s="53"/>
      <c r="G263" s="53"/>
      <c r="H263" s="53"/>
      <c r="I263" s="53"/>
      <c r="J263" s="53"/>
    </row>
    <row r="264" spans="6:10" x14ac:dyDescent="0.25">
      <c r="F264" s="53"/>
      <c r="G264" s="53"/>
      <c r="H264" s="53"/>
      <c r="I264" s="53"/>
      <c r="J264" s="53"/>
    </row>
    <row r="265" spans="6:10" x14ac:dyDescent="0.25">
      <c r="F265" s="53"/>
      <c r="G265" s="53"/>
      <c r="H265" s="53"/>
      <c r="I265" s="53"/>
      <c r="J265" s="53"/>
    </row>
    <row r="266" spans="6:10" x14ac:dyDescent="0.25">
      <c r="F266" s="53"/>
      <c r="G266" s="53"/>
      <c r="H266" s="53"/>
      <c r="I266" s="53"/>
      <c r="J266" s="53"/>
    </row>
    <row r="267" spans="6:10" x14ac:dyDescent="0.25">
      <c r="F267" s="53"/>
      <c r="G267" s="53"/>
      <c r="H267" s="53"/>
      <c r="I267" s="53"/>
      <c r="J267" s="53"/>
    </row>
    <row r="268" spans="6:10" x14ac:dyDescent="0.25">
      <c r="F268" s="53"/>
      <c r="G268" s="53"/>
      <c r="H268" s="53"/>
      <c r="I268" s="53"/>
      <c r="J268" s="53"/>
    </row>
    <row r="269" spans="6:10" x14ac:dyDescent="0.25">
      <c r="F269" s="53"/>
      <c r="G269" s="53"/>
      <c r="H269" s="53"/>
      <c r="I269" s="53"/>
      <c r="J269" s="53"/>
    </row>
    <row r="270" spans="6:10" x14ac:dyDescent="0.25">
      <c r="F270" s="53"/>
      <c r="G270" s="53"/>
      <c r="H270" s="53"/>
      <c r="I270" s="53"/>
      <c r="J270" s="53"/>
    </row>
    <row r="271" spans="6:10" x14ac:dyDescent="0.25">
      <c r="F271" s="53"/>
      <c r="G271" s="53"/>
      <c r="H271" s="53"/>
      <c r="I271" s="53"/>
      <c r="J271" s="53"/>
    </row>
    <row r="272" spans="6:10" x14ac:dyDescent="0.25">
      <c r="F272" s="53"/>
      <c r="G272" s="53"/>
      <c r="H272" s="53"/>
      <c r="I272" s="53"/>
      <c r="J272" s="53"/>
    </row>
    <row r="273" spans="6:10" x14ac:dyDescent="0.25">
      <c r="F273" s="53"/>
      <c r="G273" s="53"/>
      <c r="H273" s="53"/>
      <c r="I273" s="53"/>
      <c r="J273" s="53"/>
    </row>
    <row r="274" spans="6:10" x14ac:dyDescent="0.25">
      <c r="F274" s="53"/>
      <c r="G274" s="53"/>
      <c r="H274" s="53"/>
      <c r="I274" s="53"/>
      <c r="J274" s="53"/>
    </row>
    <row r="275" spans="6:10" x14ac:dyDescent="0.25">
      <c r="F275" s="53"/>
      <c r="G275" s="53"/>
      <c r="H275" s="53"/>
      <c r="I275" s="53"/>
      <c r="J275" s="53"/>
    </row>
    <row r="276" spans="6:10" x14ac:dyDescent="0.25">
      <c r="F276" s="53"/>
      <c r="G276" s="53"/>
      <c r="H276" s="53"/>
      <c r="I276" s="53"/>
      <c r="J276" s="53"/>
    </row>
    <row r="277" spans="6:10" x14ac:dyDescent="0.25">
      <c r="F277" s="53"/>
      <c r="G277" s="53"/>
      <c r="H277" s="53"/>
      <c r="I277" s="53"/>
      <c r="J277" s="53"/>
    </row>
    <row r="278" spans="6:10" x14ac:dyDescent="0.25">
      <c r="F278" s="53"/>
      <c r="G278" s="53"/>
      <c r="H278" s="53"/>
      <c r="I278" s="53"/>
      <c r="J278" s="53"/>
    </row>
    <row r="279" spans="6:10" x14ac:dyDescent="0.25">
      <c r="F279" s="53"/>
      <c r="G279" s="53"/>
      <c r="H279" s="53"/>
      <c r="I279" s="53"/>
      <c r="J279" s="53"/>
    </row>
    <row r="280" spans="6:10" x14ac:dyDescent="0.25">
      <c r="F280" s="53"/>
      <c r="G280" s="53"/>
      <c r="H280" s="53"/>
      <c r="I280" s="53"/>
      <c r="J280" s="53"/>
    </row>
    <row r="281" spans="6:10" x14ac:dyDescent="0.25">
      <c r="F281" s="53"/>
      <c r="G281" s="53"/>
      <c r="H281" s="53"/>
      <c r="I281" s="53"/>
      <c r="J281" s="53"/>
    </row>
    <row r="282" spans="6:10" x14ac:dyDescent="0.25">
      <c r="F282" s="53"/>
      <c r="G282" s="53"/>
      <c r="H282" s="53"/>
      <c r="I282" s="53"/>
      <c r="J282" s="53"/>
    </row>
    <row r="283" spans="6:10" x14ac:dyDescent="0.25">
      <c r="F283" s="53"/>
      <c r="G283" s="53"/>
      <c r="H283" s="53"/>
      <c r="I283" s="53"/>
      <c r="J283" s="53"/>
    </row>
    <row r="284" spans="6:10" x14ac:dyDescent="0.25">
      <c r="F284" s="53"/>
      <c r="G284" s="53"/>
      <c r="H284" s="53"/>
      <c r="I284" s="53"/>
      <c r="J284" s="53"/>
    </row>
    <row r="285" spans="6:10" x14ac:dyDescent="0.25">
      <c r="F285" s="53"/>
      <c r="G285" s="53"/>
      <c r="H285" s="53"/>
      <c r="I285" s="53"/>
      <c r="J285" s="53"/>
    </row>
    <row r="286" spans="6:10" x14ac:dyDescent="0.25">
      <c r="F286" s="53"/>
      <c r="G286" s="53"/>
      <c r="H286" s="53"/>
      <c r="I286" s="53"/>
      <c r="J286" s="53"/>
    </row>
    <row r="287" spans="6:10" x14ac:dyDescent="0.25">
      <c r="F287" s="53"/>
      <c r="G287" s="53"/>
      <c r="H287" s="53"/>
      <c r="I287" s="53"/>
      <c r="J287" s="53"/>
    </row>
    <row r="288" spans="6:10" x14ac:dyDescent="0.25">
      <c r="F288" s="53"/>
      <c r="G288" s="53"/>
      <c r="H288" s="53"/>
      <c r="I288" s="53"/>
      <c r="J288" s="53"/>
    </row>
    <row r="289" spans="6:10" x14ac:dyDescent="0.25">
      <c r="F289" s="53"/>
      <c r="G289" s="53"/>
      <c r="H289" s="53"/>
      <c r="I289" s="53"/>
      <c r="J289" s="53"/>
    </row>
    <row r="290" spans="6:10" x14ac:dyDescent="0.25">
      <c r="F290" s="53"/>
      <c r="G290" s="53"/>
      <c r="H290" s="53"/>
      <c r="I290" s="53"/>
      <c r="J290" s="53"/>
    </row>
    <row r="291" spans="6:10" x14ac:dyDescent="0.25">
      <c r="F291" s="53"/>
      <c r="G291" s="53"/>
      <c r="H291" s="53"/>
      <c r="I291" s="53"/>
      <c r="J291" s="53"/>
    </row>
    <row r="292" spans="6:10" x14ac:dyDescent="0.25">
      <c r="F292" s="53"/>
      <c r="G292" s="53"/>
      <c r="H292" s="53"/>
      <c r="I292" s="53"/>
      <c r="J292" s="53"/>
    </row>
    <row r="293" spans="6:10" x14ac:dyDescent="0.25">
      <c r="F293" s="53"/>
      <c r="G293" s="53"/>
      <c r="H293" s="53"/>
      <c r="I293" s="53"/>
      <c r="J293" s="53"/>
    </row>
    <row r="294" spans="6:10" x14ac:dyDescent="0.25">
      <c r="F294" s="53"/>
      <c r="G294" s="53"/>
      <c r="H294" s="53"/>
      <c r="I294" s="53"/>
      <c r="J294" s="53"/>
    </row>
    <row r="295" spans="6:10" x14ac:dyDescent="0.25">
      <c r="F295" s="53"/>
      <c r="G295" s="53"/>
      <c r="H295" s="53"/>
      <c r="I295" s="53"/>
      <c r="J295" s="53"/>
    </row>
    <row r="296" spans="6:10" x14ac:dyDescent="0.25">
      <c r="F296" s="53"/>
      <c r="G296" s="53"/>
      <c r="H296" s="53"/>
      <c r="I296" s="53"/>
      <c r="J296" s="53"/>
    </row>
    <row r="297" spans="6:10" x14ac:dyDescent="0.25">
      <c r="F297" s="53"/>
      <c r="G297" s="53"/>
      <c r="H297" s="53"/>
      <c r="I297" s="53"/>
      <c r="J297" s="53"/>
    </row>
    <row r="298" spans="6:10" x14ac:dyDescent="0.25">
      <c r="F298" s="53"/>
      <c r="G298" s="53"/>
      <c r="H298" s="53"/>
      <c r="I298" s="53"/>
      <c r="J298" s="53"/>
    </row>
    <row r="299" spans="6:10" x14ac:dyDescent="0.25">
      <c r="F299" s="53"/>
      <c r="G299" s="53"/>
      <c r="H299" s="53"/>
      <c r="I299" s="53"/>
      <c r="J299" s="53"/>
    </row>
    <row r="300" spans="6:10" x14ac:dyDescent="0.25">
      <c r="F300" s="53"/>
      <c r="G300" s="53"/>
      <c r="H300" s="53"/>
      <c r="I300" s="53"/>
      <c r="J300" s="53"/>
    </row>
    <row r="301" spans="6:10" x14ac:dyDescent="0.25">
      <c r="F301" s="53"/>
      <c r="G301" s="53"/>
      <c r="H301" s="53"/>
      <c r="I301" s="53"/>
      <c r="J301" s="53"/>
    </row>
    <row r="302" spans="6:10" x14ac:dyDescent="0.25">
      <c r="F302" s="53"/>
      <c r="G302" s="53"/>
      <c r="H302" s="53"/>
      <c r="I302" s="53"/>
      <c r="J302" s="53"/>
    </row>
    <row r="303" spans="6:10" x14ac:dyDescent="0.25">
      <c r="F303" s="53"/>
      <c r="G303" s="53"/>
      <c r="H303" s="53"/>
      <c r="I303" s="53"/>
      <c r="J303" s="53"/>
    </row>
    <row r="304" spans="6:10" x14ac:dyDescent="0.25">
      <c r="F304" s="53"/>
      <c r="G304" s="53"/>
      <c r="H304" s="53"/>
      <c r="I304" s="53"/>
      <c r="J304" s="53"/>
    </row>
    <row r="305" spans="6:10" x14ac:dyDescent="0.25">
      <c r="F305" s="53"/>
      <c r="G305" s="53"/>
      <c r="H305" s="53"/>
      <c r="I305" s="53"/>
      <c r="J305" s="53"/>
    </row>
    <row r="306" spans="6:10" x14ac:dyDescent="0.25">
      <c r="F306" s="53"/>
      <c r="G306" s="53"/>
      <c r="H306" s="53"/>
      <c r="I306" s="53"/>
      <c r="J306" s="53"/>
    </row>
    <row r="307" spans="6:10" x14ac:dyDescent="0.25">
      <c r="F307" s="53"/>
      <c r="G307" s="53"/>
      <c r="H307" s="53"/>
      <c r="I307" s="53"/>
      <c r="J307" s="53"/>
    </row>
    <row r="308" spans="6:10" x14ac:dyDescent="0.25">
      <c r="F308" s="53"/>
      <c r="G308" s="53"/>
      <c r="H308" s="53"/>
      <c r="I308" s="53"/>
      <c r="J308" s="53"/>
    </row>
    <row r="309" spans="6:10" x14ac:dyDescent="0.25">
      <c r="F309" s="53"/>
      <c r="G309" s="53"/>
      <c r="H309" s="53"/>
      <c r="I309" s="53"/>
      <c r="J309" s="53"/>
    </row>
    <row r="310" spans="6:10" x14ac:dyDescent="0.25">
      <c r="F310" s="53"/>
      <c r="G310" s="53"/>
      <c r="H310" s="53"/>
      <c r="I310" s="53"/>
      <c r="J310" s="53"/>
    </row>
    <row r="311" spans="6:10" x14ac:dyDescent="0.25">
      <c r="F311" s="53"/>
      <c r="G311" s="53"/>
      <c r="H311" s="53"/>
      <c r="I311" s="53"/>
      <c r="J311" s="53"/>
    </row>
    <row r="312" spans="6:10" x14ac:dyDescent="0.25">
      <c r="F312" s="53"/>
      <c r="G312" s="53"/>
      <c r="H312" s="53"/>
      <c r="I312" s="53"/>
      <c r="J312" s="53"/>
    </row>
    <row r="313" spans="6:10" x14ac:dyDescent="0.25">
      <c r="F313" s="53"/>
      <c r="G313" s="53"/>
      <c r="H313" s="53"/>
      <c r="I313" s="53"/>
      <c r="J313" s="53"/>
    </row>
    <row r="314" spans="6:10" x14ac:dyDescent="0.25">
      <c r="F314" s="53"/>
      <c r="G314" s="53"/>
      <c r="H314" s="53"/>
      <c r="I314" s="53"/>
      <c r="J314" s="53"/>
    </row>
    <row r="315" spans="6:10" x14ac:dyDescent="0.25">
      <c r="F315" s="53"/>
      <c r="G315" s="53"/>
      <c r="H315" s="53"/>
      <c r="I315" s="53"/>
      <c r="J315" s="53"/>
    </row>
    <row r="316" spans="6:10" x14ac:dyDescent="0.25">
      <c r="F316" s="53"/>
      <c r="G316" s="53"/>
      <c r="H316" s="53"/>
      <c r="I316" s="53"/>
      <c r="J316" s="53"/>
    </row>
    <row r="317" spans="6:10" x14ac:dyDescent="0.25">
      <c r="F317" s="53"/>
      <c r="G317" s="53"/>
      <c r="H317" s="53"/>
      <c r="I317" s="53"/>
      <c r="J317" s="53"/>
    </row>
    <row r="318" spans="6:10" x14ac:dyDescent="0.25">
      <c r="F318" s="53"/>
      <c r="G318" s="53"/>
      <c r="H318" s="53"/>
      <c r="I318" s="53"/>
      <c r="J318" s="53"/>
    </row>
    <row r="319" spans="6:10" x14ac:dyDescent="0.25">
      <c r="F319" s="53"/>
      <c r="G319" s="53"/>
      <c r="H319" s="53"/>
      <c r="I319" s="53"/>
      <c r="J319" s="53"/>
    </row>
    <row r="320" spans="6:10" x14ac:dyDescent="0.25">
      <c r="F320" s="53"/>
      <c r="G320" s="53"/>
      <c r="H320" s="53"/>
      <c r="I320" s="53"/>
      <c r="J320" s="53"/>
    </row>
    <row r="321" spans="6:10" x14ac:dyDescent="0.25">
      <c r="F321" s="53"/>
      <c r="G321" s="53"/>
      <c r="H321" s="53"/>
      <c r="I321" s="53"/>
      <c r="J321" s="53"/>
    </row>
    <row r="322" spans="6:10" x14ac:dyDescent="0.25">
      <c r="F322" s="53"/>
      <c r="G322" s="53"/>
      <c r="H322" s="53"/>
      <c r="I322" s="53"/>
      <c r="J322" s="53"/>
    </row>
    <row r="323" spans="6:10" x14ac:dyDescent="0.25">
      <c r="F323" s="53"/>
      <c r="G323" s="53"/>
      <c r="H323" s="53"/>
      <c r="I323" s="53"/>
      <c r="J323" s="53"/>
    </row>
    <row r="324" spans="6:10" x14ac:dyDescent="0.25">
      <c r="F324" s="53"/>
      <c r="G324" s="53"/>
      <c r="H324" s="53"/>
      <c r="I324" s="53"/>
      <c r="J324" s="53"/>
    </row>
    <row r="325" spans="6:10" x14ac:dyDescent="0.25">
      <c r="F325" s="53"/>
      <c r="G325" s="53"/>
      <c r="H325" s="53"/>
      <c r="I325" s="53"/>
      <c r="J325" s="53"/>
    </row>
    <row r="326" spans="6:10" x14ac:dyDescent="0.25">
      <c r="F326" s="53"/>
      <c r="G326" s="53"/>
      <c r="H326" s="53"/>
      <c r="I326" s="53"/>
      <c r="J326" s="53"/>
    </row>
    <row r="327" spans="6:10" x14ac:dyDescent="0.25">
      <c r="F327" s="53"/>
      <c r="G327" s="53"/>
      <c r="H327" s="53"/>
      <c r="I327" s="53"/>
      <c r="J327" s="53"/>
    </row>
    <row r="328" spans="6:10" x14ac:dyDescent="0.25">
      <c r="F328" s="53"/>
      <c r="G328" s="53"/>
      <c r="H328" s="53"/>
      <c r="I328" s="53"/>
      <c r="J328" s="53"/>
    </row>
    <row r="329" spans="6:10" x14ac:dyDescent="0.25">
      <c r="F329" s="53"/>
      <c r="G329" s="53"/>
      <c r="H329" s="53"/>
      <c r="I329" s="53"/>
      <c r="J329" s="53"/>
    </row>
    <row r="330" spans="6:10" x14ac:dyDescent="0.25">
      <c r="F330" s="53"/>
      <c r="G330" s="53"/>
      <c r="H330" s="53"/>
      <c r="I330" s="53"/>
      <c r="J330" s="53"/>
    </row>
    <row r="331" spans="6:10" x14ac:dyDescent="0.25">
      <c r="F331" s="53"/>
      <c r="G331" s="53"/>
      <c r="H331" s="53"/>
      <c r="I331" s="53"/>
      <c r="J331" s="53"/>
    </row>
    <row r="332" spans="6:10" x14ac:dyDescent="0.25">
      <c r="F332" s="53"/>
      <c r="G332" s="53"/>
      <c r="H332" s="53"/>
      <c r="I332" s="53"/>
      <c r="J332" s="53"/>
    </row>
    <row r="333" spans="6:10" x14ac:dyDescent="0.25">
      <c r="F333" s="53"/>
      <c r="G333" s="53"/>
      <c r="H333" s="53"/>
      <c r="I333" s="53"/>
      <c r="J333" s="53"/>
    </row>
    <row r="334" spans="6:10" x14ac:dyDescent="0.25">
      <c r="F334" s="53"/>
      <c r="G334" s="53"/>
      <c r="H334" s="53"/>
      <c r="I334" s="53"/>
      <c r="J334" s="53"/>
    </row>
    <row r="335" spans="6:10" x14ac:dyDescent="0.25">
      <c r="F335" s="53"/>
      <c r="G335" s="53"/>
      <c r="H335" s="53"/>
      <c r="I335" s="53"/>
      <c r="J335" s="53"/>
    </row>
    <row r="336" spans="6:10" x14ac:dyDescent="0.25">
      <c r="F336" s="53"/>
      <c r="G336" s="53"/>
      <c r="H336" s="53"/>
      <c r="I336" s="53"/>
      <c r="J336" s="53"/>
    </row>
    <row r="337" spans="6:10" x14ac:dyDescent="0.25">
      <c r="F337" s="53"/>
      <c r="G337" s="53"/>
      <c r="H337" s="53"/>
      <c r="I337" s="53"/>
      <c r="J337" s="53"/>
    </row>
    <row r="338" spans="6:10" x14ac:dyDescent="0.25">
      <c r="F338" s="53"/>
      <c r="G338" s="53"/>
      <c r="H338" s="53"/>
      <c r="I338" s="53"/>
      <c r="J338" s="53"/>
    </row>
    <row r="339" spans="6:10" x14ac:dyDescent="0.25">
      <c r="F339" s="53"/>
      <c r="G339" s="53"/>
      <c r="H339" s="53"/>
      <c r="I339" s="53"/>
      <c r="J339" s="53"/>
    </row>
    <row r="340" spans="6:10" x14ac:dyDescent="0.25">
      <c r="F340" s="53"/>
      <c r="G340" s="53"/>
      <c r="H340" s="53"/>
      <c r="I340" s="53"/>
      <c r="J340" s="53"/>
    </row>
    <row r="341" spans="6:10" x14ac:dyDescent="0.25">
      <c r="F341" s="53"/>
      <c r="G341" s="53"/>
      <c r="H341" s="53"/>
      <c r="I341" s="53"/>
      <c r="J341" s="53"/>
    </row>
    <row r="342" spans="6:10" x14ac:dyDescent="0.25">
      <c r="F342" s="53"/>
      <c r="G342" s="53"/>
      <c r="H342" s="53"/>
      <c r="I342" s="53"/>
      <c r="J342" s="53"/>
    </row>
    <row r="343" spans="6:10" x14ac:dyDescent="0.25">
      <c r="F343" s="53"/>
      <c r="G343" s="53"/>
      <c r="H343" s="53"/>
      <c r="I343" s="53"/>
      <c r="J343" s="53"/>
    </row>
    <row r="344" spans="6:10" x14ac:dyDescent="0.25">
      <c r="F344" s="53"/>
      <c r="G344" s="53"/>
      <c r="H344" s="53"/>
      <c r="I344" s="53"/>
      <c r="J344" s="53"/>
    </row>
    <row r="345" spans="6:10" x14ac:dyDescent="0.25">
      <c r="F345" s="53"/>
      <c r="G345" s="53"/>
      <c r="H345" s="53"/>
      <c r="I345" s="53"/>
      <c r="J345" s="53"/>
    </row>
    <row r="346" spans="6:10" x14ac:dyDescent="0.25">
      <c r="F346" s="53"/>
      <c r="G346" s="53"/>
      <c r="H346" s="53"/>
      <c r="I346" s="53"/>
      <c r="J346" s="53"/>
    </row>
    <row r="347" spans="6:10" x14ac:dyDescent="0.25">
      <c r="F347" s="53"/>
      <c r="G347" s="53"/>
      <c r="H347" s="53"/>
      <c r="I347" s="53"/>
      <c r="J347" s="53"/>
    </row>
    <row r="348" spans="6:10" x14ac:dyDescent="0.25">
      <c r="F348" s="53"/>
      <c r="G348" s="53"/>
      <c r="H348" s="53"/>
      <c r="I348" s="53"/>
      <c r="J348" s="53"/>
    </row>
    <row r="349" spans="6:10" x14ac:dyDescent="0.25">
      <c r="F349" s="53"/>
      <c r="G349" s="53"/>
      <c r="H349" s="53"/>
      <c r="I349" s="53"/>
      <c r="J349" s="53"/>
    </row>
    <row r="350" spans="6:10" x14ac:dyDescent="0.25">
      <c r="F350" s="53"/>
      <c r="G350" s="53"/>
      <c r="H350" s="53"/>
      <c r="I350" s="53"/>
      <c r="J350" s="53"/>
    </row>
    <row r="351" spans="6:10" x14ac:dyDescent="0.25">
      <c r="F351" s="53"/>
      <c r="G351" s="53"/>
      <c r="H351" s="53"/>
      <c r="I351" s="53"/>
      <c r="J351" s="53"/>
    </row>
    <row r="352" spans="6:10" x14ac:dyDescent="0.25">
      <c r="F352" s="53"/>
      <c r="G352" s="53"/>
      <c r="H352" s="53"/>
      <c r="I352" s="53"/>
      <c r="J352" s="53"/>
    </row>
    <row r="353" spans="6:10" x14ac:dyDescent="0.25">
      <c r="F353" s="53"/>
      <c r="G353" s="53"/>
      <c r="H353" s="53"/>
      <c r="I353" s="53"/>
      <c r="J353" s="53"/>
    </row>
    <row r="354" spans="6:10" x14ac:dyDescent="0.25">
      <c r="F354" s="53"/>
      <c r="G354" s="53"/>
      <c r="H354" s="53"/>
      <c r="I354" s="53"/>
      <c r="J354" s="53"/>
    </row>
    <row r="355" spans="6:10" x14ac:dyDescent="0.25">
      <c r="F355" s="53"/>
      <c r="G355" s="53"/>
      <c r="H355" s="53"/>
      <c r="I355" s="53"/>
      <c r="J355" s="53"/>
    </row>
    <row r="356" spans="6:10" x14ac:dyDescent="0.25">
      <c r="F356" s="53"/>
      <c r="G356" s="53"/>
      <c r="H356" s="53"/>
      <c r="I356" s="53"/>
      <c r="J356" s="53"/>
    </row>
    <row r="357" spans="6:10" x14ac:dyDescent="0.25">
      <c r="F357" s="53"/>
      <c r="G357" s="53"/>
      <c r="H357" s="53"/>
      <c r="I357" s="53"/>
      <c r="J357" s="53"/>
    </row>
    <row r="358" spans="6:10" x14ac:dyDescent="0.25">
      <c r="F358" s="53"/>
      <c r="G358" s="53"/>
      <c r="H358" s="53"/>
      <c r="I358" s="53"/>
      <c r="J358" s="53"/>
    </row>
    <row r="359" spans="6:10" x14ac:dyDescent="0.25">
      <c r="F359" s="53"/>
      <c r="G359" s="53"/>
      <c r="H359" s="53"/>
      <c r="I359" s="53"/>
      <c r="J359" s="53"/>
    </row>
    <row r="360" spans="6:10" x14ac:dyDescent="0.25">
      <c r="F360" s="53"/>
      <c r="G360" s="53"/>
      <c r="H360" s="53"/>
      <c r="I360" s="53"/>
      <c r="J360" s="53"/>
    </row>
    <row r="361" spans="6:10" x14ac:dyDescent="0.25">
      <c r="F361" s="53"/>
      <c r="G361" s="53"/>
      <c r="H361" s="53"/>
      <c r="I361" s="53"/>
      <c r="J361" s="53"/>
    </row>
    <row r="362" spans="6:10" x14ac:dyDescent="0.25">
      <c r="F362" s="53"/>
      <c r="G362" s="53"/>
      <c r="H362" s="53"/>
      <c r="I362" s="53"/>
      <c r="J362" s="53"/>
    </row>
  </sheetData>
  <mergeCells count="14">
    <mergeCell ref="E5:I5"/>
    <mergeCell ref="F1:I1"/>
    <mergeCell ref="F2:I2"/>
    <mergeCell ref="F3:I3"/>
    <mergeCell ref="A8:C10"/>
    <mergeCell ref="D8:D11"/>
    <mergeCell ref="E8:E11"/>
    <mergeCell ref="H10:H11"/>
    <mergeCell ref="I10:I11"/>
    <mergeCell ref="F9:F11"/>
    <mergeCell ref="G10:G11"/>
    <mergeCell ref="F8:J8"/>
    <mergeCell ref="G9:J9"/>
    <mergeCell ref="J10:J11"/>
  </mergeCells>
  <pageMargins left="0.7" right="0.7" top="0.75" bottom="0.75" header="0.3" footer="0.3"/>
  <pageSetup paperSize="9" scale="51" orientation="portrait" r:id="rId1"/>
  <rowBreaks count="1" manualBreakCount="1">
    <brk id="10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view="pageBreakPreview" topLeftCell="A95" zoomScale="65" zoomScaleNormal="100" zoomScaleSheetLayoutView="65" workbookViewId="0">
      <selection activeCell="G9" sqref="G9:I9"/>
    </sheetView>
  </sheetViews>
  <sheetFormatPr defaultRowHeight="16.5" x14ac:dyDescent="0.25"/>
  <cols>
    <col min="1" max="1" width="5.7109375" style="1" customWidth="1"/>
    <col min="2" max="3" width="7" style="1" customWidth="1"/>
    <col min="4" max="4" width="6.42578125" style="1" customWidth="1"/>
    <col min="5" max="5" width="51.5703125" style="1" customWidth="1"/>
    <col min="6" max="6" width="14.42578125" style="73" hidden="1" customWidth="1"/>
    <col min="7" max="7" width="15" style="73" customWidth="1"/>
    <col min="8" max="8" width="14.42578125" style="73" customWidth="1"/>
    <col min="9" max="9" width="16.85546875" style="73" customWidth="1"/>
    <col min="10" max="10" width="9.140625" style="1"/>
    <col min="11" max="11" width="15.28515625" style="1" customWidth="1"/>
    <col min="12" max="259" width="9.140625" style="1"/>
    <col min="260" max="260" width="5.7109375" style="1" customWidth="1"/>
    <col min="261" max="261" width="7" style="1" customWidth="1"/>
    <col min="262" max="262" width="6.42578125" style="1" customWidth="1"/>
    <col min="263" max="263" width="43.5703125" style="1" customWidth="1"/>
    <col min="264" max="264" width="18.5703125" style="1" customWidth="1"/>
    <col min="265" max="515" width="9.140625" style="1"/>
    <col min="516" max="516" width="5.7109375" style="1" customWidth="1"/>
    <col min="517" max="517" width="7" style="1" customWidth="1"/>
    <col min="518" max="518" width="6.42578125" style="1" customWidth="1"/>
    <col min="519" max="519" width="43.5703125" style="1" customWidth="1"/>
    <col min="520" max="520" width="18.5703125" style="1" customWidth="1"/>
    <col min="521" max="771" width="9.140625" style="1"/>
    <col min="772" max="772" width="5.7109375" style="1" customWidth="1"/>
    <col min="773" max="773" width="7" style="1" customWidth="1"/>
    <col min="774" max="774" width="6.42578125" style="1" customWidth="1"/>
    <col min="775" max="775" width="43.5703125" style="1" customWidth="1"/>
    <col min="776" max="776" width="18.5703125" style="1" customWidth="1"/>
    <col min="777" max="1027" width="9.140625" style="1"/>
    <col min="1028" max="1028" width="5.7109375" style="1" customWidth="1"/>
    <col min="1029" max="1029" width="7" style="1" customWidth="1"/>
    <col min="1030" max="1030" width="6.42578125" style="1" customWidth="1"/>
    <col min="1031" max="1031" width="43.5703125" style="1" customWidth="1"/>
    <col min="1032" max="1032" width="18.5703125" style="1" customWidth="1"/>
    <col min="1033" max="1283" width="9.140625" style="1"/>
    <col min="1284" max="1284" width="5.7109375" style="1" customWidth="1"/>
    <col min="1285" max="1285" width="7" style="1" customWidth="1"/>
    <col min="1286" max="1286" width="6.42578125" style="1" customWidth="1"/>
    <col min="1287" max="1287" width="43.5703125" style="1" customWidth="1"/>
    <col min="1288" max="1288" width="18.5703125" style="1" customWidth="1"/>
    <col min="1289" max="1539" width="9.140625" style="1"/>
    <col min="1540" max="1540" width="5.7109375" style="1" customWidth="1"/>
    <col min="1541" max="1541" width="7" style="1" customWidth="1"/>
    <col min="1542" max="1542" width="6.42578125" style="1" customWidth="1"/>
    <col min="1543" max="1543" width="43.5703125" style="1" customWidth="1"/>
    <col min="1544" max="1544" width="18.5703125" style="1" customWidth="1"/>
    <col min="1545" max="1795" width="9.140625" style="1"/>
    <col min="1796" max="1796" width="5.7109375" style="1" customWidth="1"/>
    <col min="1797" max="1797" width="7" style="1" customWidth="1"/>
    <col min="1798" max="1798" width="6.42578125" style="1" customWidth="1"/>
    <col min="1799" max="1799" width="43.5703125" style="1" customWidth="1"/>
    <col min="1800" max="1800" width="18.5703125" style="1" customWidth="1"/>
    <col min="1801" max="2051" width="9.140625" style="1"/>
    <col min="2052" max="2052" width="5.7109375" style="1" customWidth="1"/>
    <col min="2053" max="2053" width="7" style="1" customWidth="1"/>
    <col min="2054" max="2054" width="6.42578125" style="1" customWidth="1"/>
    <col min="2055" max="2055" width="43.5703125" style="1" customWidth="1"/>
    <col min="2056" max="2056" width="18.5703125" style="1" customWidth="1"/>
    <col min="2057" max="2307" width="9.140625" style="1"/>
    <col min="2308" max="2308" width="5.7109375" style="1" customWidth="1"/>
    <col min="2309" max="2309" width="7" style="1" customWidth="1"/>
    <col min="2310" max="2310" width="6.42578125" style="1" customWidth="1"/>
    <col min="2311" max="2311" width="43.5703125" style="1" customWidth="1"/>
    <col min="2312" max="2312" width="18.5703125" style="1" customWidth="1"/>
    <col min="2313" max="2563" width="9.140625" style="1"/>
    <col min="2564" max="2564" width="5.7109375" style="1" customWidth="1"/>
    <col min="2565" max="2565" width="7" style="1" customWidth="1"/>
    <col min="2566" max="2566" width="6.42578125" style="1" customWidth="1"/>
    <col min="2567" max="2567" width="43.5703125" style="1" customWidth="1"/>
    <col min="2568" max="2568" width="18.5703125" style="1" customWidth="1"/>
    <col min="2569" max="2819" width="9.140625" style="1"/>
    <col min="2820" max="2820" width="5.7109375" style="1" customWidth="1"/>
    <col min="2821" max="2821" width="7" style="1" customWidth="1"/>
    <col min="2822" max="2822" width="6.42578125" style="1" customWidth="1"/>
    <col min="2823" max="2823" width="43.5703125" style="1" customWidth="1"/>
    <col min="2824" max="2824" width="18.5703125" style="1" customWidth="1"/>
    <col min="2825" max="3075" width="9.140625" style="1"/>
    <col min="3076" max="3076" width="5.7109375" style="1" customWidth="1"/>
    <col min="3077" max="3077" width="7" style="1" customWidth="1"/>
    <col min="3078" max="3078" width="6.42578125" style="1" customWidth="1"/>
    <col min="3079" max="3079" width="43.5703125" style="1" customWidth="1"/>
    <col min="3080" max="3080" width="18.5703125" style="1" customWidth="1"/>
    <col min="3081" max="3331" width="9.140625" style="1"/>
    <col min="3332" max="3332" width="5.7109375" style="1" customWidth="1"/>
    <col min="3333" max="3333" width="7" style="1" customWidth="1"/>
    <col min="3334" max="3334" width="6.42578125" style="1" customWidth="1"/>
    <col min="3335" max="3335" width="43.5703125" style="1" customWidth="1"/>
    <col min="3336" max="3336" width="18.5703125" style="1" customWidth="1"/>
    <col min="3337" max="3587" width="9.140625" style="1"/>
    <col min="3588" max="3588" width="5.7109375" style="1" customWidth="1"/>
    <col min="3589" max="3589" width="7" style="1" customWidth="1"/>
    <col min="3590" max="3590" width="6.42578125" style="1" customWidth="1"/>
    <col min="3591" max="3591" width="43.5703125" style="1" customWidth="1"/>
    <col min="3592" max="3592" width="18.5703125" style="1" customWidth="1"/>
    <col min="3593" max="3843" width="9.140625" style="1"/>
    <col min="3844" max="3844" width="5.7109375" style="1" customWidth="1"/>
    <col min="3845" max="3845" width="7" style="1" customWidth="1"/>
    <col min="3846" max="3846" width="6.42578125" style="1" customWidth="1"/>
    <col min="3847" max="3847" width="43.5703125" style="1" customWidth="1"/>
    <col min="3848" max="3848" width="18.5703125" style="1" customWidth="1"/>
    <col min="3849" max="4099" width="9.140625" style="1"/>
    <col min="4100" max="4100" width="5.7109375" style="1" customWidth="1"/>
    <col min="4101" max="4101" width="7" style="1" customWidth="1"/>
    <col min="4102" max="4102" width="6.42578125" style="1" customWidth="1"/>
    <col min="4103" max="4103" width="43.5703125" style="1" customWidth="1"/>
    <col min="4104" max="4104" width="18.5703125" style="1" customWidth="1"/>
    <col min="4105" max="4355" width="9.140625" style="1"/>
    <col min="4356" max="4356" width="5.7109375" style="1" customWidth="1"/>
    <col min="4357" max="4357" width="7" style="1" customWidth="1"/>
    <col min="4358" max="4358" width="6.42578125" style="1" customWidth="1"/>
    <col min="4359" max="4359" width="43.5703125" style="1" customWidth="1"/>
    <col min="4360" max="4360" width="18.5703125" style="1" customWidth="1"/>
    <col min="4361" max="4611" width="9.140625" style="1"/>
    <col min="4612" max="4612" width="5.7109375" style="1" customWidth="1"/>
    <col min="4613" max="4613" width="7" style="1" customWidth="1"/>
    <col min="4614" max="4614" width="6.42578125" style="1" customWidth="1"/>
    <col min="4615" max="4615" width="43.5703125" style="1" customWidth="1"/>
    <col min="4616" max="4616" width="18.5703125" style="1" customWidth="1"/>
    <col min="4617" max="4867" width="9.140625" style="1"/>
    <col min="4868" max="4868" width="5.7109375" style="1" customWidth="1"/>
    <col min="4869" max="4869" width="7" style="1" customWidth="1"/>
    <col min="4870" max="4870" width="6.42578125" style="1" customWidth="1"/>
    <col min="4871" max="4871" width="43.5703125" style="1" customWidth="1"/>
    <col min="4872" max="4872" width="18.5703125" style="1" customWidth="1"/>
    <col min="4873" max="5123" width="9.140625" style="1"/>
    <col min="5124" max="5124" width="5.7109375" style="1" customWidth="1"/>
    <col min="5125" max="5125" width="7" style="1" customWidth="1"/>
    <col min="5126" max="5126" width="6.42578125" style="1" customWidth="1"/>
    <col min="5127" max="5127" width="43.5703125" style="1" customWidth="1"/>
    <col min="5128" max="5128" width="18.5703125" style="1" customWidth="1"/>
    <col min="5129" max="5379" width="9.140625" style="1"/>
    <col min="5380" max="5380" width="5.7109375" style="1" customWidth="1"/>
    <col min="5381" max="5381" width="7" style="1" customWidth="1"/>
    <col min="5382" max="5382" width="6.42578125" style="1" customWidth="1"/>
    <col min="5383" max="5383" width="43.5703125" style="1" customWidth="1"/>
    <col min="5384" max="5384" width="18.5703125" style="1" customWidth="1"/>
    <col min="5385" max="5635" width="9.140625" style="1"/>
    <col min="5636" max="5636" width="5.7109375" style="1" customWidth="1"/>
    <col min="5637" max="5637" width="7" style="1" customWidth="1"/>
    <col min="5638" max="5638" width="6.42578125" style="1" customWidth="1"/>
    <col min="5639" max="5639" width="43.5703125" style="1" customWidth="1"/>
    <col min="5640" max="5640" width="18.5703125" style="1" customWidth="1"/>
    <col min="5641" max="5891" width="9.140625" style="1"/>
    <col min="5892" max="5892" width="5.7109375" style="1" customWidth="1"/>
    <col min="5893" max="5893" width="7" style="1" customWidth="1"/>
    <col min="5894" max="5894" width="6.42578125" style="1" customWidth="1"/>
    <col min="5895" max="5895" width="43.5703125" style="1" customWidth="1"/>
    <col min="5896" max="5896" width="18.5703125" style="1" customWidth="1"/>
    <col min="5897" max="6147" width="9.140625" style="1"/>
    <col min="6148" max="6148" width="5.7109375" style="1" customWidth="1"/>
    <col min="6149" max="6149" width="7" style="1" customWidth="1"/>
    <col min="6150" max="6150" width="6.42578125" style="1" customWidth="1"/>
    <col min="6151" max="6151" width="43.5703125" style="1" customWidth="1"/>
    <col min="6152" max="6152" width="18.5703125" style="1" customWidth="1"/>
    <col min="6153" max="6403" width="9.140625" style="1"/>
    <col min="6404" max="6404" width="5.7109375" style="1" customWidth="1"/>
    <col min="6405" max="6405" width="7" style="1" customWidth="1"/>
    <col min="6406" max="6406" width="6.42578125" style="1" customWidth="1"/>
    <col min="6407" max="6407" width="43.5703125" style="1" customWidth="1"/>
    <col min="6408" max="6408" width="18.5703125" style="1" customWidth="1"/>
    <col min="6409" max="6659" width="9.140625" style="1"/>
    <col min="6660" max="6660" width="5.7109375" style="1" customWidth="1"/>
    <col min="6661" max="6661" width="7" style="1" customWidth="1"/>
    <col min="6662" max="6662" width="6.42578125" style="1" customWidth="1"/>
    <col min="6663" max="6663" width="43.5703125" style="1" customWidth="1"/>
    <col min="6664" max="6664" width="18.5703125" style="1" customWidth="1"/>
    <col min="6665" max="6915" width="9.140625" style="1"/>
    <col min="6916" max="6916" width="5.7109375" style="1" customWidth="1"/>
    <col min="6917" max="6917" width="7" style="1" customWidth="1"/>
    <col min="6918" max="6918" width="6.42578125" style="1" customWidth="1"/>
    <col min="6919" max="6919" width="43.5703125" style="1" customWidth="1"/>
    <col min="6920" max="6920" width="18.5703125" style="1" customWidth="1"/>
    <col min="6921" max="7171" width="9.140625" style="1"/>
    <col min="7172" max="7172" width="5.7109375" style="1" customWidth="1"/>
    <col min="7173" max="7173" width="7" style="1" customWidth="1"/>
    <col min="7174" max="7174" width="6.42578125" style="1" customWidth="1"/>
    <col min="7175" max="7175" width="43.5703125" style="1" customWidth="1"/>
    <col min="7176" max="7176" width="18.5703125" style="1" customWidth="1"/>
    <col min="7177" max="7427" width="9.140625" style="1"/>
    <col min="7428" max="7428" width="5.7109375" style="1" customWidth="1"/>
    <col min="7429" max="7429" width="7" style="1" customWidth="1"/>
    <col min="7430" max="7430" width="6.42578125" style="1" customWidth="1"/>
    <col min="7431" max="7431" width="43.5703125" style="1" customWidth="1"/>
    <col min="7432" max="7432" width="18.5703125" style="1" customWidth="1"/>
    <col min="7433" max="7683" width="9.140625" style="1"/>
    <col min="7684" max="7684" width="5.7109375" style="1" customWidth="1"/>
    <col min="7685" max="7685" width="7" style="1" customWidth="1"/>
    <col min="7686" max="7686" width="6.42578125" style="1" customWidth="1"/>
    <col min="7687" max="7687" width="43.5703125" style="1" customWidth="1"/>
    <col min="7688" max="7688" width="18.5703125" style="1" customWidth="1"/>
    <col min="7689" max="7939" width="9.140625" style="1"/>
    <col min="7940" max="7940" width="5.7109375" style="1" customWidth="1"/>
    <col min="7941" max="7941" width="7" style="1" customWidth="1"/>
    <col min="7942" max="7942" width="6.42578125" style="1" customWidth="1"/>
    <col min="7943" max="7943" width="43.5703125" style="1" customWidth="1"/>
    <col min="7944" max="7944" width="18.5703125" style="1" customWidth="1"/>
    <col min="7945" max="8195" width="9.140625" style="1"/>
    <col min="8196" max="8196" width="5.7109375" style="1" customWidth="1"/>
    <col min="8197" max="8197" width="7" style="1" customWidth="1"/>
    <col min="8198" max="8198" width="6.42578125" style="1" customWidth="1"/>
    <col min="8199" max="8199" width="43.5703125" style="1" customWidth="1"/>
    <col min="8200" max="8200" width="18.5703125" style="1" customWidth="1"/>
    <col min="8201" max="8451" width="9.140625" style="1"/>
    <col min="8452" max="8452" width="5.7109375" style="1" customWidth="1"/>
    <col min="8453" max="8453" width="7" style="1" customWidth="1"/>
    <col min="8454" max="8454" width="6.42578125" style="1" customWidth="1"/>
    <col min="8455" max="8455" width="43.5703125" style="1" customWidth="1"/>
    <col min="8456" max="8456" width="18.5703125" style="1" customWidth="1"/>
    <col min="8457" max="8707" width="9.140625" style="1"/>
    <col min="8708" max="8708" width="5.7109375" style="1" customWidth="1"/>
    <col min="8709" max="8709" width="7" style="1" customWidth="1"/>
    <col min="8710" max="8710" width="6.42578125" style="1" customWidth="1"/>
    <col min="8711" max="8711" width="43.5703125" style="1" customWidth="1"/>
    <col min="8712" max="8712" width="18.5703125" style="1" customWidth="1"/>
    <col min="8713" max="8963" width="9.140625" style="1"/>
    <col min="8964" max="8964" width="5.7109375" style="1" customWidth="1"/>
    <col min="8965" max="8965" width="7" style="1" customWidth="1"/>
    <col min="8966" max="8966" width="6.42578125" style="1" customWidth="1"/>
    <col min="8967" max="8967" width="43.5703125" style="1" customWidth="1"/>
    <col min="8968" max="8968" width="18.5703125" style="1" customWidth="1"/>
    <col min="8969" max="9219" width="9.140625" style="1"/>
    <col min="9220" max="9220" width="5.7109375" style="1" customWidth="1"/>
    <col min="9221" max="9221" width="7" style="1" customWidth="1"/>
    <col min="9222" max="9222" width="6.42578125" style="1" customWidth="1"/>
    <col min="9223" max="9223" width="43.5703125" style="1" customWidth="1"/>
    <col min="9224" max="9224" width="18.5703125" style="1" customWidth="1"/>
    <col min="9225" max="9475" width="9.140625" style="1"/>
    <col min="9476" max="9476" width="5.7109375" style="1" customWidth="1"/>
    <col min="9477" max="9477" width="7" style="1" customWidth="1"/>
    <col min="9478" max="9478" width="6.42578125" style="1" customWidth="1"/>
    <col min="9479" max="9479" width="43.5703125" style="1" customWidth="1"/>
    <col min="9480" max="9480" width="18.5703125" style="1" customWidth="1"/>
    <col min="9481" max="9731" width="9.140625" style="1"/>
    <col min="9732" max="9732" width="5.7109375" style="1" customWidth="1"/>
    <col min="9733" max="9733" width="7" style="1" customWidth="1"/>
    <col min="9734" max="9734" width="6.42578125" style="1" customWidth="1"/>
    <col min="9735" max="9735" width="43.5703125" style="1" customWidth="1"/>
    <col min="9736" max="9736" width="18.5703125" style="1" customWidth="1"/>
    <col min="9737" max="9987" width="9.140625" style="1"/>
    <col min="9988" max="9988" width="5.7109375" style="1" customWidth="1"/>
    <col min="9989" max="9989" width="7" style="1" customWidth="1"/>
    <col min="9990" max="9990" width="6.42578125" style="1" customWidth="1"/>
    <col min="9991" max="9991" width="43.5703125" style="1" customWidth="1"/>
    <col min="9992" max="9992" width="18.5703125" style="1" customWidth="1"/>
    <col min="9993" max="10243" width="9.140625" style="1"/>
    <col min="10244" max="10244" width="5.7109375" style="1" customWidth="1"/>
    <col min="10245" max="10245" width="7" style="1" customWidth="1"/>
    <col min="10246" max="10246" width="6.42578125" style="1" customWidth="1"/>
    <col min="10247" max="10247" width="43.5703125" style="1" customWidth="1"/>
    <col min="10248" max="10248" width="18.5703125" style="1" customWidth="1"/>
    <col min="10249" max="10499" width="9.140625" style="1"/>
    <col min="10500" max="10500" width="5.7109375" style="1" customWidth="1"/>
    <col min="10501" max="10501" width="7" style="1" customWidth="1"/>
    <col min="10502" max="10502" width="6.42578125" style="1" customWidth="1"/>
    <col min="10503" max="10503" width="43.5703125" style="1" customWidth="1"/>
    <col min="10504" max="10504" width="18.5703125" style="1" customWidth="1"/>
    <col min="10505" max="10755" width="9.140625" style="1"/>
    <col min="10756" max="10756" width="5.7109375" style="1" customWidth="1"/>
    <col min="10757" max="10757" width="7" style="1" customWidth="1"/>
    <col min="10758" max="10758" width="6.42578125" style="1" customWidth="1"/>
    <col min="10759" max="10759" width="43.5703125" style="1" customWidth="1"/>
    <col min="10760" max="10760" width="18.5703125" style="1" customWidth="1"/>
    <col min="10761" max="11011" width="9.140625" style="1"/>
    <col min="11012" max="11012" width="5.7109375" style="1" customWidth="1"/>
    <col min="11013" max="11013" width="7" style="1" customWidth="1"/>
    <col min="11014" max="11014" width="6.42578125" style="1" customWidth="1"/>
    <col min="11015" max="11015" width="43.5703125" style="1" customWidth="1"/>
    <col min="11016" max="11016" width="18.5703125" style="1" customWidth="1"/>
    <col min="11017" max="11267" width="9.140625" style="1"/>
    <col min="11268" max="11268" width="5.7109375" style="1" customWidth="1"/>
    <col min="11269" max="11269" width="7" style="1" customWidth="1"/>
    <col min="11270" max="11270" width="6.42578125" style="1" customWidth="1"/>
    <col min="11271" max="11271" width="43.5703125" style="1" customWidth="1"/>
    <col min="11272" max="11272" width="18.5703125" style="1" customWidth="1"/>
    <col min="11273" max="11523" width="9.140625" style="1"/>
    <col min="11524" max="11524" width="5.7109375" style="1" customWidth="1"/>
    <col min="11525" max="11525" width="7" style="1" customWidth="1"/>
    <col min="11526" max="11526" width="6.42578125" style="1" customWidth="1"/>
    <col min="11527" max="11527" width="43.5703125" style="1" customWidth="1"/>
    <col min="11528" max="11528" width="18.5703125" style="1" customWidth="1"/>
    <col min="11529" max="11779" width="9.140625" style="1"/>
    <col min="11780" max="11780" width="5.7109375" style="1" customWidth="1"/>
    <col min="11781" max="11781" width="7" style="1" customWidth="1"/>
    <col min="11782" max="11782" width="6.42578125" style="1" customWidth="1"/>
    <col min="11783" max="11783" width="43.5703125" style="1" customWidth="1"/>
    <col min="11784" max="11784" width="18.5703125" style="1" customWidth="1"/>
    <col min="11785" max="12035" width="9.140625" style="1"/>
    <col min="12036" max="12036" width="5.7109375" style="1" customWidth="1"/>
    <col min="12037" max="12037" width="7" style="1" customWidth="1"/>
    <col min="12038" max="12038" width="6.42578125" style="1" customWidth="1"/>
    <col min="12039" max="12039" width="43.5703125" style="1" customWidth="1"/>
    <col min="12040" max="12040" width="18.5703125" style="1" customWidth="1"/>
    <col min="12041" max="12291" width="9.140625" style="1"/>
    <col min="12292" max="12292" width="5.7109375" style="1" customWidth="1"/>
    <col min="12293" max="12293" width="7" style="1" customWidth="1"/>
    <col min="12294" max="12294" width="6.42578125" style="1" customWidth="1"/>
    <col min="12295" max="12295" width="43.5703125" style="1" customWidth="1"/>
    <col min="12296" max="12296" width="18.5703125" style="1" customWidth="1"/>
    <col min="12297" max="12547" width="9.140625" style="1"/>
    <col min="12548" max="12548" width="5.7109375" style="1" customWidth="1"/>
    <col min="12549" max="12549" width="7" style="1" customWidth="1"/>
    <col min="12550" max="12550" width="6.42578125" style="1" customWidth="1"/>
    <col min="12551" max="12551" width="43.5703125" style="1" customWidth="1"/>
    <col min="12552" max="12552" width="18.5703125" style="1" customWidth="1"/>
    <col min="12553" max="12803" width="9.140625" style="1"/>
    <col min="12804" max="12804" width="5.7109375" style="1" customWidth="1"/>
    <col min="12805" max="12805" width="7" style="1" customWidth="1"/>
    <col min="12806" max="12806" width="6.42578125" style="1" customWidth="1"/>
    <col min="12807" max="12807" width="43.5703125" style="1" customWidth="1"/>
    <col min="12808" max="12808" width="18.5703125" style="1" customWidth="1"/>
    <col min="12809" max="13059" width="9.140625" style="1"/>
    <col min="13060" max="13060" width="5.7109375" style="1" customWidth="1"/>
    <col min="13061" max="13061" width="7" style="1" customWidth="1"/>
    <col min="13062" max="13062" width="6.42578125" style="1" customWidth="1"/>
    <col min="13063" max="13063" width="43.5703125" style="1" customWidth="1"/>
    <col min="13064" max="13064" width="18.5703125" style="1" customWidth="1"/>
    <col min="13065" max="13315" width="9.140625" style="1"/>
    <col min="13316" max="13316" width="5.7109375" style="1" customWidth="1"/>
    <col min="13317" max="13317" width="7" style="1" customWidth="1"/>
    <col min="13318" max="13318" width="6.42578125" style="1" customWidth="1"/>
    <col min="13319" max="13319" width="43.5703125" style="1" customWidth="1"/>
    <col min="13320" max="13320" width="18.5703125" style="1" customWidth="1"/>
    <col min="13321" max="13571" width="9.140625" style="1"/>
    <col min="13572" max="13572" width="5.7109375" style="1" customWidth="1"/>
    <col min="13573" max="13573" width="7" style="1" customWidth="1"/>
    <col min="13574" max="13574" width="6.42578125" style="1" customWidth="1"/>
    <col min="13575" max="13575" width="43.5703125" style="1" customWidth="1"/>
    <col min="13576" max="13576" width="18.5703125" style="1" customWidth="1"/>
    <col min="13577" max="13827" width="9.140625" style="1"/>
    <col min="13828" max="13828" width="5.7109375" style="1" customWidth="1"/>
    <col min="13829" max="13829" width="7" style="1" customWidth="1"/>
    <col min="13830" max="13830" width="6.42578125" style="1" customWidth="1"/>
    <col min="13831" max="13831" width="43.5703125" style="1" customWidth="1"/>
    <col min="13832" max="13832" width="18.5703125" style="1" customWidth="1"/>
    <col min="13833" max="14083" width="9.140625" style="1"/>
    <col min="14084" max="14084" width="5.7109375" style="1" customWidth="1"/>
    <col min="14085" max="14085" width="7" style="1" customWidth="1"/>
    <col min="14086" max="14086" width="6.42578125" style="1" customWidth="1"/>
    <col min="14087" max="14087" width="43.5703125" style="1" customWidth="1"/>
    <col min="14088" max="14088" width="18.5703125" style="1" customWidth="1"/>
    <col min="14089" max="14339" width="9.140625" style="1"/>
    <col min="14340" max="14340" width="5.7109375" style="1" customWidth="1"/>
    <col min="14341" max="14341" width="7" style="1" customWidth="1"/>
    <col min="14342" max="14342" width="6.42578125" style="1" customWidth="1"/>
    <col min="14343" max="14343" width="43.5703125" style="1" customWidth="1"/>
    <col min="14344" max="14344" width="18.5703125" style="1" customWidth="1"/>
    <col min="14345" max="14595" width="9.140625" style="1"/>
    <col min="14596" max="14596" width="5.7109375" style="1" customWidth="1"/>
    <col min="14597" max="14597" width="7" style="1" customWidth="1"/>
    <col min="14598" max="14598" width="6.42578125" style="1" customWidth="1"/>
    <col min="14599" max="14599" width="43.5703125" style="1" customWidth="1"/>
    <col min="14600" max="14600" width="18.5703125" style="1" customWidth="1"/>
    <col min="14601" max="14851" width="9.140625" style="1"/>
    <col min="14852" max="14852" width="5.7109375" style="1" customWidth="1"/>
    <col min="14853" max="14853" width="7" style="1" customWidth="1"/>
    <col min="14854" max="14854" width="6.42578125" style="1" customWidth="1"/>
    <col min="14855" max="14855" width="43.5703125" style="1" customWidth="1"/>
    <col min="14856" max="14856" width="18.5703125" style="1" customWidth="1"/>
    <col min="14857" max="15107" width="9.140625" style="1"/>
    <col min="15108" max="15108" width="5.7109375" style="1" customWidth="1"/>
    <col min="15109" max="15109" width="7" style="1" customWidth="1"/>
    <col min="15110" max="15110" width="6.42578125" style="1" customWidth="1"/>
    <col min="15111" max="15111" width="43.5703125" style="1" customWidth="1"/>
    <col min="15112" max="15112" width="18.5703125" style="1" customWidth="1"/>
    <col min="15113" max="15363" width="9.140625" style="1"/>
    <col min="15364" max="15364" width="5.7109375" style="1" customWidth="1"/>
    <col min="15365" max="15365" width="7" style="1" customWidth="1"/>
    <col min="15366" max="15366" width="6.42578125" style="1" customWidth="1"/>
    <col min="15367" max="15367" width="43.5703125" style="1" customWidth="1"/>
    <col min="15368" max="15368" width="18.5703125" style="1" customWidth="1"/>
    <col min="15369" max="15619" width="9.140625" style="1"/>
    <col min="15620" max="15620" width="5.7109375" style="1" customWidth="1"/>
    <col min="15621" max="15621" width="7" style="1" customWidth="1"/>
    <col min="15622" max="15622" width="6.42578125" style="1" customWidth="1"/>
    <col min="15623" max="15623" width="43.5703125" style="1" customWidth="1"/>
    <col min="15624" max="15624" width="18.5703125" style="1" customWidth="1"/>
    <col min="15625" max="15875" width="9.140625" style="1"/>
    <col min="15876" max="15876" width="5.7109375" style="1" customWidth="1"/>
    <col min="15877" max="15877" width="7" style="1" customWidth="1"/>
    <col min="15878" max="15878" width="6.42578125" style="1" customWidth="1"/>
    <col min="15879" max="15879" width="43.5703125" style="1" customWidth="1"/>
    <col min="15880" max="15880" width="18.5703125" style="1" customWidth="1"/>
    <col min="15881" max="16131" width="9.140625" style="1"/>
    <col min="16132" max="16132" width="5.7109375" style="1" customWidth="1"/>
    <col min="16133" max="16133" width="7" style="1" customWidth="1"/>
    <col min="16134" max="16134" width="6.42578125" style="1" customWidth="1"/>
    <col min="16135" max="16135" width="43.5703125" style="1" customWidth="1"/>
    <col min="16136" max="16136" width="18.5703125" style="1" customWidth="1"/>
    <col min="16137" max="16384" width="9.140625" style="1"/>
  </cols>
  <sheetData>
    <row r="1" spans="1:9" ht="13.5" customHeight="1" x14ac:dyDescent="0.25">
      <c r="A1" s="303" t="s">
        <v>0</v>
      </c>
      <c r="B1" s="303"/>
      <c r="C1" s="303"/>
      <c r="D1" s="303"/>
      <c r="E1" s="303"/>
      <c r="F1" s="303"/>
      <c r="G1" s="303"/>
      <c r="H1" s="303"/>
      <c r="I1" s="303"/>
    </row>
    <row r="2" spans="1:9" ht="15.6" customHeight="1" x14ac:dyDescent="0.25">
      <c r="A2" s="303" t="s">
        <v>13</v>
      </c>
      <c r="B2" s="303"/>
      <c r="C2" s="303"/>
      <c r="D2" s="303"/>
      <c r="E2" s="303"/>
      <c r="F2" s="303"/>
      <c r="G2" s="303"/>
      <c r="H2" s="303"/>
      <c r="I2" s="303"/>
    </row>
    <row r="3" spans="1:9" ht="15.6" customHeight="1" x14ac:dyDescent="0.25">
      <c r="A3" s="303" t="s">
        <v>1</v>
      </c>
      <c r="B3" s="303"/>
      <c r="C3" s="303"/>
      <c r="D3" s="303"/>
      <c r="E3" s="303"/>
      <c r="F3" s="303"/>
      <c r="G3" s="303"/>
      <c r="H3" s="303"/>
      <c r="I3" s="303"/>
    </row>
    <row r="4" spans="1:9" ht="32.25" customHeight="1" x14ac:dyDescent="0.25">
      <c r="A4" s="304" t="s">
        <v>14</v>
      </c>
      <c r="B4" s="304"/>
      <c r="C4" s="304"/>
      <c r="D4" s="304"/>
      <c r="E4" s="304"/>
      <c r="F4" s="304"/>
      <c r="G4" s="304"/>
      <c r="H4" s="304"/>
      <c r="I4" s="304"/>
    </row>
    <row r="5" spans="1:9" ht="16.5" customHeight="1" x14ac:dyDescent="0.25">
      <c r="A5" s="2"/>
      <c r="B5" s="2"/>
      <c r="C5" s="2"/>
      <c r="D5" s="2"/>
      <c r="E5" s="2"/>
      <c r="F5" s="2"/>
      <c r="G5" s="2"/>
      <c r="H5" s="2"/>
      <c r="I5" s="3"/>
    </row>
    <row r="6" spans="1:9" ht="53.25" customHeight="1" x14ac:dyDescent="0.25">
      <c r="A6" s="305" t="s">
        <v>2</v>
      </c>
      <c r="B6" s="305" t="s">
        <v>3</v>
      </c>
      <c r="C6" s="305" t="s">
        <v>4</v>
      </c>
      <c r="D6" s="307" t="s">
        <v>57</v>
      </c>
      <c r="E6" s="309" t="s">
        <v>5</v>
      </c>
      <c r="F6" s="311" t="s">
        <v>6</v>
      </c>
      <c r="G6" s="312"/>
      <c r="H6" s="312"/>
      <c r="I6" s="312"/>
    </row>
    <row r="7" spans="1:9" ht="32.25" customHeight="1" x14ac:dyDescent="0.25">
      <c r="A7" s="306"/>
      <c r="B7" s="306"/>
      <c r="C7" s="306"/>
      <c r="D7" s="308"/>
      <c r="E7" s="310"/>
      <c r="F7" s="5" t="s">
        <v>15</v>
      </c>
      <c r="G7" s="5" t="s">
        <v>16</v>
      </c>
      <c r="H7" s="5" t="s">
        <v>17</v>
      </c>
      <c r="I7" s="4" t="s">
        <v>7</v>
      </c>
    </row>
    <row r="8" spans="1:9" ht="32.25" customHeight="1" x14ac:dyDescent="0.25">
      <c r="A8" s="221"/>
      <c r="B8" s="221"/>
      <c r="C8" s="221"/>
      <c r="D8" s="222"/>
      <c r="E8" s="9" t="s">
        <v>72</v>
      </c>
      <c r="F8" s="38" t="e">
        <f>SUM(F9+#REF!)</f>
        <v>#REF!</v>
      </c>
      <c r="G8" s="38">
        <f>SUM(G9+G116)</f>
        <v>-4.000000050291419E-2</v>
      </c>
      <c r="H8" s="38">
        <f>SUM(H9+H116)</f>
        <v>-40000.040000000503</v>
      </c>
      <c r="I8" s="38">
        <f>SUM(I9+I116)</f>
        <v>-40000.029999999329</v>
      </c>
    </row>
    <row r="9" spans="1:9" s="13" customFormat="1" ht="33" customHeight="1" x14ac:dyDescent="0.25">
      <c r="A9" s="11"/>
      <c r="B9" s="11"/>
      <c r="C9" s="11"/>
      <c r="D9" s="12"/>
      <c r="E9" s="14" t="s">
        <v>9</v>
      </c>
      <c r="F9" s="220" t="e">
        <f>SUM(F11+#REF!)</f>
        <v>#REF!</v>
      </c>
      <c r="G9" s="232">
        <f>SUM(G11+G92)</f>
        <v>2352134.0599999996</v>
      </c>
      <c r="H9" s="232">
        <f>SUM(H11+H92)</f>
        <v>4076234.6599999997</v>
      </c>
      <c r="I9" s="220">
        <f>SUM(I11+I92)</f>
        <v>5840335.2700000005</v>
      </c>
    </row>
    <row r="10" spans="1:9" s="13" customFormat="1" ht="14.25" x14ac:dyDescent="0.25">
      <c r="A10" s="11"/>
      <c r="B10" s="11"/>
      <c r="C10" s="11"/>
      <c r="D10" s="12"/>
      <c r="E10" s="15" t="s">
        <v>73</v>
      </c>
      <c r="F10" s="71"/>
      <c r="G10" s="71"/>
      <c r="H10" s="71"/>
      <c r="I10" s="71"/>
    </row>
    <row r="11" spans="1:9" s="13" customFormat="1" ht="29.25" customHeight="1" x14ac:dyDescent="0.25">
      <c r="A11" s="7" t="s">
        <v>10</v>
      </c>
      <c r="B11" s="7" t="s">
        <v>11</v>
      </c>
      <c r="C11" s="7" t="s">
        <v>12</v>
      </c>
      <c r="D11" s="22" t="s">
        <v>12</v>
      </c>
      <c r="E11" s="23" t="s">
        <v>59</v>
      </c>
      <c r="F11" s="71" t="e">
        <f>SUM(F13+F65+F109+#REF!)</f>
        <v>#REF!</v>
      </c>
      <c r="G11" s="71">
        <f t="shared" ref="G11:H11" si="0">SUM(G13+G65)</f>
        <v>2217115.5599999996</v>
      </c>
      <c r="H11" s="71">
        <f t="shared" si="0"/>
        <v>3837534.76</v>
      </c>
      <c r="I11" s="71">
        <f>SUM(I13+I65)</f>
        <v>5525671.4700000007</v>
      </c>
    </row>
    <row r="12" spans="1:9" s="13" customFormat="1" x14ac:dyDescent="0.25">
      <c r="A12" s="7"/>
      <c r="B12" s="7"/>
      <c r="C12" s="7"/>
      <c r="D12" s="8"/>
      <c r="E12" s="20" t="s">
        <v>73</v>
      </c>
      <c r="F12" s="71"/>
      <c r="G12" s="71"/>
      <c r="H12" s="71"/>
      <c r="I12" s="71"/>
    </row>
    <row r="13" spans="1:9" s="13" customFormat="1" ht="18.75" customHeight="1" x14ac:dyDescent="0.25">
      <c r="A13" s="7"/>
      <c r="B13" s="7"/>
      <c r="C13" s="7"/>
      <c r="D13" s="8"/>
      <c r="E13" s="9" t="s">
        <v>132</v>
      </c>
      <c r="F13" s="71">
        <f>SUM(F14+F38+F48)</f>
        <v>1106814.5</v>
      </c>
      <c r="G13" s="71">
        <f>SUM(G14+G38+G48)</f>
        <v>2217115.5599999996</v>
      </c>
      <c r="H13" s="71">
        <f t="shared" ref="H13" si="1">SUM(H14+H38+H48)</f>
        <v>3837534.76</v>
      </c>
      <c r="I13" s="71">
        <f>SUM(I14+I38+I48)</f>
        <v>5427161.4700000007</v>
      </c>
    </row>
    <row r="14" spans="1:9" s="13" customFormat="1" ht="33" x14ac:dyDescent="0.25">
      <c r="A14" s="7"/>
      <c r="B14" s="7"/>
      <c r="C14" s="7"/>
      <c r="D14" s="8"/>
      <c r="E14" s="24" t="s">
        <v>131</v>
      </c>
      <c r="F14" s="71">
        <f>SUM(F16+F24+F28+F30+F32+F35)</f>
        <v>754081.7</v>
      </c>
      <c r="G14" s="71">
        <f t="shared" ref="G14:H14" si="2">SUM(G16+G24+G28+G30+G32+G35)</f>
        <v>1480759.0299999998</v>
      </c>
      <c r="H14" s="71">
        <f t="shared" si="2"/>
        <v>2563357.5299999998</v>
      </c>
      <c r="I14" s="71">
        <f>SUM(I16+I24+I28+I30+I32+I35)</f>
        <v>3592295.12</v>
      </c>
    </row>
    <row r="15" spans="1:9" s="13" customFormat="1" x14ac:dyDescent="0.25">
      <c r="A15" s="7"/>
      <c r="B15" s="7"/>
      <c r="C15" s="7"/>
      <c r="D15" s="8"/>
      <c r="E15" s="20" t="s">
        <v>73</v>
      </c>
      <c r="F15" s="71">
        <v>0</v>
      </c>
      <c r="G15" s="71">
        <v>0</v>
      </c>
      <c r="H15" s="71">
        <v>0</v>
      </c>
      <c r="I15" s="71"/>
    </row>
    <row r="16" spans="1:9" s="13" customFormat="1" ht="34.5" customHeight="1" x14ac:dyDescent="0.25">
      <c r="A16" s="7"/>
      <c r="B16" s="7"/>
      <c r="C16" s="7"/>
      <c r="D16" s="7"/>
      <c r="E16" s="25" t="s">
        <v>18</v>
      </c>
      <c r="F16" s="71">
        <f>SUM(F17:F23)</f>
        <v>194398</v>
      </c>
      <c r="G16" s="71">
        <f t="shared" ref="G16:I16" si="3">SUM(G17:G23)</f>
        <v>328455.09999999998</v>
      </c>
      <c r="H16" s="71">
        <f t="shared" si="3"/>
        <v>448455.1</v>
      </c>
      <c r="I16" s="71">
        <f t="shared" si="3"/>
        <v>866423.63</v>
      </c>
    </row>
    <row r="17" spans="1:9" s="13" customFormat="1" ht="33" x14ac:dyDescent="0.25">
      <c r="A17" s="22"/>
      <c r="B17" s="22"/>
      <c r="C17" s="22"/>
      <c r="D17" s="22"/>
      <c r="E17" s="39" t="s">
        <v>20</v>
      </c>
      <c r="F17" s="72">
        <v>-1912</v>
      </c>
      <c r="G17" s="103">
        <v>-1544.9000000000015</v>
      </c>
      <c r="H17" s="103">
        <v>-1544.9000000000015</v>
      </c>
      <c r="I17" s="103">
        <v>-1544.9000000000015</v>
      </c>
    </row>
    <row r="18" spans="1:9" s="13" customFormat="1" ht="33" x14ac:dyDescent="0.25">
      <c r="A18" s="22"/>
      <c r="B18" s="22"/>
      <c r="C18" s="22"/>
      <c r="D18" s="22"/>
      <c r="E18" s="28" t="s">
        <v>19</v>
      </c>
      <c r="F18" s="72">
        <v>41700</v>
      </c>
      <c r="G18" s="103">
        <v>60000</v>
      </c>
      <c r="H18" s="103">
        <v>90000</v>
      </c>
      <c r="I18" s="103">
        <v>169067.04</v>
      </c>
    </row>
    <row r="19" spans="1:9" s="13" customFormat="1" x14ac:dyDescent="0.25">
      <c r="A19" s="22"/>
      <c r="B19" s="22"/>
      <c r="C19" s="22"/>
      <c r="D19" s="22"/>
      <c r="E19" s="28" t="s">
        <v>21</v>
      </c>
      <c r="F19" s="72">
        <v>34340</v>
      </c>
      <c r="G19" s="103">
        <v>60000</v>
      </c>
      <c r="H19" s="103">
        <v>90000</v>
      </c>
      <c r="I19" s="103">
        <v>149562.28</v>
      </c>
    </row>
    <row r="20" spans="1:9" s="13" customFormat="1" x14ac:dyDescent="0.25">
      <c r="A20" s="22"/>
      <c r="B20" s="22"/>
      <c r="C20" s="22"/>
      <c r="D20" s="22"/>
      <c r="E20" s="28" t="s">
        <v>22</v>
      </c>
      <c r="F20" s="72">
        <v>53570</v>
      </c>
      <c r="G20" s="103">
        <v>60000</v>
      </c>
      <c r="H20" s="103">
        <v>90000</v>
      </c>
      <c r="I20" s="103">
        <v>244797.05</v>
      </c>
    </row>
    <row r="21" spans="1:9" s="13" customFormat="1" ht="33" x14ac:dyDescent="0.25">
      <c r="A21" s="7"/>
      <c r="B21" s="7"/>
      <c r="C21" s="7"/>
      <c r="D21" s="7"/>
      <c r="E21" s="34" t="s">
        <v>92</v>
      </c>
      <c r="F21" s="72">
        <v>36130</v>
      </c>
      <c r="G21" s="103">
        <v>60000</v>
      </c>
      <c r="H21" s="103">
        <v>90000</v>
      </c>
      <c r="I21" s="103">
        <v>162183.4</v>
      </c>
    </row>
    <row r="22" spans="1:9" s="13" customFormat="1" ht="33" x14ac:dyDescent="0.25">
      <c r="A22" s="7"/>
      <c r="B22" s="7"/>
      <c r="C22" s="7"/>
      <c r="D22" s="7"/>
      <c r="E22" s="233" t="s">
        <v>23</v>
      </c>
      <c r="F22" s="72">
        <v>16620</v>
      </c>
      <c r="G22" s="103">
        <v>45000</v>
      </c>
      <c r="H22" s="103">
        <v>50000</v>
      </c>
      <c r="I22" s="103">
        <v>76461.72</v>
      </c>
    </row>
    <row r="23" spans="1:9" s="13" customFormat="1" ht="33" x14ac:dyDescent="0.25">
      <c r="A23" s="22"/>
      <c r="B23" s="22"/>
      <c r="C23" s="22"/>
      <c r="D23" s="22"/>
      <c r="E23" s="27" t="s">
        <v>24</v>
      </c>
      <c r="F23" s="72">
        <v>13950</v>
      </c>
      <c r="G23" s="103">
        <v>45000</v>
      </c>
      <c r="H23" s="103">
        <v>40000</v>
      </c>
      <c r="I23" s="103">
        <v>65897.039999999994</v>
      </c>
    </row>
    <row r="24" spans="1:9" s="13" customFormat="1" ht="26.25" customHeight="1" x14ac:dyDescent="0.25">
      <c r="A24" s="7"/>
      <c r="B24" s="7"/>
      <c r="C24" s="7"/>
      <c r="D24" s="7"/>
      <c r="E24" s="25" t="s">
        <v>25</v>
      </c>
      <c r="F24" s="71">
        <v>280520</v>
      </c>
      <c r="G24" s="71">
        <f t="shared" ref="G24:H24" si="4">SUM(G25:G27)</f>
        <v>511824.19999999995</v>
      </c>
      <c r="H24" s="71">
        <f t="shared" si="4"/>
        <v>874422.7</v>
      </c>
      <c r="I24" s="71">
        <f>SUM(I25:I27)</f>
        <v>1212532.72</v>
      </c>
    </row>
    <row r="25" spans="1:9" s="13" customFormat="1" ht="33" x14ac:dyDescent="0.25">
      <c r="A25" s="22"/>
      <c r="B25" s="22"/>
      <c r="C25" s="22"/>
      <c r="D25" s="22"/>
      <c r="E25" s="233" t="s">
        <v>93</v>
      </c>
      <c r="F25" s="72">
        <v>222840</v>
      </c>
      <c r="G25" s="103">
        <v>411544.2</v>
      </c>
      <c r="H25" s="103">
        <f>650000+4142.7</f>
        <v>654142.69999999995</v>
      </c>
      <c r="I25" s="103">
        <v>878684.72</v>
      </c>
    </row>
    <row r="26" spans="1:9" s="13" customFormat="1" ht="49.5" x14ac:dyDescent="0.25">
      <c r="A26" s="22"/>
      <c r="B26" s="22"/>
      <c r="C26" s="22"/>
      <c r="D26" s="22"/>
      <c r="E26" s="34" t="s">
        <v>102</v>
      </c>
      <c r="F26" s="72">
        <v>77400</v>
      </c>
      <c r="G26" s="103">
        <v>120000</v>
      </c>
      <c r="H26" s="103">
        <v>240000</v>
      </c>
      <c r="I26" s="103">
        <v>353568</v>
      </c>
    </row>
    <row r="27" spans="1:9" s="13" customFormat="1" ht="33" x14ac:dyDescent="0.25">
      <c r="A27" s="22"/>
      <c r="B27" s="22"/>
      <c r="C27" s="22"/>
      <c r="D27" s="22"/>
      <c r="E27" s="34" t="s">
        <v>74</v>
      </c>
      <c r="F27" s="103">
        <v>-19720</v>
      </c>
      <c r="G27" s="103">
        <v>-19720</v>
      </c>
      <c r="H27" s="103">
        <v>-19720</v>
      </c>
      <c r="I27" s="103">
        <v>-19720</v>
      </c>
    </row>
    <row r="28" spans="1:9" s="13" customFormat="1" x14ac:dyDescent="0.25">
      <c r="A28" s="7"/>
      <c r="B28" s="7"/>
      <c r="C28" s="7"/>
      <c r="D28" s="7"/>
      <c r="E28" s="25" t="s">
        <v>26</v>
      </c>
      <c r="F28" s="71">
        <v>-348</v>
      </c>
      <c r="G28" s="71">
        <f t="shared" ref="G28:H28" si="5">SUM(G29)</f>
        <v>-241.5</v>
      </c>
      <c r="H28" s="71">
        <f t="shared" si="5"/>
        <v>-241.5</v>
      </c>
      <c r="I28" s="71">
        <f>SUM(I29)</f>
        <v>-241.5</v>
      </c>
    </row>
    <row r="29" spans="1:9" s="13" customFormat="1" ht="49.5" x14ac:dyDescent="0.25">
      <c r="A29" s="22"/>
      <c r="B29" s="22"/>
      <c r="C29" s="22"/>
      <c r="D29" s="22"/>
      <c r="E29" s="27" t="s">
        <v>27</v>
      </c>
      <c r="F29" s="72">
        <v>-348</v>
      </c>
      <c r="G29" s="43">
        <v>-241.5</v>
      </c>
      <c r="H29" s="43">
        <v>-241.5</v>
      </c>
      <c r="I29" s="43">
        <v>-241.5</v>
      </c>
    </row>
    <row r="30" spans="1:9" s="13" customFormat="1" ht="23.25" customHeight="1" x14ac:dyDescent="0.25">
      <c r="A30" s="7"/>
      <c r="B30" s="7"/>
      <c r="C30" s="7"/>
      <c r="D30" s="7"/>
      <c r="E30" s="25" t="s">
        <v>28</v>
      </c>
      <c r="F30" s="71">
        <f>SUM(F31)</f>
        <v>670</v>
      </c>
      <c r="G30" s="71">
        <f t="shared" ref="G30:H30" si="6">SUM(G31)</f>
        <v>2041.9</v>
      </c>
      <c r="H30" s="71">
        <f t="shared" si="6"/>
        <v>2041.9</v>
      </c>
      <c r="I30" s="71">
        <f>SUM(I31)</f>
        <v>2041.9</v>
      </c>
    </row>
    <row r="31" spans="1:9" s="13" customFormat="1" x14ac:dyDescent="0.25">
      <c r="A31" s="22"/>
      <c r="B31" s="22"/>
      <c r="C31" s="22"/>
      <c r="D31" s="22"/>
      <c r="E31" s="28" t="s">
        <v>29</v>
      </c>
      <c r="F31" s="72">
        <v>670</v>
      </c>
      <c r="G31" s="43">
        <v>2041.9</v>
      </c>
      <c r="H31" s="43">
        <v>2041.9</v>
      </c>
      <c r="I31" s="43">
        <v>2041.9</v>
      </c>
    </row>
    <row r="32" spans="1:9" s="13" customFormat="1" x14ac:dyDescent="0.25">
      <c r="A32" s="7"/>
      <c r="B32" s="7"/>
      <c r="C32" s="7"/>
      <c r="D32" s="7"/>
      <c r="E32" s="25" t="s">
        <v>30</v>
      </c>
      <c r="F32" s="71">
        <f>SUM(F33:F34)</f>
        <v>6210</v>
      </c>
      <c r="G32" s="71">
        <f t="shared" ref="G32:H32" si="7">SUM(G33:G34)</f>
        <v>28679.33</v>
      </c>
      <c r="H32" s="71">
        <f t="shared" si="7"/>
        <v>28679.33</v>
      </c>
      <c r="I32" s="71">
        <f>SUM(I33:I34)</f>
        <v>28679.33</v>
      </c>
    </row>
    <row r="33" spans="1:9" s="13" customFormat="1" ht="33" x14ac:dyDescent="0.25">
      <c r="A33" s="22"/>
      <c r="B33" s="22"/>
      <c r="C33" s="22"/>
      <c r="D33" s="22"/>
      <c r="E33" s="41" t="s">
        <v>75</v>
      </c>
      <c r="F33" s="103">
        <v>-600</v>
      </c>
      <c r="G33" s="103">
        <v>-600</v>
      </c>
      <c r="H33" s="103">
        <v>-600</v>
      </c>
      <c r="I33" s="103">
        <v>-600</v>
      </c>
    </row>
    <row r="34" spans="1:9" s="13" customFormat="1" ht="33" x14ac:dyDescent="0.25">
      <c r="A34" s="22"/>
      <c r="B34" s="22"/>
      <c r="C34" s="22"/>
      <c r="D34" s="22"/>
      <c r="E34" s="41" t="s">
        <v>103</v>
      </c>
      <c r="F34" s="72">
        <v>6810</v>
      </c>
      <c r="G34" s="103">
        <v>29279.33</v>
      </c>
      <c r="H34" s="103">
        <v>29279.33</v>
      </c>
      <c r="I34" s="103">
        <v>29279.33</v>
      </c>
    </row>
    <row r="35" spans="1:9" s="13" customFormat="1" x14ac:dyDescent="0.25">
      <c r="A35" s="7"/>
      <c r="B35" s="7"/>
      <c r="C35" s="7"/>
      <c r="D35" s="7"/>
      <c r="E35" s="25" t="s">
        <v>76</v>
      </c>
      <c r="F35" s="71">
        <f>SUM(F36:F37)</f>
        <v>272631.7</v>
      </c>
      <c r="G35" s="71">
        <f t="shared" ref="G35:H35" si="8">SUM(G36:G37)</f>
        <v>610000</v>
      </c>
      <c r="H35" s="71">
        <f t="shared" si="8"/>
        <v>1210000</v>
      </c>
      <c r="I35" s="71">
        <f>SUM(I36:I37)</f>
        <v>1482859.04</v>
      </c>
    </row>
    <row r="36" spans="1:9" s="13" customFormat="1" ht="33" x14ac:dyDescent="0.25">
      <c r="A36" s="22"/>
      <c r="B36" s="22"/>
      <c r="C36" s="22"/>
      <c r="D36" s="22"/>
      <c r="E36" s="28" t="s">
        <v>31</v>
      </c>
      <c r="F36" s="72">
        <f>271370+1261.7</f>
        <v>272631.7</v>
      </c>
      <c r="G36" s="43">
        <v>600000</v>
      </c>
      <c r="H36" s="43">
        <v>1200000</v>
      </c>
      <c r="I36" s="43">
        <v>1472859.04</v>
      </c>
    </row>
    <row r="37" spans="1:9" s="13" customFormat="1" ht="66" x14ac:dyDescent="0.25">
      <c r="A37" s="22"/>
      <c r="B37" s="22"/>
      <c r="C37" s="22"/>
      <c r="D37" s="22"/>
      <c r="E37" s="31" t="s">
        <v>94</v>
      </c>
      <c r="F37" s="72">
        <v>0</v>
      </c>
      <c r="G37" s="43">
        <v>10000</v>
      </c>
      <c r="H37" s="43">
        <v>10000</v>
      </c>
      <c r="I37" s="43">
        <v>10000</v>
      </c>
    </row>
    <row r="38" spans="1:9" s="13" customFormat="1" ht="33" x14ac:dyDescent="0.25">
      <c r="A38" s="29"/>
      <c r="B38" s="29"/>
      <c r="C38" s="29"/>
      <c r="D38" s="30"/>
      <c r="E38" s="24" t="s">
        <v>135</v>
      </c>
      <c r="F38" s="71">
        <f>SUM(F40+F42+F44+F46)</f>
        <v>-5028</v>
      </c>
      <c r="G38" s="71">
        <f t="shared" ref="G38:H38" si="9">SUM(G40+G42+G44+G46)</f>
        <v>66779.600000000006</v>
      </c>
      <c r="H38" s="71">
        <f t="shared" si="9"/>
        <v>153779.6</v>
      </c>
      <c r="I38" s="71">
        <f>SUM(I40+I42+I44+I46)</f>
        <v>197987.33000000002</v>
      </c>
    </row>
    <row r="39" spans="1:9" s="13" customFormat="1" x14ac:dyDescent="0.25">
      <c r="A39" s="7"/>
      <c r="B39" s="7"/>
      <c r="C39" s="7"/>
      <c r="D39" s="8"/>
      <c r="E39" s="20" t="s">
        <v>73</v>
      </c>
      <c r="F39" s="71">
        <v>0</v>
      </c>
      <c r="G39" s="71">
        <v>0</v>
      </c>
      <c r="H39" s="71">
        <v>0</v>
      </c>
      <c r="I39" s="71"/>
    </row>
    <row r="40" spans="1:9" s="13" customFormat="1" ht="33" x14ac:dyDescent="0.25">
      <c r="A40" s="7"/>
      <c r="B40" s="7"/>
      <c r="C40" s="7"/>
      <c r="D40" s="7"/>
      <c r="E40" s="25" t="s">
        <v>32</v>
      </c>
      <c r="F40" s="71">
        <v>-54188</v>
      </c>
      <c r="G40" s="71">
        <f>SUM(G41)</f>
        <v>-52784.399999999994</v>
      </c>
      <c r="H40" s="71">
        <f t="shared" ref="H40:I40" si="10">SUM(H41)</f>
        <v>-52784.399999999994</v>
      </c>
      <c r="I40" s="71">
        <f t="shared" si="10"/>
        <v>-52784.399999999994</v>
      </c>
    </row>
    <row r="41" spans="1:9" s="13" customFormat="1" x14ac:dyDescent="0.25">
      <c r="A41" s="22"/>
      <c r="B41" s="22"/>
      <c r="C41" s="22"/>
      <c r="D41" s="22"/>
      <c r="E41" s="31" t="s">
        <v>33</v>
      </c>
      <c r="F41" s="72">
        <v>-54188</v>
      </c>
      <c r="G41" s="43">
        <v>-52784.399999999994</v>
      </c>
      <c r="H41" s="43">
        <v>-52784.399999999994</v>
      </c>
      <c r="I41" s="43">
        <v>-52784.399999999994</v>
      </c>
    </row>
    <row r="42" spans="1:9" s="13" customFormat="1" x14ac:dyDescent="0.25">
      <c r="A42" s="7"/>
      <c r="B42" s="7"/>
      <c r="C42" s="7"/>
      <c r="D42" s="7"/>
      <c r="E42" s="25" t="s">
        <v>34</v>
      </c>
      <c r="F42" s="71">
        <v>45170</v>
      </c>
      <c r="G42" s="71">
        <f t="shared" ref="G42:H42" si="11">SUM(G43)</f>
        <v>105000</v>
      </c>
      <c r="H42" s="71">
        <f t="shared" si="11"/>
        <v>185000</v>
      </c>
      <c r="I42" s="71">
        <f>SUM(I43)</f>
        <v>212076.03</v>
      </c>
    </row>
    <row r="43" spans="1:9" s="13" customFormat="1" ht="33" x14ac:dyDescent="0.25">
      <c r="A43" s="22"/>
      <c r="B43" s="22"/>
      <c r="C43" s="22"/>
      <c r="D43" s="22"/>
      <c r="E43" s="39" t="s">
        <v>35</v>
      </c>
      <c r="F43" s="72">
        <v>45170</v>
      </c>
      <c r="G43" s="43">
        <v>105000</v>
      </c>
      <c r="H43" s="43">
        <v>185000</v>
      </c>
      <c r="I43" s="43">
        <v>212076.03</v>
      </c>
    </row>
    <row r="44" spans="1:9" s="13" customFormat="1" x14ac:dyDescent="0.25">
      <c r="A44" s="22"/>
      <c r="B44" s="22"/>
      <c r="C44" s="22"/>
      <c r="D44" s="22"/>
      <c r="E44" s="25" t="s">
        <v>65</v>
      </c>
      <c r="F44" s="71">
        <v>-4000</v>
      </c>
      <c r="G44" s="71">
        <f t="shared" ref="G44:H44" si="12">SUM(G45)</f>
        <v>-436</v>
      </c>
      <c r="H44" s="71">
        <f t="shared" si="12"/>
        <v>-436</v>
      </c>
      <c r="I44" s="71">
        <f>SUM(I45)</f>
        <v>-436</v>
      </c>
    </row>
    <row r="45" spans="1:9" s="13" customFormat="1" x14ac:dyDescent="0.25">
      <c r="A45" s="22"/>
      <c r="B45" s="22"/>
      <c r="C45" s="22"/>
      <c r="D45" s="22"/>
      <c r="E45" s="28" t="s">
        <v>77</v>
      </c>
      <c r="F45" s="103">
        <v>-4000</v>
      </c>
      <c r="G45" s="103">
        <v>-436</v>
      </c>
      <c r="H45" s="103">
        <v>-436</v>
      </c>
      <c r="I45" s="103">
        <v>-436</v>
      </c>
    </row>
    <row r="46" spans="1:9" s="13" customFormat="1" ht="33" x14ac:dyDescent="0.25">
      <c r="A46" s="7"/>
      <c r="B46" s="7"/>
      <c r="C46" s="7"/>
      <c r="D46" s="7"/>
      <c r="E46" s="25" t="s">
        <v>36</v>
      </c>
      <c r="F46" s="71">
        <v>7990</v>
      </c>
      <c r="G46" s="38">
        <f t="shared" ref="G46:H46" si="13">SUM(G47)</f>
        <v>15000</v>
      </c>
      <c r="H46" s="38">
        <f t="shared" si="13"/>
        <v>22000</v>
      </c>
      <c r="I46" s="38">
        <f>SUM(I47)</f>
        <v>39131.699999999997</v>
      </c>
    </row>
    <row r="47" spans="1:9" s="13" customFormat="1" x14ac:dyDescent="0.25">
      <c r="A47" s="22"/>
      <c r="B47" s="22"/>
      <c r="C47" s="22"/>
      <c r="D47" s="22"/>
      <c r="E47" s="39" t="s">
        <v>37</v>
      </c>
      <c r="F47" s="72">
        <v>7990</v>
      </c>
      <c r="G47" s="43">
        <v>15000</v>
      </c>
      <c r="H47" s="43">
        <v>22000</v>
      </c>
      <c r="I47" s="43">
        <v>39131.699999999997</v>
      </c>
    </row>
    <row r="48" spans="1:9" s="13" customFormat="1" ht="33" x14ac:dyDescent="0.25">
      <c r="A48" s="29"/>
      <c r="B48" s="29"/>
      <c r="C48" s="29"/>
      <c r="D48" s="30"/>
      <c r="E48" s="42" t="s">
        <v>136</v>
      </c>
      <c r="F48" s="71">
        <f>SUM(F50+F52+F53+F54+F55+F56+F57+F58+F59+F60+F61+F62+F63+F64)</f>
        <v>357760.8</v>
      </c>
      <c r="G48" s="71">
        <f t="shared" ref="G48:H48" si="14">SUM(G50+G52+G53+G54+G55+G56+G57+G58+G59+G60+G61+G62+G63+G64)</f>
        <v>669576.92999999993</v>
      </c>
      <c r="H48" s="71">
        <f t="shared" si="14"/>
        <v>1120397.6299999999</v>
      </c>
      <c r="I48" s="71">
        <f>SUM(I50+I52+I53+I54+I55+I56+I57+I58+I59+I60+I61+I62+I63+I64)</f>
        <v>1636879.02</v>
      </c>
    </row>
    <row r="49" spans="1:9" s="13" customFormat="1" x14ac:dyDescent="0.25">
      <c r="A49" s="8"/>
      <c r="B49" s="8"/>
      <c r="C49" s="8"/>
      <c r="D49" s="22"/>
      <c r="E49" s="20" t="s">
        <v>73</v>
      </c>
      <c r="F49" s="71">
        <v>0</v>
      </c>
      <c r="G49" s="71"/>
      <c r="H49" s="71"/>
      <c r="I49" s="74"/>
    </row>
    <row r="50" spans="1:9" s="13" customFormat="1" x14ac:dyDescent="0.25">
      <c r="A50" s="7"/>
      <c r="B50" s="7"/>
      <c r="C50" s="7"/>
      <c r="D50" s="7"/>
      <c r="E50" s="25" t="s">
        <v>38</v>
      </c>
      <c r="F50" s="71">
        <v>8770.7999999999993</v>
      </c>
      <c r="G50" s="71">
        <f t="shared" ref="G50:H50" si="15">SUM(G51)</f>
        <v>9156.3100000000049</v>
      </c>
      <c r="H50" s="71">
        <f t="shared" si="15"/>
        <v>9156.3100000000049</v>
      </c>
      <c r="I50" s="71">
        <f>SUM(I51)</f>
        <v>9156.3100000000049</v>
      </c>
    </row>
    <row r="51" spans="1:9" s="13" customFormat="1" ht="33" x14ac:dyDescent="0.25">
      <c r="A51" s="22"/>
      <c r="B51" s="22"/>
      <c r="C51" s="22"/>
      <c r="D51" s="22"/>
      <c r="E51" s="39" t="s">
        <v>39</v>
      </c>
      <c r="F51" s="72">
        <v>8770.7999999999993</v>
      </c>
      <c r="G51" s="103">
        <v>9156.3100000000049</v>
      </c>
      <c r="H51" s="103">
        <v>9156.3100000000049</v>
      </c>
      <c r="I51" s="103">
        <v>9156.3100000000049</v>
      </c>
    </row>
    <row r="52" spans="1:9" s="13" customFormat="1" ht="49.5" x14ac:dyDescent="0.25">
      <c r="A52" s="7"/>
      <c r="B52" s="7"/>
      <c r="C52" s="7"/>
      <c r="D52" s="7"/>
      <c r="E52" s="37" t="s">
        <v>78</v>
      </c>
      <c r="F52" s="71">
        <v>3000</v>
      </c>
      <c r="G52" s="38">
        <v>4000</v>
      </c>
      <c r="H52" s="38">
        <v>12820.7</v>
      </c>
      <c r="I52" s="38">
        <v>12820.7</v>
      </c>
    </row>
    <row r="53" spans="1:9" s="13" customFormat="1" ht="49.5" x14ac:dyDescent="0.25">
      <c r="A53" s="7"/>
      <c r="B53" s="7"/>
      <c r="C53" s="7"/>
      <c r="D53" s="7"/>
      <c r="E53" s="37" t="s">
        <v>79</v>
      </c>
      <c r="F53" s="71">
        <v>17400</v>
      </c>
      <c r="G53" s="68">
        <v>20000</v>
      </c>
      <c r="H53" s="68">
        <v>50000</v>
      </c>
      <c r="I53" s="68">
        <v>80764.37</v>
      </c>
    </row>
    <row r="54" spans="1:9" s="13" customFormat="1" ht="49.5" x14ac:dyDescent="0.25">
      <c r="A54" s="7"/>
      <c r="B54" s="7"/>
      <c r="C54" s="7"/>
      <c r="D54" s="7"/>
      <c r="E54" s="25" t="s">
        <v>40</v>
      </c>
      <c r="F54" s="71">
        <v>6510</v>
      </c>
      <c r="G54" s="38">
        <v>12000</v>
      </c>
      <c r="H54" s="38">
        <v>22000</v>
      </c>
      <c r="I54" s="38">
        <v>30346.61</v>
      </c>
    </row>
    <row r="55" spans="1:9" s="13" customFormat="1" ht="49.5" x14ac:dyDescent="0.25">
      <c r="A55" s="7"/>
      <c r="B55" s="7"/>
      <c r="C55" s="7"/>
      <c r="D55" s="7"/>
      <c r="E55" s="25" t="s">
        <v>41</v>
      </c>
      <c r="F55" s="71">
        <v>2200</v>
      </c>
      <c r="G55" s="38">
        <v>9420.6200000000008</v>
      </c>
      <c r="H55" s="38">
        <v>9420.6200000000008</v>
      </c>
      <c r="I55" s="38">
        <v>9420.6200000000008</v>
      </c>
    </row>
    <row r="56" spans="1:9" s="13" customFormat="1" x14ac:dyDescent="0.25">
      <c r="A56" s="7"/>
      <c r="B56" s="7"/>
      <c r="C56" s="7"/>
      <c r="D56" s="7"/>
      <c r="E56" s="25" t="s">
        <v>42</v>
      </c>
      <c r="F56" s="71">
        <v>22780</v>
      </c>
      <c r="G56" s="38">
        <v>55000</v>
      </c>
      <c r="H56" s="38">
        <v>75000</v>
      </c>
      <c r="I56" s="38">
        <v>106519.19</v>
      </c>
    </row>
    <row r="57" spans="1:9" s="13" customFormat="1" ht="33" x14ac:dyDescent="0.25">
      <c r="A57" s="7"/>
      <c r="B57" s="7"/>
      <c r="C57" s="7"/>
      <c r="D57" s="7"/>
      <c r="E57" s="25" t="s">
        <v>43</v>
      </c>
      <c r="F57" s="71">
        <v>41290</v>
      </c>
      <c r="G57" s="38">
        <v>80000</v>
      </c>
      <c r="H57" s="38">
        <v>140000</v>
      </c>
      <c r="I57" s="38">
        <v>201237.06</v>
      </c>
    </row>
    <row r="58" spans="1:9" s="13" customFormat="1" ht="33" x14ac:dyDescent="0.25">
      <c r="A58" s="7"/>
      <c r="B58" s="7"/>
      <c r="C58" s="7"/>
      <c r="D58" s="7"/>
      <c r="E58" s="25" t="s">
        <v>44</v>
      </c>
      <c r="F58" s="71">
        <v>34080</v>
      </c>
      <c r="G58" s="38">
        <v>80000</v>
      </c>
      <c r="H58" s="38">
        <v>140000</v>
      </c>
      <c r="I58" s="38">
        <v>177931.97</v>
      </c>
    </row>
    <row r="59" spans="1:9" s="13" customFormat="1" ht="33" x14ac:dyDescent="0.25">
      <c r="A59" s="7"/>
      <c r="B59" s="7"/>
      <c r="C59" s="7"/>
      <c r="D59" s="7"/>
      <c r="E59" s="25" t="s">
        <v>45</v>
      </c>
      <c r="F59" s="71">
        <v>61910</v>
      </c>
      <c r="G59" s="38">
        <v>80000</v>
      </c>
      <c r="H59" s="38">
        <v>140000</v>
      </c>
      <c r="I59" s="38">
        <v>297858.98</v>
      </c>
    </row>
    <row r="60" spans="1:9" s="13" customFormat="1" ht="33" x14ac:dyDescent="0.25">
      <c r="A60" s="7"/>
      <c r="B60" s="7"/>
      <c r="C60" s="7"/>
      <c r="D60" s="7"/>
      <c r="E60" s="25" t="s">
        <v>46</v>
      </c>
      <c r="F60" s="71">
        <v>7750</v>
      </c>
      <c r="G60" s="38">
        <v>15000</v>
      </c>
      <c r="H60" s="38">
        <v>22000</v>
      </c>
      <c r="I60" s="38">
        <v>35601.699999999997</v>
      </c>
    </row>
    <row r="61" spans="1:9" s="13" customFormat="1" x14ac:dyDescent="0.25">
      <c r="A61" s="7"/>
      <c r="B61" s="7"/>
      <c r="C61" s="7"/>
      <c r="D61" s="7"/>
      <c r="E61" s="25" t="s">
        <v>47</v>
      </c>
      <c r="F61" s="71">
        <v>48040</v>
      </c>
      <c r="G61" s="38">
        <v>120000</v>
      </c>
      <c r="H61" s="38">
        <v>175000</v>
      </c>
      <c r="I61" s="38">
        <v>228327.7</v>
      </c>
    </row>
    <row r="62" spans="1:9" s="13" customFormat="1" ht="49.5" x14ac:dyDescent="0.25">
      <c r="A62" s="7"/>
      <c r="B62" s="7"/>
      <c r="C62" s="7"/>
      <c r="D62" s="7"/>
      <c r="E62" s="25" t="s">
        <v>99</v>
      </c>
      <c r="F62" s="71">
        <v>20900</v>
      </c>
      <c r="G62" s="38">
        <v>40000</v>
      </c>
      <c r="H62" s="38">
        <v>75000</v>
      </c>
      <c r="I62" s="38">
        <v>91840</v>
      </c>
    </row>
    <row r="63" spans="1:9" s="13" customFormat="1" ht="33" x14ac:dyDescent="0.25">
      <c r="A63" s="7"/>
      <c r="B63" s="7"/>
      <c r="C63" s="7"/>
      <c r="D63" s="7"/>
      <c r="E63" s="25" t="s">
        <v>100</v>
      </c>
      <c r="F63" s="74">
        <v>48800</v>
      </c>
      <c r="G63" s="38">
        <v>100000</v>
      </c>
      <c r="H63" s="38">
        <v>185000</v>
      </c>
      <c r="I63" s="38">
        <v>222268.49</v>
      </c>
    </row>
    <row r="64" spans="1:9" s="13" customFormat="1" x14ac:dyDescent="0.25">
      <c r="A64" s="7"/>
      <c r="B64" s="7"/>
      <c r="C64" s="7"/>
      <c r="D64" s="7"/>
      <c r="E64" s="25" t="s">
        <v>101</v>
      </c>
      <c r="F64" s="74">
        <v>34330</v>
      </c>
      <c r="G64" s="38">
        <v>45000</v>
      </c>
      <c r="H64" s="38">
        <v>65000</v>
      </c>
      <c r="I64" s="38">
        <v>132785.32</v>
      </c>
    </row>
    <row r="65" spans="1:9" s="13" customFormat="1" ht="49.5" x14ac:dyDescent="0.25">
      <c r="A65" s="36"/>
      <c r="B65" s="36"/>
      <c r="C65" s="36"/>
      <c r="D65" s="36"/>
      <c r="E65" s="46" t="s">
        <v>395</v>
      </c>
      <c r="F65" s="71">
        <f>SUM(F66+F84+F93)</f>
        <v>0</v>
      </c>
      <c r="G65" s="71">
        <v>0</v>
      </c>
      <c r="H65" s="71">
        <v>0</v>
      </c>
      <c r="I65" s="71">
        <f>SUM(I66+I75+I77)</f>
        <v>98510</v>
      </c>
    </row>
    <row r="66" spans="1:9" s="13" customFormat="1" ht="33" x14ac:dyDescent="0.25">
      <c r="A66" s="36"/>
      <c r="B66" s="36"/>
      <c r="C66" s="36"/>
      <c r="D66" s="36"/>
      <c r="E66" s="35" t="s">
        <v>91</v>
      </c>
      <c r="F66" s="71"/>
      <c r="G66" s="71">
        <v>0</v>
      </c>
      <c r="H66" s="71">
        <v>0</v>
      </c>
      <c r="I66" s="38">
        <v>64050</v>
      </c>
    </row>
    <row r="67" spans="1:9" s="13" customFormat="1" ht="33" x14ac:dyDescent="0.25">
      <c r="A67" s="36"/>
      <c r="B67" s="36"/>
      <c r="C67" s="36"/>
      <c r="D67" s="36"/>
      <c r="E67" s="35" t="s">
        <v>25</v>
      </c>
      <c r="F67" s="71"/>
      <c r="G67" s="71">
        <v>0</v>
      </c>
      <c r="H67" s="71">
        <v>0</v>
      </c>
      <c r="I67" s="38">
        <v>350</v>
      </c>
    </row>
    <row r="68" spans="1:9" s="13" customFormat="1" ht="33" x14ac:dyDescent="0.25">
      <c r="A68" s="36"/>
      <c r="B68" s="36"/>
      <c r="C68" s="36"/>
      <c r="D68" s="36"/>
      <c r="E68" s="34" t="s">
        <v>105</v>
      </c>
      <c r="F68" s="72"/>
      <c r="G68" s="71">
        <v>0</v>
      </c>
      <c r="H68" s="71">
        <v>0</v>
      </c>
      <c r="I68" s="5">
        <v>350</v>
      </c>
    </row>
    <row r="69" spans="1:9" s="13" customFormat="1" x14ac:dyDescent="0.25">
      <c r="A69" s="36"/>
      <c r="B69" s="36"/>
      <c r="C69" s="36"/>
      <c r="D69" s="36"/>
      <c r="E69" s="35" t="s">
        <v>106</v>
      </c>
      <c r="F69" s="72"/>
      <c r="G69" s="71">
        <v>0</v>
      </c>
      <c r="H69" s="71">
        <v>0</v>
      </c>
      <c r="I69" s="38">
        <v>37900</v>
      </c>
    </row>
    <row r="70" spans="1:9" s="16" customFormat="1" ht="33" customHeight="1" x14ac:dyDescent="0.25">
      <c r="A70" s="36"/>
      <c r="B70" s="36"/>
      <c r="C70" s="36"/>
      <c r="D70" s="36"/>
      <c r="E70" s="34" t="s">
        <v>107</v>
      </c>
      <c r="F70" s="72"/>
      <c r="G70" s="71">
        <v>0</v>
      </c>
      <c r="H70" s="71">
        <v>0</v>
      </c>
      <c r="I70" s="5">
        <v>37900</v>
      </c>
    </row>
    <row r="71" spans="1:9" s="13" customFormat="1" ht="49.5" x14ac:dyDescent="0.25">
      <c r="A71" s="36"/>
      <c r="B71" s="36"/>
      <c r="C71" s="36"/>
      <c r="D71" s="36"/>
      <c r="E71" s="34" t="s">
        <v>411</v>
      </c>
      <c r="F71" s="72"/>
      <c r="G71" s="71">
        <v>0</v>
      </c>
      <c r="H71" s="71">
        <v>0</v>
      </c>
      <c r="I71" s="38">
        <v>400</v>
      </c>
    </row>
    <row r="72" spans="1:9" s="13" customFormat="1" x14ac:dyDescent="0.25">
      <c r="A72" s="36"/>
      <c r="B72" s="36"/>
      <c r="C72" s="36"/>
      <c r="D72" s="36"/>
      <c r="E72" s="35" t="s">
        <v>108</v>
      </c>
      <c r="F72" s="72"/>
      <c r="G72" s="71">
        <v>0</v>
      </c>
      <c r="H72" s="71">
        <v>0</v>
      </c>
      <c r="I72" s="38">
        <v>1900</v>
      </c>
    </row>
    <row r="73" spans="1:9" s="13" customFormat="1" ht="49.5" x14ac:dyDescent="0.25">
      <c r="A73" s="36"/>
      <c r="B73" s="36"/>
      <c r="C73" s="36"/>
      <c r="D73" s="36"/>
      <c r="E73" s="34" t="s">
        <v>109</v>
      </c>
      <c r="F73" s="72"/>
      <c r="G73" s="71">
        <v>0</v>
      </c>
      <c r="H73" s="71">
        <v>0</v>
      </c>
      <c r="I73" s="5">
        <v>1900</v>
      </c>
    </row>
    <row r="74" spans="1:9" s="13" customFormat="1" ht="152.25" customHeight="1" x14ac:dyDescent="0.25">
      <c r="A74" s="36"/>
      <c r="B74" s="36"/>
      <c r="C74" s="36"/>
      <c r="D74" s="36"/>
      <c r="E74" s="235" t="s">
        <v>130</v>
      </c>
      <c r="F74" s="72"/>
      <c r="G74" s="71">
        <v>0</v>
      </c>
      <c r="H74" s="71">
        <v>0</v>
      </c>
      <c r="I74" s="38">
        <v>23500</v>
      </c>
    </row>
    <row r="75" spans="1:9" s="6" customFormat="1" ht="33" customHeight="1" x14ac:dyDescent="0.25">
      <c r="A75" s="36"/>
      <c r="B75" s="36"/>
      <c r="C75" s="36"/>
      <c r="D75" s="36"/>
      <c r="E75" s="35" t="s">
        <v>95</v>
      </c>
      <c r="F75" s="71"/>
      <c r="G75" s="71">
        <v>0</v>
      </c>
      <c r="H75" s="71">
        <v>0</v>
      </c>
      <c r="I75" s="38">
        <v>200</v>
      </c>
    </row>
    <row r="76" spans="1:9" s="6" customFormat="1" ht="33" customHeight="1" x14ac:dyDescent="0.25">
      <c r="A76" s="36"/>
      <c r="B76" s="36"/>
      <c r="C76" s="36"/>
      <c r="D76" s="36"/>
      <c r="E76" s="34" t="s">
        <v>110</v>
      </c>
      <c r="F76" s="72"/>
      <c r="G76" s="71">
        <v>0</v>
      </c>
      <c r="H76" s="71">
        <v>0</v>
      </c>
      <c r="I76" s="5">
        <v>200</v>
      </c>
    </row>
    <row r="77" spans="1:9" s="6" customFormat="1" ht="66.75" customHeight="1" x14ac:dyDescent="0.25">
      <c r="A77" s="36"/>
      <c r="B77" s="36"/>
      <c r="C77" s="36"/>
      <c r="D77" s="36"/>
      <c r="E77" s="35" t="s">
        <v>96</v>
      </c>
      <c r="F77" s="72"/>
      <c r="G77" s="71">
        <v>0</v>
      </c>
      <c r="H77" s="71">
        <v>0</v>
      </c>
      <c r="I77" s="38">
        <v>34260</v>
      </c>
    </row>
    <row r="78" spans="1:9" s="6" customFormat="1" ht="43.5" customHeight="1" x14ac:dyDescent="0.25">
      <c r="A78" s="36"/>
      <c r="B78" s="36"/>
      <c r="C78" s="36"/>
      <c r="D78" s="36"/>
      <c r="E78" s="34" t="s">
        <v>111</v>
      </c>
      <c r="F78" s="71"/>
      <c r="G78" s="71">
        <v>0</v>
      </c>
      <c r="H78" s="71">
        <v>0</v>
      </c>
      <c r="I78" s="5">
        <v>7000</v>
      </c>
    </row>
    <row r="79" spans="1:9" s="6" customFormat="1" ht="33" customHeight="1" x14ac:dyDescent="0.25">
      <c r="A79" s="36"/>
      <c r="B79" s="36"/>
      <c r="C79" s="36"/>
      <c r="D79" s="36"/>
      <c r="E79" s="34" t="s">
        <v>112</v>
      </c>
      <c r="F79" s="72"/>
      <c r="G79" s="71">
        <v>0</v>
      </c>
      <c r="H79" s="71">
        <v>0</v>
      </c>
      <c r="I79" s="5">
        <v>3600</v>
      </c>
    </row>
    <row r="80" spans="1:9" s="6" customFormat="1" ht="33" customHeight="1" x14ac:dyDescent="0.25">
      <c r="A80" s="36"/>
      <c r="B80" s="36"/>
      <c r="C80" s="36"/>
      <c r="D80" s="36"/>
      <c r="E80" s="34" t="s">
        <v>412</v>
      </c>
      <c r="F80" s="71"/>
      <c r="G80" s="71">
        <v>0</v>
      </c>
      <c r="H80" s="71">
        <v>0</v>
      </c>
      <c r="I80" s="5">
        <v>700</v>
      </c>
    </row>
    <row r="81" spans="1:9" s="13" customFormat="1" ht="30.75" customHeight="1" x14ac:dyDescent="0.25">
      <c r="A81" s="36"/>
      <c r="B81" s="36"/>
      <c r="C81" s="36"/>
      <c r="D81" s="36"/>
      <c r="E81" s="34" t="s">
        <v>113</v>
      </c>
      <c r="F81" s="220"/>
      <c r="G81" s="71">
        <v>0</v>
      </c>
      <c r="H81" s="71">
        <v>0</v>
      </c>
      <c r="I81" s="5">
        <v>1300</v>
      </c>
    </row>
    <row r="82" spans="1:9" s="6" customFormat="1" ht="30.75" customHeight="1" x14ac:dyDescent="0.25">
      <c r="A82" s="36"/>
      <c r="B82" s="36"/>
      <c r="C82" s="36"/>
      <c r="D82" s="36"/>
      <c r="E82" s="34" t="s">
        <v>114</v>
      </c>
      <c r="F82" s="71"/>
      <c r="G82" s="71">
        <v>0</v>
      </c>
      <c r="H82" s="71">
        <v>0</v>
      </c>
      <c r="I82" s="5">
        <v>3370</v>
      </c>
    </row>
    <row r="83" spans="1:9" s="13" customFormat="1" ht="30.75" customHeight="1" x14ac:dyDescent="0.25">
      <c r="A83" s="36"/>
      <c r="B83" s="36"/>
      <c r="C83" s="36"/>
      <c r="D83" s="36"/>
      <c r="E83" s="34" t="s">
        <v>115</v>
      </c>
      <c r="F83" s="220"/>
      <c r="G83" s="71">
        <v>0</v>
      </c>
      <c r="H83" s="71">
        <v>0</v>
      </c>
      <c r="I83" s="5">
        <v>2400</v>
      </c>
    </row>
    <row r="84" spans="1:9" s="6" customFormat="1" ht="33" customHeight="1" x14ac:dyDescent="0.25">
      <c r="A84" s="36"/>
      <c r="B84" s="36"/>
      <c r="C84" s="36"/>
      <c r="D84" s="36"/>
      <c r="E84" s="34" t="s">
        <v>116</v>
      </c>
      <c r="F84" s="71"/>
      <c r="G84" s="71">
        <v>0</v>
      </c>
      <c r="H84" s="71">
        <v>0</v>
      </c>
      <c r="I84" s="5">
        <v>2200</v>
      </c>
    </row>
    <row r="85" spans="1:9" s="6" customFormat="1" ht="33" customHeight="1" x14ac:dyDescent="0.25">
      <c r="A85" s="36"/>
      <c r="B85" s="36"/>
      <c r="C85" s="36"/>
      <c r="D85" s="36"/>
      <c r="E85" s="34" t="s">
        <v>117</v>
      </c>
      <c r="F85" s="71"/>
      <c r="G85" s="71">
        <v>0</v>
      </c>
      <c r="H85" s="71">
        <v>0</v>
      </c>
      <c r="I85" s="5">
        <v>1130</v>
      </c>
    </row>
    <row r="86" spans="1:9" s="6" customFormat="1" ht="33" customHeight="1" x14ac:dyDescent="0.25">
      <c r="A86" s="36"/>
      <c r="B86" s="36"/>
      <c r="C86" s="36"/>
      <c r="D86" s="36"/>
      <c r="E86" s="34" t="s">
        <v>118</v>
      </c>
      <c r="F86" s="71"/>
      <c r="G86" s="71">
        <v>0</v>
      </c>
      <c r="H86" s="71">
        <v>0</v>
      </c>
      <c r="I86" s="5">
        <v>700</v>
      </c>
    </row>
    <row r="87" spans="1:9" s="6" customFormat="1" ht="33" customHeight="1" x14ac:dyDescent="0.25">
      <c r="A87" s="36"/>
      <c r="B87" s="36"/>
      <c r="C87" s="36"/>
      <c r="D87" s="36"/>
      <c r="E87" s="34" t="s">
        <v>119</v>
      </c>
      <c r="F87" s="71"/>
      <c r="G87" s="71">
        <v>0</v>
      </c>
      <c r="H87" s="71">
        <v>0</v>
      </c>
      <c r="I87" s="5">
        <v>1360</v>
      </c>
    </row>
    <row r="88" spans="1:9" s="6" customFormat="1" ht="33" customHeight="1" x14ac:dyDescent="0.25">
      <c r="A88" s="36"/>
      <c r="B88" s="36"/>
      <c r="C88" s="36"/>
      <c r="D88" s="36"/>
      <c r="E88" s="34" t="s">
        <v>120</v>
      </c>
      <c r="F88" s="71"/>
      <c r="G88" s="71">
        <v>0</v>
      </c>
      <c r="H88" s="71">
        <v>0</v>
      </c>
      <c r="I88" s="5">
        <v>1300</v>
      </c>
    </row>
    <row r="89" spans="1:9" s="6" customFormat="1" ht="33" customHeight="1" x14ac:dyDescent="0.25">
      <c r="A89" s="36"/>
      <c r="B89" s="36"/>
      <c r="C89" s="36"/>
      <c r="D89" s="36"/>
      <c r="E89" s="34" t="s">
        <v>121</v>
      </c>
      <c r="F89" s="71"/>
      <c r="G89" s="71">
        <v>0</v>
      </c>
      <c r="H89" s="71">
        <v>0</v>
      </c>
      <c r="I89" s="5">
        <v>1500</v>
      </c>
    </row>
    <row r="90" spans="1:9" s="6" customFormat="1" ht="33" customHeight="1" x14ac:dyDescent="0.25">
      <c r="A90" s="36"/>
      <c r="B90" s="36"/>
      <c r="C90" s="36"/>
      <c r="D90" s="36"/>
      <c r="E90" s="34" t="s">
        <v>122</v>
      </c>
      <c r="F90" s="71"/>
      <c r="G90" s="71">
        <v>0</v>
      </c>
      <c r="H90" s="71">
        <v>0</v>
      </c>
      <c r="I90" s="5">
        <v>6000</v>
      </c>
    </row>
    <row r="91" spans="1:9" s="6" customFormat="1" ht="33" customHeight="1" x14ac:dyDescent="0.25">
      <c r="A91" s="36"/>
      <c r="B91" s="36"/>
      <c r="C91" s="36"/>
      <c r="D91" s="36"/>
      <c r="E91" s="34" t="s">
        <v>123</v>
      </c>
      <c r="F91" s="71"/>
      <c r="G91" s="71">
        <v>0</v>
      </c>
      <c r="H91" s="71">
        <v>0</v>
      </c>
      <c r="I91" s="5">
        <v>1700</v>
      </c>
    </row>
    <row r="92" spans="1:9" s="6" customFormat="1" ht="33" customHeight="1" x14ac:dyDescent="0.25">
      <c r="A92" s="7" t="s">
        <v>10</v>
      </c>
      <c r="B92" s="7" t="s">
        <v>11</v>
      </c>
      <c r="C92" s="7" t="s">
        <v>12</v>
      </c>
      <c r="D92" s="44" t="s">
        <v>60</v>
      </c>
      <c r="E92" s="23" t="s">
        <v>80</v>
      </c>
      <c r="F92" s="72">
        <v>0</v>
      </c>
      <c r="G92" s="71">
        <f t="shared" ref="G92:H92" si="16">SUM(G94+G108)</f>
        <v>135018.5</v>
      </c>
      <c r="H92" s="71">
        <f t="shared" si="16"/>
        <v>238699.9</v>
      </c>
      <c r="I92" s="71">
        <f>SUM(I94+I108)</f>
        <v>314663.8</v>
      </c>
    </row>
    <row r="93" spans="1:9" s="16" customFormat="1" x14ac:dyDescent="0.25">
      <c r="A93" s="7"/>
      <c r="B93" s="7"/>
      <c r="C93" s="7"/>
      <c r="D93" s="8"/>
      <c r="E93" s="20" t="s">
        <v>73</v>
      </c>
      <c r="F93" s="71">
        <f>SUM(F94+F96+F97+F98+F99+F100+F101+F102+F103+F104+F105+F106+F107+F108)</f>
        <v>0</v>
      </c>
      <c r="G93" s="71"/>
      <c r="H93" s="71"/>
      <c r="I93" s="71"/>
    </row>
    <row r="94" spans="1:9" s="13" customFormat="1" x14ac:dyDescent="0.25">
      <c r="A94" s="7"/>
      <c r="B94" s="7"/>
      <c r="C94" s="7"/>
      <c r="D94" s="8"/>
      <c r="E94" s="9" t="s">
        <v>133</v>
      </c>
      <c r="F94" s="71">
        <f>SUM(F95)</f>
        <v>0</v>
      </c>
      <c r="G94" s="71">
        <f>SUM(G95+G97+G100+G101+G102+G103+G104+G105+G106+G107)</f>
        <v>135018.5</v>
      </c>
      <c r="H94" s="71">
        <f t="shared" ref="H94" si="17">SUM(H95+H97+H100+H101+H102+H103+H104+H105+H106+H107)</f>
        <v>238699.9</v>
      </c>
      <c r="I94" s="71">
        <f>SUM(I95+I97+I100+I101+I102+I103+I104+I105+I106+I107)</f>
        <v>311723.8</v>
      </c>
    </row>
    <row r="95" spans="1:9" s="13" customFormat="1" ht="32.25" customHeight="1" x14ac:dyDescent="0.25">
      <c r="A95" s="7"/>
      <c r="B95" s="7"/>
      <c r="C95" s="7"/>
      <c r="D95" s="8"/>
      <c r="E95" s="25" t="s">
        <v>18</v>
      </c>
      <c r="F95" s="220">
        <v>0</v>
      </c>
      <c r="G95" s="232">
        <f t="shared" ref="G95:H95" si="18">SUM(G96)</f>
        <v>-2370</v>
      </c>
      <c r="H95" s="232">
        <f t="shared" si="18"/>
        <v>-2370</v>
      </c>
      <c r="I95" s="220">
        <f>SUM(I96)</f>
        <v>-2370</v>
      </c>
    </row>
    <row r="96" spans="1:9" s="6" customFormat="1" ht="50.25" customHeight="1" x14ac:dyDescent="0.25">
      <c r="A96" s="7"/>
      <c r="B96" s="7"/>
      <c r="C96" s="7"/>
      <c r="D96" s="8"/>
      <c r="E96" s="31" t="s">
        <v>81</v>
      </c>
      <c r="F96" s="71">
        <v>0</v>
      </c>
      <c r="G96" s="72">
        <v>-2370</v>
      </c>
      <c r="H96" s="72">
        <v>-2370</v>
      </c>
      <c r="I96" s="72">
        <v>-2370</v>
      </c>
    </row>
    <row r="97" spans="1:9" s="13" customFormat="1" ht="50.25" customHeight="1" x14ac:dyDescent="0.25">
      <c r="A97" s="7"/>
      <c r="B97" s="7"/>
      <c r="C97" s="7"/>
      <c r="D97" s="7"/>
      <c r="E97" s="25" t="s">
        <v>48</v>
      </c>
      <c r="F97" s="71">
        <v>0</v>
      </c>
      <c r="G97" s="232">
        <f t="shared" ref="G97:H97" si="19">SUM(G98:G99)</f>
        <v>-1611.5</v>
      </c>
      <c r="H97" s="232">
        <f t="shared" si="19"/>
        <v>-1611.5</v>
      </c>
      <c r="I97" s="220">
        <f>SUM(I98:I99)</f>
        <v>-1611.5</v>
      </c>
    </row>
    <row r="98" spans="1:9" s="6" customFormat="1" x14ac:dyDescent="0.25">
      <c r="A98" s="8"/>
      <c r="B98" s="8"/>
      <c r="C98" s="8"/>
      <c r="D98" s="22"/>
      <c r="E98" s="31" t="s">
        <v>49</v>
      </c>
      <c r="F98" s="71">
        <v>0</v>
      </c>
      <c r="G98" s="72">
        <v>-1111.5</v>
      </c>
      <c r="H98" s="72">
        <v>-1111.5</v>
      </c>
      <c r="I98" s="72">
        <v>-1111.5</v>
      </c>
    </row>
    <row r="99" spans="1:9" s="13" customFormat="1" x14ac:dyDescent="0.25">
      <c r="A99" s="8"/>
      <c r="B99" s="8"/>
      <c r="C99" s="8"/>
      <c r="D99" s="22"/>
      <c r="E99" s="31" t="s">
        <v>50</v>
      </c>
      <c r="F99" s="71">
        <v>0</v>
      </c>
      <c r="G99" s="232">
        <v>-500</v>
      </c>
      <c r="H99" s="232">
        <v>-500</v>
      </c>
      <c r="I99" s="220">
        <v>-500</v>
      </c>
    </row>
    <row r="100" spans="1:9" s="6" customFormat="1" ht="59.25" customHeight="1" x14ac:dyDescent="0.25">
      <c r="A100" s="7"/>
      <c r="B100" s="7"/>
      <c r="C100" s="7"/>
      <c r="D100" s="7"/>
      <c r="E100" s="25" t="s">
        <v>51</v>
      </c>
      <c r="F100" s="71">
        <v>0</v>
      </c>
      <c r="G100" s="72">
        <v>40000</v>
      </c>
      <c r="H100" s="72">
        <v>85000</v>
      </c>
      <c r="I100" s="72">
        <v>100972.5</v>
      </c>
    </row>
    <row r="101" spans="1:9" s="13" customFormat="1" ht="36" customHeight="1" x14ac:dyDescent="0.25">
      <c r="A101" s="7"/>
      <c r="B101" s="7"/>
      <c r="C101" s="7"/>
      <c r="D101" s="7"/>
      <c r="E101" s="25" t="s">
        <v>52</v>
      </c>
      <c r="F101" s="71">
        <v>0</v>
      </c>
      <c r="G101" s="232">
        <v>22000</v>
      </c>
      <c r="H101" s="232">
        <v>45000</v>
      </c>
      <c r="I101" s="220">
        <v>58088.2</v>
      </c>
    </row>
    <row r="102" spans="1:9" s="6" customFormat="1" ht="36" customHeight="1" x14ac:dyDescent="0.25">
      <c r="A102" s="7"/>
      <c r="B102" s="7"/>
      <c r="C102" s="7"/>
      <c r="D102" s="7"/>
      <c r="E102" s="25" t="s">
        <v>53</v>
      </c>
      <c r="F102" s="71">
        <v>0</v>
      </c>
      <c r="G102" s="72">
        <v>12000</v>
      </c>
      <c r="H102" s="72">
        <v>18000</v>
      </c>
      <c r="I102" s="72">
        <v>23168.400000000001</v>
      </c>
    </row>
    <row r="103" spans="1:9" s="16" customFormat="1" ht="59.25" customHeight="1" x14ac:dyDescent="0.25">
      <c r="A103" s="7"/>
      <c r="B103" s="7"/>
      <c r="C103" s="7"/>
      <c r="D103" s="7"/>
      <c r="E103" s="25" t="s">
        <v>82</v>
      </c>
      <c r="F103" s="71">
        <v>0</v>
      </c>
      <c r="G103" s="71">
        <v>15000</v>
      </c>
      <c r="H103" s="71">
        <v>20000</v>
      </c>
      <c r="I103" s="71">
        <v>23724.400000000001</v>
      </c>
    </row>
    <row r="104" spans="1:9" s="16" customFormat="1" ht="51.75" customHeight="1" x14ac:dyDescent="0.25">
      <c r="A104" s="7"/>
      <c r="B104" s="7"/>
      <c r="C104" s="7"/>
      <c r="D104" s="7"/>
      <c r="E104" s="25" t="s">
        <v>54</v>
      </c>
      <c r="F104" s="71">
        <v>0</v>
      </c>
      <c r="G104" s="71">
        <v>5000</v>
      </c>
      <c r="H104" s="71">
        <v>10000</v>
      </c>
      <c r="I104" s="71">
        <v>15880.9</v>
      </c>
    </row>
    <row r="105" spans="1:9" s="13" customFormat="1" ht="51.75" customHeight="1" x14ac:dyDescent="0.25">
      <c r="A105" s="7"/>
      <c r="B105" s="7"/>
      <c r="C105" s="7"/>
      <c r="D105" s="7"/>
      <c r="E105" s="25" t="s">
        <v>55</v>
      </c>
      <c r="F105" s="71">
        <v>0</v>
      </c>
      <c r="G105" s="232">
        <v>8000</v>
      </c>
      <c r="H105" s="232">
        <v>12000</v>
      </c>
      <c r="I105" s="220">
        <v>25435.4</v>
      </c>
    </row>
    <row r="106" spans="1:9" s="6" customFormat="1" ht="51.75" customHeight="1" x14ac:dyDescent="0.25">
      <c r="A106" s="7"/>
      <c r="B106" s="7"/>
      <c r="C106" s="7"/>
      <c r="D106" s="7"/>
      <c r="E106" s="25" t="s">
        <v>56</v>
      </c>
      <c r="F106" s="71">
        <v>0</v>
      </c>
      <c r="G106" s="72">
        <v>35000</v>
      </c>
      <c r="H106" s="72">
        <v>45000</v>
      </c>
      <c r="I106" s="72">
        <v>60754.1</v>
      </c>
    </row>
    <row r="107" spans="1:9" s="13" customFormat="1" ht="48" customHeight="1" x14ac:dyDescent="0.25">
      <c r="A107" s="7"/>
      <c r="B107" s="7"/>
      <c r="C107" s="7"/>
      <c r="D107" s="7"/>
      <c r="E107" s="25" t="s">
        <v>104</v>
      </c>
      <c r="F107" s="71">
        <v>0</v>
      </c>
      <c r="G107" s="232">
        <v>2000</v>
      </c>
      <c r="H107" s="232">
        <v>7681.4</v>
      </c>
      <c r="I107" s="220">
        <v>7681.4</v>
      </c>
    </row>
    <row r="108" spans="1:9" s="13" customFormat="1" ht="48" customHeight="1" x14ac:dyDescent="0.25">
      <c r="A108" s="7"/>
      <c r="B108" s="7"/>
      <c r="C108" s="7"/>
      <c r="D108" s="7"/>
      <c r="E108" s="46" t="s">
        <v>395</v>
      </c>
      <c r="F108" s="71">
        <v>0</v>
      </c>
      <c r="G108" s="232">
        <f t="shared" ref="G108:H108" si="20">SUM(G109+G112+G114)</f>
        <v>0</v>
      </c>
      <c r="H108" s="232">
        <f t="shared" si="20"/>
        <v>0</v>
      </c>
      <c r="I108" s="220">
        <f>SUM(I109+I112+I114+I111)</f>
        <v>2940</v>
      </c>
    </row>
    <row r="109" spans="1:9" s="13" customFormat="1" ht="33" customHeight="1" x14ac:dyDescent="0.25">
      <c r="A109" s="7"/>
      <c r="B109" s="7"/>
      <c r="C109" s="7"/>
      <c r="D109" s="7"/>
      <c r="E109" s="32" t="s">
        <v>124</v>
      </c>
      <c r="F109" s="220" t="e">
        <f>SUM(F110+#REF!+#REF!)</f>
        <v>#REF!</v>
      </c>
      <c r="G109" s="220">
        <v>0</v>
      </c>
      <c r="H109" s="220">
        <v>0</v>
      </c>
      <c r="I109" s="220">
        <f>SUM(I110)</f>
        <v>1900</v>
      </c>
    </row>
    <row r="110" spans="1:9" s="13" customFormat="1" ht="33" customHeight="1" x14ac:dyDescent="0.25">
      <c r="A110" s="7"/>
      <c r="B110" s="7"/>
      <c r="C110" s="7"/>
      <c r="D110" s="7"/>
      <c r="E110" s="47" t="s">
        <v>125</v>
      </c>
      <c r="F110" s="220" t="e">
        <f>SUM(F112+#REF!+#REF!+#REF!+#REF!+#REF!)</f>
        <v>#REF!</v>
      </c>
      <c r="G110" s="220">
        <v>0</v>
      </c>
      <c r="H110" s="220">
        <v>0</v>
      </c>
      <c r="I110" s="220">
        <v>1900</v>
      </c>
    </row>
    <row r="111" spans="1:9" s="13" customFormat="1" ht="33" customHeight="1" x14ac:dyDescent="0.25">
      <c r="A111" s="7"/>
      <c r="B111" s="7"/>
      <c r="C111" s="7"/>
      <c r="D111" s="7"/>
      <c r="E111" s="47" t="s">
        <v>413</v>
      </c>
      <c r="F111" s="238"/>
      <c r="G111" s="238">
        <v>0</v>
      </c>
      <c r="H111" s="238">
        <v>0</v>
      </c>
      <c r="I111" s="238">
        <v>440</v>
      </c>
    </row>
    <row r="112" spans="1:9" s="13" customFormat="1" ht="18" customHeight="1" x14ac:dyDescent="0.25">
      <c r="A112" s="7"/>
      <c r="B112" s="7"/>
      <c r="C112" s="7"/>
      <c r="D112" s="7"/>
      <c r="E112" s="32" t="s">
        <v>126</v>
      </c>
      <c r="F112" s="220">
        <f>SUM(F113:F118)</f>
        <v>0</v>
      </c>
      <c r="G112" s="232">
        <f t="shared" ref="G112:H112" si="21">SUM(G113)</f>
        <v>0</v>
      </c>
      <c r="H112" s="232">
        <f t="shared" si="21"/>
        <v>0</v>
      </c>
      <c r="I112" s="220">
        <f>SUM(I113)</f>
        <v>500</v>
      </c>
    </row>
    <row r="113" spans="1:9" s="13" customFormat="1" ht="17.25" customHeight="1" x14ac:dyDescent="0.25">
      <c r="A113" s="7"/>
      <c r="B113" s="7"/>
      <c r="C113" s="7"/>
      <c r="D113" s="7"/>
      <c r="E113" s="48" t="s">
        <v>127</v>
      </c>
      <c r="F113" s="220">
        <v>0</v>
      </c>
      <c r="G113" s="220"/>
      <c r="H113" s="220"/>
      <c r="I113" s="220">
        <v>500</v>
      </c>
    </row>
    <row r="114" spans="1:9" s="13" customFormat="1" ht="17.25" customHeight="1" x14ac:dyDescent="0.25">
      <c r="A114" s="7"/>
      <c r="B114" s="7"/>
      <c r="C114" s="7"/>
      <c r="D114" s="7"/>
      <c r="E114" s="49" t="s">
        <v>128</v>
      </c>
      <c r="F114" s="220">
        <v>0</v>
      </c>
      <c r="G114" s="71">
        <f t="shared" ref="G114:H114" si="22">SUM(G115)</f>
        <v>0</v>
      </c>
      <c r="H114" s="71">
        <f t="shared" si="22"/>
        <v>0</v>
      </c>
      <c r="I114" s="71">
        <f>SUM(I115)</f>
        <v>100</v>
      </c>
    </row>
    <row r="115" spans="1:9" s="13" customFormat="1" ht="17.25" customHeight="1" x14ac:dyDescent="0.25">
      <c r="A115" s="7"/>
      <c r="B115" s="7"/>
      <c r="C115" s="7"/>
      <c r="D115" s="7"/>
      <c r="E115" s="50" t="s">
        <v>129</v>
      </c>
      <c r="F115" s="220">
        <v>0</v>
      </c>
      <c r="G115" s="220">
        <v>0</v>
      </c>
      <c r="H115" s="71">
        <v>0</v>
      </c>
      <c r="I115" s="71">
        <v>100</v>
      </c>
    </row>
    <row r="116" spans="1:9" s="13" customFormat="1" ht="33" customHeight="1" x14ac:dyDescent="0.25">
      <c r="A116" s="7"/>
      <c r="B116" s="7"/>
      <c r="C116" s="7"/>
      <c r="D116" s="8"/>
      <c r="E116" s="18" t="s">
        <v>58</v>
      </c>
      <c r="F116" s="220">
        <v>0</v>
      </c>
      <c r="G116" s="71">
        <f>SUM(G118)</f>
        <v>-2352134.1</v>
      </c>
      <c r="H116" s="71">
        <f t="shared" ref="H116" si="23">SUM(H118)</f>
        <v>-4116234.7</v>
      </c>
      <c r="I116" s="71">
        <f>SUM(I118)</f>
        <v>-5880335.2999999998</v>
      </c>
    </row>
    <row r="117" spans="1:9" s="13" customFormat="1" ht="23.25" customHeight="1" x14ac:dyDescent="0.25">
      <c r="A117" s="7"/>
      <c r="B117" s="7"/>
      <c r="C117" s="7"/>
      <c r="D117" s="8"/>
      <c r="E117" s="20" t="s">
        <v>73</v>
      </c>
      <c r="F117" s="220">
        <v>0</v>
      </c>
      <c r="G117" s="220"/>
      <c r="H117" s="71"/>
      <c r="I117" s="71"/>
    </row>
    <row r="118" spans="1:9" s="16" customFormat="1" ht="34.5" customHeight="1" x14ac:dyDescent="0.25">
      <c r="A118" s="7" t="s">
        <v>10</v>
      </c>
      <c r="B118" s="7" t="s">
        <v>11</v>
      </c>
      <c r="C118" s="7" t="s">
        <v>12</v>
      </c>
      <c r="D118" s="22" t="s">
        <v>12</v>
      </c>
      <c r="E118" s="23" t="s">
        <v>59</v>
      </c>
      <c r="F118" s="220">
        <v>0</v>
      </c>
      <c r="G118" s="234">
        <v>-2352134.1</v>
      </c>
      <c r="H118" s="234">
        <v>-4116234.7</v>
      </c>
      <c r="I118" s="71">
        <v>-5880335.2999999998</v>
      </c>
    </row>
    <row r="119" spans="1:9" x14ac:dyDescent="0.25">
      <c r="F119" s="1"/>
      <c r="G119" s="1"/>
      <c r="H119" s="1"/>
      <c r="I119" s="1"/>
    </row>
    <row r="120" spans="1:9" x14ac:dyDescent="0.25">
      <c r="F120" s="1"/>
      <c r="G120" s="1"/>
      <c r="H120" s="1"/>
      <c r="I120" s="1"/>
    </row>
    <row r="121" spans="1:9" x14ac:dyDescent="0.25">
      <c r="F121" s="1"/>
      <c r="G121" s="1"/>
      <c r="H121" s="1"/>
      <c r="I121" s="1"/>
    </row>
    <row r="122" spans="1:9" x14ac:dyDescent="0.25">
      <c r="F122" s="1"/>
      <c r="G122" s="1"/>
      <c r="H122" s="1"/>
      <c r="I122" s="1"/>
    </row>
    <row r="123" spans="1:9" x14ac:dyDescent="0.25">
      <c r="F123" s="1"/>
      <c r="G123" s="1"/>
      <c r="H123" s="1"/>
      <c r="I123" s="1"/>
    </row>
    <row r="124" spans="1:9" x14ac:dyDescent="0.25">
      <c r="F124" s="1"/>
      <c r="G124" s="1"/>
      <c r="H124" s="1"/>
      <c r="I124" s="1"/>
    </row>
    <row r="125" spans="1:9" x14ac:dyDescent="0.25">
      <c r="F125" s="1"/>
      <c r="G125" s="1"/>
      <c r="H125" s="1"/>
      <c r="I125" s="1"/>
    </row>
    <row r="126" spans="1:9" x14ac:dyDescent="0.25">
      <c r="F126" s="1"/>
      <c r="G126" s="1"/>
      <c r="H126" s="1"/>
      <c r="I126" s="1"/>
    </row>
    <row r="127" spans="1:9" x14ac:dyDescent="0.25">
      <c r="F127" s="1"/>
      <c r="G127" s="1"/>
      <c r="H127" s="1"/>
      <c r="I127" s="1"/>
    </row>
    <row r="128" spans="1:9" x14ac:dyDescent="0.25">
      <c r="F128" s="1"/>
      <c r="G128" s="1"/>
      <c r="H128" s="1"/>
      <c r="I128" s="1"/>
    </row>
    <row r="129" spans="6:9" x14ac:dyDescent="0.25">
      <c r="F129" s="1"/>
      <c r="G129" s="1"/>
      <c r="H129" s="1"/>
      <c r="I129" s="1"/>
    </row>
    <row r="130" spans="6:9" x14ac:dyDescent="0.25">
      <c r="F130" s="1"/>
      <c r="G130" s="1"/>
      <c r="H130" s="1"/>
      <c r="I130" s="1"/>
    </row>
    <row r="131" spans="6:9" x14ac:dyDescent="0.25">
      <c r="F131" s="1"/>
      <c r="G131" s="1"/>
      <c r="H131" s="1"/>
      <c r="I131" s="1"/>
    </row>
    <row r="132" spans="6:9" x14ac:dyDescent="0.25">
      <c r="F132" s="1"/>
      <c r="G132" s="1"/>
      <c r="H132" s="1"/>
      <c r="I132" s="1"/>
    </row>
    <row r="133" spans="6:9" x14ac:dyDescent="0.25">
      <c r="F133" s="1"/>
      <c r="G133" s="1"/>
      <c r="H133" s="1"/>
      <c r="I133" s="1"/>
    </row>
    <row r="134" spans="6:9" x14ac:dyDescent="0.25">
      <c r="F134" s="1"/>
      <c r="G134" s="1"/>
      <c r="H134" s="1"/>
      <c r="I134" s="1"/>
    </row>
    <row r="135" spans="6:9" x14ac:dyDescent="0.25">
      <c r="F135" s="1"/>
      <c r="G135" s="1"/>
      <c r="H135" s="1"/>
      <c r="I135" s="1"/>
    </row>
    <row r="136" spans="6:9" x14ac:dyDescent="0.25">
      <c r="F136" s="1"/>
      <c r="G136" s="1"/>
      <c r="H136" s="1"/>
      <c r="I136" s="1"/>
    </row>
  </sheetData>
  <mergeCells count="10">
    <mergeCell ref="A1:I1"/>
    <mergeCell ref="A2:I2"/>
    <mergeCell ref="A3:I3"/>
    <mergeCell ref="A4:I4"/>
    <mergeCell ref="A6:A7"/>
    <mergeCell ref="B6:B7"/>
    <mergeCell ref="D6:D7"/>
    <mergeCell ref="E6:E7"/>
    <mergeCell ref="F6:I6"/>
    <mergeCell ref="C6:C7"/>
  </mergeCells>
  <pageMargins left="0.7" right="0.7" top="0.75" bottom="0.75" header="0.3" footer="0.3"/>
  <pageSetup paperSize="9" scale="70" orientation="portrait" r:id="rId1"/>
  <rowBreaks count="1" manualBreakCount="1">
    <brk id="9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view="pageBreakPreview" zoomScale="60" zoomScaleNormal="100" workbookViewId="0">
      <selection activeCell="L7" sqref="L7"/>
    </sheetView>
  </sheetViews>
  <sheetFormatPr defaultRowHeight="13.5" x14ac:dyDescent="0.25"/>
  <cols>
    <col min="1" max="1" width="9.140625" style="108"/>
    <col min="2" max="2" width="13.7109375" style="108" customWidth="1"/>
    <col min="3" max="3" width="59.28515625" style="108" customWidth="1"/>
    <col min="4" max="4" width="10.28515625" style="108" customWidth="1"/>
    <col min="5" max="5" width="9" style="108" customWidth="1"/>
    <col min="6" max="6" width="8.85546875" style="108" customWidth="1"/>
    <col min="7" max="7" width="10.42578125" style="108" customWidth="1"/>
    <col min="8" max="8" width="11.85546875" style="108" customWidth="1"/>
    <col min="9" max="9" width="12.140625" style="108" customWidth="1"/>
    <col min="10" max="261" width="9.140625" style="108"/>
    <col min="262" max="262" width="13.7109375" style="108" customWidth="1"/>
    <col min="263" max="263" width="59.28515625" style="108" customWidth="1"/>
    <col min="264" max="264" width="16" style="108" customWidth="1"/>
    <col min="265" max="265" width="17.7109375" style="108" customWidth="1"/>
    <col min="266" max="517" width="9.140625" style="108"/>
    <col min="518" max="518" width="13.7109375" style="108" customWidth="1"/>
    <col min="519" max="519" width="59.28515625" style="108" customWidth="1"/>
    <col min="520" max="520" width="16" style="108" customWidth="1"/>
    <col min="521" max="521" width="17.7109375" style="108" customWidth="1"/>
    <col min="522" max="773" width="9.140625" style="108"/>
    <col min="774" max="774" width="13.7109375" style="108" customWidth="1"/>
    <col min="775" max="775" width="59.28515625" style="108" customWidth="1"/>
    <col min="776" max="776" width="16" style="108" customWidth="1"/>
    <col min="777" max="777" width="17.7109375" style="108" customWidth="1"/>
    <col min="778" max="1029" width="9.140625" style="108"/>
    <col min="1030" max="1030" width="13.7109375" style="108" customWidth="1"/>
    <col min="1031" max="1031" width="59.28515625" style="108" customWidth="1"/>
    <col min="1032" max="1032" width="16" style="108" customWidth="1"/>
    <col min="1033" max="1033" width="17.7109375" style="108" customWidth="1"/>
    <col min="1034" max="1285" width="9.140625" style="108"/>
    <col min="1286" max="1286" width="13.7109375" style="108" customWidth="1"/>
    <col min="1287" max="1287" width="59.28515625" style="108" customWidth="1"/>
    <col min="1288" max="1288" width="16" style="108" customWidth="1"/>
    <col min="1289" max="1289" width="17.7109375" style="108" customWidth="1"/>
    <col min="1290" max="1541" width="9.140625" style="108"/>
    <col min="1542" max="1542" width="13.7109375" style="108" customWidth="1"/>
    <col min="1543" max="1543" width="59.28515625" style="108" customWidth="1"/>
    <col min="1544" max="1544" width="16" style="108" customWidth="1"/>
    <col min="1545" max="1545" width="17.7109375" style="108" customWidth="1"/>
    <col min="1546" max="1797" width="9.140625" style="108"/>
    <col min="1798" max="1798" width="13.7109375" style="108" customWidth="1"/>
    <col min="1799" max="1799" width="59.28515625" style="108" customWidth="1"/>
    <col min="1800" max="1800" width="16" style="108" customWidth="1"/>
    <col min="1801" max="1801" width="17.7109375" style="108" customWidth="1"/>
    <col min="1802" max="2053" width="9.140625" style="108"/>
    <col min="2054" max="2054" width="13.7109375" style="108" customWidth="1"/>
    <col min="2055" max="2055" width="59.28515625" style="108" customWidth="1"/>
    <col min="2056" max="2056" width="16" style="108" customWidth="1"/>
    <col min="2057" max="2057" width="17.7109375" style="108" customWidth="1"/>
    <col min="2058" max="2309" width="9.140625" style="108"/>
    <col min="2310" max="2310" width="13.7109375" style="108" customWidth="1"/>
    <col min="2311" max="2311" width="59.28515625" style="108" customWidth="1"/>
    <col min="2312" max="2312" width="16" style="108" customWidth="1"/>
    <col min="2313" max="2313" width="17.7109375" style="108" customWidth="1"/>
    <col min="2314" max="2565" width="9.140625" style="108"/>
    <col min="2566" max="2566" width="13.7109375" style="108" customWidth="1"/>
    <col min="2567" max="2567" width="59.28515625" style="108" customWidth="1"/>
    <col min="2568" max="2568" width="16" style="108" customWidth="1"/>
    <col min="2569" max="2569" width="17.7109375" style="108" customWidth="1"/>
    <col min="2570" max="2821" width="9.140625" style="108"/>
    <col min="2822" max="2822" width="13.7109375" style="108" customWidth="1"/>
    <col min="2823" max="2823" width="59.28515625" style="108" customWidth="1"/>
    <col min="2824" max="2824" width="16" style="108" customWidth="1"/>
    <col min="2825" max="2825" width="17.7109375" style="108" customWidth="1"/>
    <col min="2826" max="3077" width="9.140625" style="108"/>
    <col min="3078" max="3078" width="13.7109375" style="108" customWidth="1"/>
    <col min="3079" max="3079" width="59.28515625" style="108" customWidth="1"/>
    <col min="3080" max="3080" width="16" style="108" customWidth="1"/>
    <col min="3081" max="3081" width="17.7109375" style="108" customWidth="1"/>
    <col min="3082" max="3333" width="9.140625" style="108"/>
    <col min="3334" max="3334" width="13.7109375" style="108" customWidth="1"/>
    <col min="3335" max="3335" width="59.28515625" style="108" customWidth="1"/>
    <col min="3336" max="3336" width="16" style="108" customWidth="1"/>
    <col min="3337" max="3337" width="17.7109375" style="108" customWidth="1"/>
    <col min="3338" max="3589" width="9.140625" style="108"/>
    <col min="3590" max="3590" width="13.7109375" style="108" customWidth="1"/>
    <col min="3591" max="3591" width="59.28515625" style="108" customWidth="1"/>
    <col min="3592" max="3592" width="16" style="108" customWidth="1"/>
    <col min="3593" max="3593" width="17.7109375" style="108" customWidth="1"/>
    <col min="3594" max="3845" width="9.140625" style="108"/>
    <col min="3846" max="3846" width="13.7109375" style="108" customWidth="1"/>
    <col min="3847" max="3847" width="59.28515625" style="108" customWidth="1"/>
    <col min="3848" max="3848" width="16" style="108" customWidth="1"/>
    <col min="3849" max="3849" width="17.7109375" style="108" customWidth="1"/>
    <col min="3850" max="4101" width="9.140625" style="108"/>
    <col min="4102" max="4102" width="13.7109375" style="108" customWidth="1"/>
    <col min="4103" max="4103" width="59.28515625" style="108" customWidth="1"/>
    <col min="4104" max="4104" width="16" style="108" customWidth="1"/>
    <col min="4105" max="4105" width="17.7109375" style="108" customWidth="1"/>
    <col min="4106" max="4357" width="9.140625" style="108"/>
    <col min="4358" max="4358" width="13.7109375" style="108" customWidth="1"/>
    <col min="4359" max="4359" width="59.28515625" style="108" customWidth="1"/>
    <col min="4360" max="4360" width="16" style="108" customWidth="1"/>
    <col min="4361" max="4361" width="17.7109375" style="108" customWidth="1"/>
    <col min="4362" max="4613" width="9.140625" style="108"/>
    <col min="4614" max="4614" width="13.7109375" style="108" customWidth="1"/>
    <col min="4615" max="4615" width="59.28515625" style="108" customWidth="1"/>
    <col min="4616" max="4616" width="16" style="108" customWidth="1"/>
    <col min="4617" max="4617" width="17.7109375" style="108" customWidth="1"/>
    <col min="4618" max="4869" width="9.140625" style="108"/>
    <col min="4870" max="4870" width="13.7109375" style="108" customWidth="1"/>
    <col min="4871" max="4871" width="59.28515625" style="108" customWidth="1"/>
    <col min="4872" max="4872" width="16" style="108" customWidth="1"/>
    <col min="4873" max="4873" width="17.7109375" style="108" customWidth="1"/>
    <col min="4874" max="5125" width="9.140625" style="108"/>
    <col min="5126" max="5126" width="13.7109375" style="108" customWidth="1"/>
    <col min="5127" max="5127" width="59.28515625" style="108" customWidth="1"/>
    <col min="5128" max="5128" width="16" style="108" customWidth="1"/>
    <col min="5129" max="5129" width="17.7109375" style="108" customWidth="1"/>
    <col min="5130" max="5381" width="9.140625" style="108"/>
    <col min="5382" max="5382" width="13.7109375" style="108" customWidth="1"/>
    <col min="5383" max="5383" width="59.28515625" style="108" customWidth="1"/>
    <col min="5384" max="5384" width="16" style="108" customWidth="1"/>
    <col min="5385" max="5385" width="17.7109375" style="108" customWidth="1"/>
    <col min="5386" max="5637" width="9.140625" style="108"/>
    <col min="5638" max="5638" width="13.7109375" style="108" customWidth="1"/>
    <col min="5639" max="5639" width="59.28515625" style="108" customWidth="1"/>
    <col min="5640" max="5640" width="16" style="108" customWidth="1"/>
    <col min="5641" max="5641" width="17.7109375" style="108" customWidth="1"/>
    <col min="5642" max="5893" width="9.140625" style="108"/>
    <col min="5894" max="5894" width="13.7109375" style="108" customWidth="1"/>
    <col min="5895" max="5895" width="59.28515625" style="108" customWidth="1"/>
    <col min="5896" max="5896" width="16" style="108" customWidth="1"/>
    <col min="5897" max="5897" width="17.7109375" style="108" customWidth="1"/>
    <col min="5898" max="6149" width="9.140625" style="108"/>
    <col min="6150" max="6150" width="13.7109375" style="108" customWidth="1"/>
    <col min="6151" max="6151" width="59.28515625" style="108" customWidth="1"/>
    <col min="6152" max="6152" width="16" style="108" customWidth="1"/>
    <col min="6153" max="6153" width="17.7109375" style="108" customWidth="1"/>
    <col min="6154" max="6405" width="9.140625" style="108"/>
    <col min="6406" max="6406" width="13.7109375" style="108" customWidth="1"/>
    <col min="6407" max="6407" width="59.28515625" style="108" customWidth="1"/>
    <col min="6408" max="6408" width="16" style="108" customWidth="1"/>
    <col min="6409" max="6409" width="17.7109375" style="108" customWidth="1"/>
    <col min="6410" max="6661" width="9.140625" style="108"/>
    <col min="6662" max="6662" width="13.7109375" style="108" customWidth="1"/>
    <col min="6663" max="6663" width="59.28515625" style="108" customWidth="1"/>
    <col min="6664" max="6664" width="16" style="108" customWidth="1"/>
    <col min="6665" max="6665" width="17.7109375" style="108" customWidth="1"/>
    <col min="6666" max="6917" width="9.140625" style="108"/>
    <col min="6918" max="6918" width="13.7109375" style="108" customWidth="1"/>
    <col min="6919" max="6919" width="59.28515625" style="108" customWidth="1"/>
    <col min="6920" max="6920" width="16" style="108" customWidth="1"/>
    <col min="6921" max="6921" width="17.7109375" style="108" customWidth="1"/>
    <col min="6922" max="7173" width="9.140625" style="108"/>
    <col min="7174" max="7174" width="13.7109375" style="108" customWidth="1"/>
    <col min="7175" max="7175" width="59.28515625" style="108" customWidth="1"/>
    <col min="7176" max="7176" width="16" style="108" customWidth="1"/>
    <col min="7177" max="7177" width="17.7109375" style="108" customWidth="1"/>
    <col min="7178" max="7429" width="9.140625" style="108"/>
    <col min="7430" max="7430" width="13.7109375" style="108" customWidth="1"/>
    <col min="7431" max="7431" width="59.28515625" style="108" customWidth="1"/>
    <col min="7432" max="7432" width="16" style="108" customWidth="1"/>
    <col min="7433" max="7433" width="17.7109375" style="108" customWidth="1"/>
    <col min="7434" max="7685" width="9.140625" style="108"/>
    <col min="7686" max="7686" width="13.7109375" style="108" customWidth="1"/>
    <col min="7687" max="7687" width="59.28515625" style="108" customWidth="1"/>
    <col min="7688" max="7688" width="16" style="108" customWidth="1"/>
    <col min="7689" max="7689" width="17.7109375" style="108" customWidth="1"/>
    <col min="7690" max="7941" width="9.140625" style="108"/>
    <col min="7942" max="7942" width="13.7109375" style="108" customWidth="1"/>
    <col min="7943" max="7943" width="59.28515625" style="108" customWidth="1"/>
    <col min="7944" max="7944" width="16" style="108" customWidth="1"/>
    <col min="7945" max="7945" width="17.7109375" style="108" customWidth="1"/>
    <col min="7946" max="8197" width="9.140625" style="108"/>
    <col min="8198" max="8198" width="13.7109375" style="108" customWidth="1"/>
    <col min="8199" max="8199" width="59.28515625" style="108" customWidth="1"/>
    <col min="8200" max="8200" width="16" style="108" customWidth="1"/>
    <col min="8201" max="8201" width="17.7109375" style="108" customWidth="1"/>
    <col min="8202" max="8453" width="9.140625" style="108"/>
    <col min="8454" max="8454" width="13.7109375" style="108" customWidth="1"/>
    <col min="8455" max="8455" width="59.28515625" style="108" customWidth="1"/>
    <col min="8456" max="8456" width="16" style="108" customWidth="1"/>
    <col min="8457" max="8457" width="17.7109375" style="108" customWidth="1"/>
    <col min="8458" max="8709" width="9.140625" style="108"/>
    <col min="8710" max="8710" width="13.7109375" style="108" customWidth="1"/>
    <col min="8711" max="8711" width="59.28515625" style="108" customWidth="1"/>
    <col min="8712" max="8712" width="16" style="108" customWidth="1"/>
    <col min="8713" max="8713" width="17.7109375" style="108" customWidth="1"/>
    <col min="8714" max="8965" width="9.140625" style="108"/>
    <col min="8966" max="8966" width="13.7109375" style="108" customWidth="1"/>
    <col min="8967" max="8967" width="59.28515625" style="108" customWidth="1"/>
    <col min="8968" max="8968" width="16" style="108" customWidth="1"/>
    <col min="8969" max="8969" width="17.7109375" style="108" customWidth="1"/>
    <col min="8970" max="9221" width="9.140625" style="108"/>
    <col min="9222" max="9222" width="13.7109375" style="108" customWidth="1"/>
    <col min="9223" max="9223" width="59.28515625" style="108" customWidth="1"/>
    <col min="9224" max="9224" width="16" style="108" customWidth="1"/>
    <col min="9225" max="9225" width="17.7109375" style="108" customWidth="1"/>
    <col min="9226" max="9477" width="9.140625" style="108"/>
    <col min="9478" max="9478" width="13.7109375" style="108" customWidth="1"/>
    <col min="9479" max="9479" width="59.28515625" style="108" customWidth="1"/>
    <col min="9480" max="9480" width="16" style="108" customWidth="1"/>
    <col min="9481" max="9481" width="17.7109375" style="108" customWidth="1"/>
    <col min="9482" max="9733" width="9.140625" style="108"/>
    <col min="9734" max="9734" width="13.7109375" style="108" customWidth="1"/>
    <col min="9735" max="9735" width="59.28515625" style="108" customWidth="1"/>
    <col min="9736" max="9736" width="16" style="108" customWidth="1"/>
    <col min="9737" max="9737" width="17.7109375" style="108" customWidth="1"/>
    <col min="9738" max="9989" width="9.140625" style="108"/>
    <col min="9990" max="9990" width="13.7109375" style="108" customWidth="1"/>
    <col min="9991" max="9991" width="59.28515625" style="108" customWidth="1"/>
    <col min="9992" max="9992" width="16" style="108" customWidth="1"/>
    <col min="9993" max="9993" width="17.7109375" style="108" customWidth="1"/>
    <col min="9994" max="10245" width="9.140625" style="108"/>
    <col min="10246" max="10246" width="13.7109375" style="108" customWidth="1"/>
    <col min="10247" max="10247" width="59.28515625" style="108" customWidth="1"/>
    <col min="10248" max="10248" width="16" style="108" customWidth="1"/>
    <col min="10249" max="10249" width="17.7109375" style="108" customWidth="1"/>
    <col min="10250" max="10501" width="9.140625" style="108"/>
    <col min="10502" max="10502" width="13.7109375" style="108" customWidth="1"/>
    <col min="10503" max="10503" width="59.28515625" style="108" customWidth="1"/>
    <col min="10504" max="10504" width="16" style="108" customWidth="1"/>
    <col min="10505" max="10505" width="17.7109375" style="108" customWidth="1"/>
    <col min="10506" max="10757" width="9.140625" style="108"/>
    <col min="10758" max="10758" width="13.7109375" style="108" customWidth="1"/>
    <col min="10759" max="10759" width="59.28515625" style="108" customWidth="1"/>
    <col min="10760" max="10760" width="16" style="108" customWidth="1"/>
    <col min="10761" max="10761" width="17.7109375" style="108" customWidth="1"/>
    <col min="10762" max="11013" width="9.140625" style="108"/>
    <col min="11014" max="11014" width="13.7109375" style="108" customWidth="1"/>
    <col min="11015" max="11015" width="59.28515625" style="108" customWidth="1"/>
    <col min="11016" max="11016" width="16" style="108" customWidth="1"/>
    <col min="11017" max="11017" width="17.7109375" style="108" customWidth="1"/>
    <col min="11018" max="11269" width="9.140625" style="108"/>
    <col min="11270" max="11270" width="13.7109375" style="108" customWidth="1"/>
    <col min="11271" max="11271" width="59.28515625" style="108" customWidth="1"/>
    <col min="11272" max="11272" width="16" style="108" customWidth="1"/>
    <col min="11273" max="11273" width="17.7109375" style="108" customWidth="1"/>
    <col min="11274" max="11525" width="9.140625" style="108"/>
    <col min="11526" max="11526" width="13.7109375" style="108" customWidth="1"/>
    <col min="11527" max="11527" width="59.28515625" style="108" customWidth="1"/>
    <col min="11528" max="11528" width="16" style="108" customWidth="1"/>
    <col min="11529" max="11529" width="17.7109375" style="108" customWidth="1"/>
    <col min="11530" max="11781" width="9.140625" style="108"/>
    <col min="11782" max="11782" width="13.7109375" style="108" customWidth="1"/>
    <col min="11783" max="11783" width="59.28515625" style="108" customWidth="1"/>
    <col min="11784" max="11784" width="16" style="108" customWidth="1"/>
    <col min="11785" max="11785" width="17.7109375" style="108" customWidth="1"/>
    <col min="11786" max="12037" width="9.140625" style="108"/>
    <col min="12038" max="12038" width="13.7109375" style="108" customWidth="1"/>
    <col min="12039" max="12039" width="59.28515625" style="108" customWidth="1"/>
    <col min="12040" max="12040" width="16" style="108" customWidth="1"/>
    <col min="12041" max="12041" width="17.7109375" style="108" customWidth="1"/>
    <col min="12042" max="12293" width="9.140625" style="108"/>
    <col min="12294" max="12294" width="13.7109375" style="108" customWidth="1"/>
    <col min="12295" max="12295" width="59.28515625" style="108" customWidth="1"/>
    <col min="12296" max="12296" width="16" style="108" customWidth="1"/>
    <col min="12297" max="12297" width="17.7109375" style="108" customWidth="1"/>
    <col min="12298" max="12549" width="9.140625" style="108"/>
    <col min="12550" max="12550" width="13.7109375" style="108" customWidth="1"/>
    <col min="12551" max="12551" width="59.28515625" style="108" customWidth="1"/>
    <col min="12552" max="12552" width="16" style="108" customWidth="1"/>
    <col min="12553" max="12553" width="17.7109375" style="108" customWidth="1"/>
    <col min="12554" max="12805" width="9.140625" style="108"/>
    <col min="12806" max="12806" width="13.7109375" style="108" customWidth="1"/>
    <col min="12807" max="12807" width="59.28515625" style="108" customWidth="1"/>
    <col min="12808" max="12808" width="16" style="108" customWidth="1"/>
    <col min="12809" max="12809" width="17.7109375" style="108" customWidth="1"/>
    <col min="12810" max="13061" width="9.140625" style="108"/>
    <col min="13062" max="13062" width="13.7109375" style="108" customWidth="1"/>
    <col min="13063" max="13063" width="59.28515625" style="108" customWidth="1"/>
    <col min="13064" max="13064" width="16" style="108" customWidth="1"/>
    <col min="13065" max="13065" width="17.7109375" style="108" customWidth="1"/>
    <col min="13066" max="13317" width="9.140625" style="108"/>
    <col min="13318" max="13318" width="13.7109375" style="108" customWidth="1"/>
    <col min="13319" max="13319" width="59.28515625" style="108" customWidth="1"/>
    <col min="13320" max="13320" width="16" style="108" customWidth="1"/>
    <col min="13321" max="13321" width="17.7109375" style="108" customWidth="1"/>
    <col min="13322" max="13573" width="9.140625" style="108"/>
    <col min="13574" max="13574" width="13.7109375" style="108" customWidth="1"/>
    <col min="13575" max="13575" width="59.28515625" style="108" customWidth="1"/>
    <col min="13576" max="13576" width="16" style="108" customWidth="1"/>
    <col min="13577" max="13577" width="17.7109375" style="108" customWidth="1"/>
    <col min="13578" max="13829" width="9.140625" style="108"/>
    <col min="13830" max="13830" width="13.7109375" style="108" customWidth="1"/>
    <col min="13831" max="13831" width="59.28515625" style="108" customWidth="1"/>
    <col min="13832" max="13832" width="16" style="108" customWidth="1"/>
    <col min="13833" max="13833" width="17.7109375" style="108" customWidth="1"/>
    <col min="13834" max="14085" width="9.140625" style="108"/>
    <col min="14086" max="14086" width="13.7109375" style="108" customWidth="1"/>
    <col min="14087" max="14087" width="59.28515625" style="108" customWidth="1"/>
    <col min="14088" max="14088" width="16" style="108" customWidth="1"/>
    <col min="14089" max="14089" width="17.7109375" style="108" customWidth="1"/>
    <col min="14090" max="14341" width="9.140625" style="108"/>
    <col min="14342" max="14342" width="13.7109375" style="108" customWidth="1"/>
    <col min="14343" max="14343" width="59.28515625" style="108" customWidth="1"/>
    <col min="14344" max="14344" width="16" style="108" customWidth="1"/>
    <col min="14345" max="14345" width="17.7109375" style="108" customWidth="1"/>
    <col min="14346" max="14597" width="9.140625" style="108"/>
    <col min="14598" max="14598" width="13.7109375" style="108" customWidth="1"/>
    <col min="14599" max="14599" width="59.28515625" style="108" customWidth="1"/>
    <col min="14600" max="14600" width="16" style="108" customWidth="1"/>
    <col min="14601" max="14601" width="17.7109375" style="108" customWidth="1"/>
    <col min="14602" max="14853" width="9.140625" style="108"/>
    <col min="14854" max="14854" width="13.7109375" style="108" customWidth="1"/>
    <col min="14855" max="14855" width="59.28515625" style="108" customWidth="1"/>
    <col min="14856" max="14856" width="16" style="108" customWidth="1"/>
    <col min="14857" max="14857" width="17.7109375" style="108" customWidth="1"/>
    <col min="14858" max="15109" width="9.140625" style="108"/>
    <col min="15110" max="15110" width="13.7109375" style="108" customWidth="1"/>
    <col min="15111" max="15111" width="59.28515625" style="108" customWidth="1"/>
    <col min="15112" max="15112" width="16" style="108" customWidth="1"/>
    <col min="15113" max="15113" width="17.7109375" style="108" customWidth="1"/>
    <col min="15114" max="15365" width="9.140625" style="108"/>
    <col min="15366" max="15366" width="13.7109375" style="108" customWidth="1"/>
    <col min="15367" max="15367" width="59.28515625" style="108" customWidth="1"/>
    <col min="15368" max="15368" width="16" style="108" customWidth="1"/>
    <col min="15369" max="15369" width="17.7109375" style="108" customWidth="1"/>
    <col min="15370" max="15621" width="9.140625" style="108"/>
    <col min="15622" max="15622" width="13.7109375" style="108" customWidth="1"/>
    <col min="15623" max="15623" width="59.28515625" style="108" customWidth="1"/>
    <col min="15624" max="15624" width="16" style="108" customWidth="1"/>
    <col min="15625" max="15625" width="17.7109375" style="108" customWidth="1"/>
    <col min="15626" max="15877" width="9.140625" style="108"/>
    <col min="15878" max="15878" width="13.7109375" style="108" customWidth="1"/>
    <col min="15879" max="15879" width="59.28515625" style="108" customWidth="1"/>
    <col min="15880" max="15880" width="16" style="108" customWidth="1"/>
    <col min="15881" max="15881" width="17.7109375" style="108" customWidth="1"/>
    <col min="15882" max="16133" width="9.140625" style="108"/>
    <col min="16134" max="16134" width="13.7109375" style="108" customWidth="1"/>
    <col min="16135" max="16135" width="59.28515625" style="108" customWidth="1"/>
    <col min="16136" max="16136" width="16" style="108" customWidth="1"/>
    <col min="16137" max="16137" width="17.7109375" style="108" customWidth="1"/>
    <col min="16138" max="16384" width="9.140625" style="108"/>
  </cols>
  <sheetData>
    <row r="1" spans="1:9" s="105" customFormat="1" ht="14.25" x14ac:dyDescent="0.25">
      <c r="A1" s="104"/>
      <c r="B1" s="104"/>
      <c r="C1" s="104"/>
      <c r="D1" s="104"/>
      <c r="E1" s="104"/>
      <c r="I1" s="106" t="s">
        <v>449</v>
      </c>
    </row>
    <row r="2" spans="1:9" s="105" customFormat="1" ht="14.25" x14ac:dyDescent="0.25">
      <c r="A2" s="104"/>
      <c r="B2" s="104"/>
      <c r="C2" s="104"/>
      <c r="D2" s="104"/>
      <c r="E2" s="104"/>
      <c r="I2" s="106" t="s">
        <v>13</v>
      </c>
    </row>
    <row r="3" spans="1:9" s="105" customFormat="1" ht="14.25" x14ac:dyDescent="0.25">
      <c r="A3" s="104"/>
      <c r="B3" s="104"/>
      <c r="C3" s="104"/>
      <c r="D3" s="104"/>
      <c r="E3" s="104"/>
      <c r="I3" s="106" t="s">
        <v>150</v>
      </c>
    </row>
    <row r="4" spans="1:9" s="105" customFormat="1" ht="14.25" x14ac:dyDescent="0.25">
      <c r="A4" s="104"/>
      <c r="B4" s="104"/>
      <c r="C4" s="104"/>
      <c r="D4" s="104"/>
      <c r="E4" s="104"/>
      <c r="I4" s="106"/>
    </row>
    <row r="5" spans="1:9" s="105" customFormat="1" ht="44.25" customHeight="1" x14ac:dyDescent="0.25">
      <c r="A5" s="360" t="s">
        <v>217</v>
      </c>
      <c r="B5" s="360"/>
      <c r="C5" s="360"/>
      <c r="D5" s="360"/>
      <c r="E5" s="360"/>
      <c r="F5" s="360"/>
      <c r="G5" s="360"/>
      <c r="H5" s="360"/>
      <c r="I5" s="360"/>
    </row>
    <row r="6" spans="1:9" s="105" customFormat="1" ht="33.75" customHeight="1" x14ac:dyDescent="0.25">
      <c r="A6" s="182"/>
      <c r="B6" s="182"/>
      <c r="C6" s="182"/>
      <c r="D6" s="182"/>
      <c r="E6" s="182"/>
      <c r="F6" s="182"/>
      <c r="G6" s="182"/>
      <c r="H6" s="182"/>
      <c r="I6" s="182"/>
    </row>
    <row r="7" spans="1:9" s="105" customFormat="1" ht="40.5" customHeight="1" x14ac:dyDescent="0.25">
      <c r="A7" s="361" t="s">
        <v>151</v>
      </c>
      <c r="B7" s="362"/>
      <c r="C7" s="363"/>
      <c r="D7" s="338" t="s">
        <v>6</v>
      </c>
      <c r="E7" s="339"/>
      <c r="F7" s="339"/>
      <c r="G7" s="339"/>
      <c r="H7" s="339"/>
      <c r="I7" s="340"/>
    </row>
    <row r="8" spans="1:9" s="105" customFormat="1" ht="40.5" customHeight="1" x14ac:dyDescent="0.25">
      <c r="A8" s="364"/>
      <c r="B8" s="365"/>
      <c r="C8" s="366"/>
      <c r="D8" s="338" t="s">
        <v>152</v>
      </c>
      <c r="E8" s="339"/>
      <c r="F8" s="340"/>
      <c r="G8" s="338" t="s">
        <v>396</v>
      </c>
      <c r="H8" s="339"/>
      <c r="I8" s="340"/>
    </row>
    <row r="9" spans="1:9" s="105" customFormat="1" ht="37.5" customHeight="1" x14ac:dyDescent="0.25">
      <c r="A9" s="367"/>
      <c r="B9" s="368"/>
      <c r="C9" s="369"/>
      <c r="D9" s="4" t="s">
        <v>16</v>
      </c>
      <c r="E9" s="4" t="s">
        <v>17</v>
      </c>
      <c r="F9" s="4" t="s">
        <v>7</v>
      </c>
      <c r="G9" s="4" t="s">
        <v>16</v>
      </c>
      <c r="H9" s="4" t="s">
        <v>17</v>
      </c>
      <c r="I9" s="107" t="s">
        <v>7</v>
      </c>
    </row>
    <row r="10" spans="1:9" s="202" customFormat="1" ht="16.5" customHeight="1" x14ac:dyDescent="0.25">
      <c r="A10" s="385" t="s">
        <v>398</v>
      </c>
      <c r="B10" s="386"/>
      <c r="C10" s="386"/>
      <c r="D10" s="386"/>
      <c r="E10" s="387"/>
      <c r="F10" s="203"/>
      <c r="G10" s="203"/>
      <c r="H10" s="203"/>
      <c r="I10" s="203"/>
    </row>
    <row r="11" spans="1:9" s="202" customFormat="1" ht="48" customHeight="1" x14ac:dyDescent="0.25">
      <c r="A11" s="388" t="s">
        <v>399</v>
      </c>
      <c r="B11" s="389"/>
      <c r="C11" s="389"/>
      <c r="D11" s="389"/>
      <c r="E11" s="390"/>
      <c r="F11" s="203"/>
      <c r="G11" s="203"/>
      <c r="H11" s="203"/>
      <c r="I11" s="203"/>
    </row>
    <row r="12" spans="1:9" s="202" customFormat="1" ht="19.5" customHeight="1" x14ac:dyDescent="0.25">
      <c r="A12" s="383" t="s">
        <v>153</v>
      </c>
      <c r="B12" s="384"/>
      <c r="C12" s="243" t="s">
        <v>400</v>
      </c>
      <c r="D12" s="244"/>
      <c r="E12" s="240"/>
      <c r="F12" s="240"/>
      <c r="G12" s="240"/>
      <c r="H12" s="240"/>
      <c r="I12" s="240"/>
    </row>
    <row r="13" spans="1:9" s="202" customFormat="1" ht="23.25" customHeight="1" x14ac:dyDescent="0.25">
      <c r="A13" s="384"/>
      <c r="B13" s="384"/>
      <c r="C13" s="321" t="s">
        <v>409</v>
      </c>
      <c r="D13" s="321"/>
      <c r="E13" s="240"/>
      <c r="F13" s="240"/>
      <c r="G13" s="240"/>
      <c r="H13" s="240"/>
      <c r="I13" s="240"/>
    </row>
    <row r="14" spans="1:9" s="202" customFormat="1" x14ac:dyDescent="0.25">
      <c r="A14" s="320">
        <v>1001</v>
      </c>
      <c r="B14" s="320" t="s">
        <v>397</v>
      </c>
      <c r="C14" s="245" t="s">
        <v>155</v>
      </c>
      <c r="D14" s="245"/>
      <c r="E14" s="240"/>
      <c r="F14" s="240"/>
      <c r="G14" s="240"/>
      <c r="H14" s="240"/>
      <c r="I14" s="240"/>
    </row>
    <row r="15" spans="1:9" s="202" customFormat="1" ht="32.25" customHeight="1" x14ac:dyDescent="0.25">
      <c r="A15" s="320"/>
      <c r="B15" s="320"/>
      <c r="C15" s="321" t="s">
        <v>408</v>
      </c>
      <c r="D15" s="321"/>
      <c r="E15" s="240"/>
      <c r="F15" s="240"/>
      <c r="G15" s="240"/>
      <c r="H15" s="240"/>
      <c r="I15" s="240"/>
    </row>
    <row r="16" spans="1:9" s="202" customFormat="1" ht="24" customHeight="1" x14ac:dyDescent="0.25">
      <c r="A16" s="322" t="s">
        <v>156</v>
      </c>
      <c r="B16" s="322"/>
      <c r="C16" s="188" t="s">
        <v>157</v>
      </c>
      <c r="D16" s="239" t="s">
        <v>158</v>
      </c>
      <c r="E16" s="240"/>
      <c r="F16" s="203"/>
      <c r="G16" s="203"/>
      <c r="H16" s="203"/>
      <c r="I16" s="203"/>
    </row>
    <row r="17" spans="1:9" s="202" customFormat="1" ht="20.25" customHeight="1" x14ac:dyDescent="0.25">
      <c r="A17" s="322" t="s">
        <v>159</v>
      </c>
      <c r="B17" s="322"/>
      <c r="C17" s="188" t="s">
        <v>157</v>
      </c>
      <c r="D17" s="239" t="s">
        <v>158</v>
      </c>
      <c r="E17" s="240"/>
      <c r="F17" s="203"/>
      <c r="G17" s="203"/>
      <c r="H17" s="203"/>
      <c r="I17" s="203"/>
    </row>
    <row r="18" spans="1:9" s="202" customFormat="1" ht="19.5" customHeight="1" x14ac:dyDescent="0.25">
      <c r="A18" s="323" t="s">
        <v>228</v>
      </c>
      <c r="B18" s="323"/>
      <c r="C18" s="188" t="s">
        <v>157</v>
      </c>
      <c r="D18" s="239" t="s">
        <v>158</v>
      </c>
      <c r="E18" s="240"/>
      <c r="F18" s="203"/>
      <c r="G18" s="203"/>
      <c r="H18" s="203"/>
      <c r="I18" s="203"/>
    </row>
    <row r="19" spans="1:9" s="202" customFormat="1" ht="40.5" customHeight="1" x14ac:dyDescent="0.25">
      <c r="A19" s="321" t="s">
        <v>401</v>
      </c>
      <c r="B19" s="321"/>
      <c r="C19" s="321"/>
      <c r="D19" s="241" t="s">
        <v>160</v>
      </c>
      <c r="E19" s="241" t="s">
        <v>160</v>
      </c>
      <c r="F19" s="247" t="s">
        <v>160</v>
      </c>
      <c r="G19" s="247" t="s">
        <v>160</v>
      </c>
      <c r="H19" s="248">
        <v>40000</v>
      </c>
      <c r="I19" s="248">
        <v>40000</v>
      </c>
    </row>
    <row r="20" spans="1:9" s="202" customFormat="1" ht="46.5" customHeight="1" x14ac:dyDescent="0.25">
      <c r="A20" s="321" t="s">
        <v>402</v>
      </c>
      <c r="B20" s="321"/>
      <c r="C20" s="188" t="s">
        <v>157</v>
      </c>
      <c r="D20" s="242"/>
      <c r="E20" s="242"/>
      <c r="F20" s="240"/>
      <c r="G20" s="240"/>
      <c r="H20" s="240"/>
      <c r="I20" s="240"/>
    </row>
    <row r="21" spans="1:9" s="202" customFormat="1" ht="32.25" customHeight="1" x14ac:dyDescent="0.25">
      <c r="A21" s="321" t="s">
        <v>403</v>
      </c>
      <c r="B21" s="321"/>
      <c r="C21" s="246">
        <v>40000</v>
      </c>
      <c r="D21" s="242"/>
      <c r="E21" s="242"/>
      <c r="F21" s="240"/>
      <c r="G21" s="240"/>
      <c r="H21" s="240"/>
      <c r="I21" s="240"/>
    </row>
    <row r="22" spans="1:9" s="202" customFormat="1" ht="17.25" customHeight="1" x14ac:dyDescent="0.25">
      <c r="A22" s="332" t="s">
        <v>404</v>
      </c>
      <c r="B22" s="332"/>
      <c r="C22" s="332"/>
      <c r="D22" s="332"/>
      <c r="E22" s="332"/>
      <c r="F22" s="240"/>
      <c r="G22" s="240"/>
      <c r="H22" s="240"/>
      <c r="I22" s="240"/>
    </row>
    <row r="23" spans="1:9" s="202" customFormat="1" ht="17.25" customHeight="1" x14ac:dyDescent="0.25">
      <c r="A23" s="313" t="s">
        <v>231</v>
      </c>
      <c r="B23" s="313"/>
      <c r="C23" s="313"/>
      <c r="D23" s="313"/>
      <c r="E23" s="313"/>
      <c r="F23" s="240"/>
      <c r="G23" s="240"/>
      <c r="H23" s="240"/>
      <c r="I23" s="240"/>
    </row>
    <row r="24" spans="1:9" s="202" customFormat="1" ht="29.25" customHeight="1" x14ac:dyDescent="0.25">
      <c r="A24" s="313" t="s">
        <v>405</v>
      </c>
      <c r="B24" s="313"/>
      <c r="C24" s="313"/>
      <c r="D24" s="313"/>
      <c r="E24" s="313"/>
      <c r="F24" s="240"/>
      <c r="G24" s="240"/>
      <c r="H24" s="240"/>
      <c r="I24" s="240"/>
    </row>
    <row r="25" spans="1:9" s="202" customFormat="1" ht="60.75" customHeight="1" x14ac:dyDescent="0.25">
      <c r="A25" s="314" t="s">
        <v>406</v>
      </c>
      <c r="B25" s="314"/>
      <c r="C25" s="315" t="s">
        <v>407</v>
      </c>
      <c r="D25" s="315"/>
      <c r="E25" s="315"/>
      <c r="F25" s="240"/>
      <c r="G25" s="240"/>
      <c r="H25" s="240"/>
      <c r="I25" s="240"/>
    </row>
    <row r="26" spans="1:9" s="202" customFormat="1" ht="19.5" customHeight="1" x14ac:dyDescent="0.25">
      <c r="A26" s="316" t="s">
        <v>163</v>
      </c>
      <c r="B26" s="316"/>
      <c r="C26" s="316"/>
      <c r="D26" s="316"/>
      <c r="E26" s="316"/>
      <c r="F26" s="240"/>
      <c r="G26" s="240"/>
      <c r="H26" s="240"/>
      <c r="I26" s="240"/>
    </row>
    <row r="27" spans="1:9" s="202" customFormat="1" ht="27" customHeight="1" x14ac:dyDescent="0.25">
      <c r="A27" s="313" t="s">
        <v>229</v>
      </c>
      <c r="B27" s="313"/>
      <c r="C27" s="313"/>
      <c r="D27" s="313"/>
      <c r="E27" s="313"/>
      <c r="F27" s="240"/>
      <c r="G27" s="240"/>
      <c r="H27" s="240"/>
      <c r="I27" s="240"/>
    </row>
    <row r="28" spans="1:9" s="202" customFormat="1" ht="20.25" customHeight="1" x14ac:dyDescent="0.25">
      <c r="A28" s="316" t="s">
        <v>162</v>
      </c>
      <c r="B28" s="316"/>
      <c r="C28" s="316"/>
      <c r="D28" s="316"/>
      <c r="E28" s="316"/>
      <c r="F28" s="240"/>
      <c r="G28" s="240"/>
      <c r="H28" s="240"/>
      <c r="I28" s="240"/>
    </row>
    <row r="29" spans="1:9" s="202" customFormat="1" ht="32.25" customHeight="1" x14ac:dyDescent="0.25">
      <c r="A29" s="313" t="s">
        <v>230</v>
      </c>
      <c r="B29" s="313"/>
      <c r="C29" s="313"/>
      <c r="D29" s="313"/>
      <c r="E29" s="313"/>
      <c r="F29" s="240"/>
      <c r="G29" s="240"/>
      <c r="H29" s="240"/>
      <c r="I29" s="240"/>
    </row>
    <row r="30" spans="1:9" s="105" customFormat="1" ht="16.5" customHeight="1" x14ac:dyDescent="0.25">
      <c r="A30" s="370" t="s">
        <v>169</v>
      </c>
      <c r="B30" s="371"/>
      <c r="C30" s="371"/>
      <c r="D30" s="371"/>
      <c r="E30" s="371"/>
      <c r="F30" s="371"/>
      <c r="G30" s="371"/>
      <c r="H30" s="371"/>
      <c r="I30" s="372"/>
    </row>
    <row r="31" spans="1:9" s="105" customFormat="1" ht="24.75" customHeight="1" x14ac:dyDescent="0.25">
      <c r="A31" s="377" t="s">
        <v>153</v>
      </c>
      <c r="B31" s="378"/>
      <c r="C31" s="139" t="s">
        <v>154</v>
      </c>
      <c r="D31" s="140"/>
      <c r="E31" s="140"/>
      <c r="F31" s="141"/>
      <c r="G31" s="141"/>
      <c r="H31" s="141"/>
      <c r="I31" s="142"/>
    </row>
    <row r="32" spans="1:9" s="105" customFormat="1" ht="12.75" customHeight="1" x14ac:dyDescent="0.25">
      <c r="A32" s="379"/>
      <c r="B32" s="380"/>
      <c r="C32" s="373" t="s">
        <v>59</v>
      </c>
      <c r="D32" s="374"/>
      <c r="E32" s="374"/>
      <c r="F32" s="374"/>
      <c r="G32" s="183"/>
      <c r="H32" s="183"/>
      <c r="I32" s="143"/>
    </row>
    <row r="33" spans="1:9" s="105" customFormat="1" ht="40.5" customHeight="1" x14ac:dyDescent="0.25">
      <c r="A33" s="381">
        <v>1049</v>
      </c>
      <c r="B33" s="381" t="s">
        <v>170</v>
      </c>
      <c r="C33" s="144" t="s">
        <v>155</v>
      </c>
      <c r="D33" s="145"/>
      <c r="E33" s="145"/>
      <c r="F33" s="141"/>
      <c r="G33" s="141"/>
      <c r="H33" s="141"/>
      <c r="I33" s="201"/>
    </row>
    <row r="34" spans="1:9" s="105" customFormat="1" x14ac:dyDescent="0.25">
      <c r="A34" s="382"/>
      <c r="B34" s="382"/>
      <c r="C34" s="375" t="s">
        <v>171</v>
      </c>
      <c r="D34" s="376"/>
      <c r="E34" s="376"/>
      <c r="F34" s="376"/>
      <c r="G34" s="184"/>
      <c r="H34" s="184"/>
      <c r="I34" s="143"/>
    </row>
    <row r="35" spans="1:9" s="105" customFormat="1" ht="32.25" customHeight="1" x14ac:dyDescent="0.25">
      <c r="A35" s="324" t="s">
        <v>156</v>
      </c>
      <c r="B35" s="325"/>
      <c r="C35" s="138" t="s">
        <v>172</v>
      </c>
      <c r="D35" s="138"/>
      <c r="E35" s="138"/>
      <c r="F35" s="166">
        <f>SUM(F36:F38)</f>
        <v>61.22</v>
      </c>
      <c r="G35" s="138"/>
      <c r="H35" s="138"/>
      <c r="I35" s="146"/>
    </row>
    <row r="36" spans="1:9" s="105" customFormat="1" ht="24" customHeight="1" x14ac:dyDescent="0.25">
      <c r="A36" s="185"/>
      <c r="B36" s="186"/>
      <c r="C36" s="138" t="s">
        <v>173</v>
      </c>
      <c r="D36" s="138"/>
      <c r="E36" s="138"/>
      <c r="F36" s="166">
        <v>39.83</v>
      </c>
      <c r="G36" s="138"/>
      <c r="H36" s="138"/>
      <c r="I36" s="146"/>
    </row>
    <row r="37" spans="1:9" s="105" customFormat="1" ht="20.25" customHeight="1" x14ac:dyDescent="0.25">
      <c r="A37" s="185"/>
      <c r="B37" s="186"/>
      <c r="C37" s="138" t="s">
        <v>174</v>
      </c>
      <c r="D37" s="138"/>
      <c r="E37" s="138"/>
      <c r="F37" s="167">
        <v>2</v>
      </c>
      <c r="G37" s="147"/>
      <c r="H37" s="147"/>
      <c r="I37" s="146"/>
    </row>
    <row r="38" spans="1:9" s="105" customFormat="1" x14ac:dyDescent="0.25">
      <c r="A38" s="185"/>
      <c r="B38" s="186"/>
      <c r="C38" s="138" t="s">
        <v>175</v>
      </c>
      <c r="D38" s="138"/>
      <c r="E38" s="138"/>
      <c r="F38" s="167">
        <f>20.24-0.85</f>
        <v>19.389999999999997</v>
      </c>
      <c r="G38" s="147"/>
      <c r="H38" s="147"/>
      <c r="I38" s="146"/>
    </row>
    <row r="39" spans="1:9" s="105" customFormat="1" ht="24.75" customHeight="1" x14ac:dyDescent="0.25">
      <c r="A39" s="185"/>
      <c r="B39" s="186"/>
      <c r="C39" s="138" t="s">
        <v>216</v>
      </c>
      <c r="D39" s="138"/>
      <c r="E39" s="147"/>
      <c r="F39" s="147">
        <v>20</v>
      </c>
      <c r="G39" s="147"/>
      <c r="H39" s="147"/>
      <c r="I39" s="146"/>
    </row>
    <row r="40" spans="1:9" s="105" customFormat="1" ht="27.75" customHeight="1" x14ac:dyDescent="0.25">
      <c r="A40" s="317" t="s">
        <v>159</v>
      </c>
      <c r="B40" s="319"/>
      <c r="C40" s="138" t="s">
        <v>176</v>
      </c>
      <c r="D40" s="138"/>
      <c r="E40" s="138"/>
      <c r="F40" s="147"/>
      <c r="G40" s="147"/>
      <c r="H40" s="147"/>
      <c r="I40" s="146"/>
    </row>
    <row r="41" spans="1:9" s="105" customFormat="1" ht="30" customHeight="1" x14ac:dyDescent="0.25">
      <c r="A41" s="181"/>
      <c r="B41" s="181"/>
      <c r="C41" s="138" t="s">
        <v>177</v>
      </c>
      <c r="D41" s="138"/>
      <c r="E41" s="138"/>
      <c r="F41" s="147"/>
      <c r="G41" s="147"/>
      <c r="H41" s="147"/>
      <c r="I41" s="146"/>
    </row>
    <row r="42" spans="1:9" s="105" customFormat="1" ht="30.75" customHeight="1" x14ac:dyDescent="0.25">
      <c r="A42" s="181"/>
      <c r="B42" s="181"/>
      <c r="C42" s="138" t="s">
        <v>178</v>
      </c>
      <c r="D42" s="138"/>
      <c r="E42" s="138"/>
      <c r="F42" s="147"/>
      <c r="G42" s="147"/>
      <c r="H42" s="147"/>
      <c r="I42" s="146"/>
    </row>
    <row r="43" spans="1:9" s="105" customFormat="1" ht="45.75" customHeight="1" x14ac:dyDescent="0.25">
      <c r="A43" s="181"/>
      <c r="B43" s="181"/>
      <c r="C43" s="138" t="s">
        <v>179</v>
      </c>
      <c r="D43" s="138"/>
      <c r="E43" s="138"/>
      <c r="F43" s="147"/>
      <c r="G43" s="147"/>
      <c r="H43" s="147"/>
      <c r="I43" s="146"/>
    </row>
    <row r="44" spans="1:9" s="105" customFormat="1" ht="29.25" customHeight="1" x14ac:dyDescent="0.25">
      <c r="A44" s="330" t="s">
        <v>180</v>
      </c>
      <c r="B44" s="330"/>
      <c r="C44" s="331"/>
      <c r="D44" s="148" t="s">
        <v>160</v>
      </c>
      <c r="E44" s="148" t="s">
        <v>160</v>
      </c>
      <c r="F44" s="148" t="s">
        <v>160</v>
      </c>
      <c r="G44" s="168">
        <v>-135018.5</v>
      </c>
      <c r="H44" s="168">
        <v>-278699.90000000037</v>
      </c>
      <c r="I44" s="168">
        <v>-354663.79999999981</v>
      </c>
    </row>
    <row r="45" spans="1:9" s="105" customFormat="1" ht="24.75" customHeight="1" x14ac:dyDescent="0.25">
      <c r="A45" s="329" t="s">
        <v>181</v>
      </c>
      <c r="B45" s="330"/>
      <c r="C45" s="331"/>
      <c r="D45" s="187"/>
      <c r="E45" s="187"/>
      <c r="F45" s="146"/>
      <c r="G45" s="146"/>
      <c r="H45" s="146"/>
      <c r="I45" s="153"/>
    </row>
    <row r="46" spans="1:9" s="105" customFormat="1" ht="29.25" customHeight="1" x14ac:dyDescent="0.25">
      <c r="A46" s="326" t="s">
        <v>182</v>
      </c>
      <c r="B46" s="327"/>
      <c r="C46" s="328"/>
      <c r="D46" s="188"/>
      <c r="E46" s="188"/>
      <c r="F46" s="146"/>
      <c r="G46" s="146"/>
      <c r="H46" s="146"/>
      <c r="I46" s="153"/>
    </row>
    <row r="47" spans="1:9" s="105" customFormat="1" ht="24.75" customHeight="1" x14ac:dyDescent="0.25">
      <c r="A47" s="317" t="s">
        <v>161</v>
      </c>
      <c r="B47" s="318"/>
      <c r="C47" s="318"/>
      <c r="D47" s="318"/>
      <c r="E47" s="318"/>
      <c r="F47" s="318"/>
      <c r="G47" s="318"/>
      <c r="H47" s="318"/>
      <c r="I47" s="319"/>
    </row>
    <row r="48" spans="1:9" s="105" customFormat="1" ht="26.25" customHeight="1" x14ac:dyDescent="0.25">
      <c r="A48" s="317" t="s">
        <v>165</v>
      </c>
      <c r="B48" s="318"/>
      <c r="C48" s="318"/>
      <c r="D48" s="318"/>
      <c r="E48" s="318"/>
      <c r="F48" s="318"/>
      <c r="G48" s="318"/>
      <c r="H48" s="318"/>
      <c r="I48" s="319"/>
    </row>
    <row r="49" spans="1:9" s="105" customFormat="1" ht="21.75" customHeight="1" x14ac:dyDescent="0.25">
      <c r="A49" s="333" t="s">
        <v>162</v>
      </c>
      <c r="B49" s="334"/>
      <c r="C49" s="334"/>
      <c r="D49" s="334"/>
      <c r="E49" s="334"/>
      <c r="F49" s="334"/>
      <c r="G49" s="334"/>
      <c r="H49" s="334"/>
      <c r="I49" s="335"/>
    </row>
    <row r="50" spans="1:9" s="105" customFormat="1" ht="34.5" customHeight="1" x14ac:dyDescent="0.25">
      <c r="A50" s="317" t="s">
        <v>166</v>
      </c>
      <c r="B50" s="318"/>
      <c r="C50" s="318"/>
      <c r="D50" s="318"/>
      <c r="E50" s="318"/>
      <c r="F50" s="318"/>
      <c r="G50" s="318"/>
      <c r="H50" s="318"/>
      <c r="I50" s="319"/>
    </row>
    <row r="51" spans="1:9" ht="18.75" customHeight="1" x14ac:dyDescent="0.25">
      <c r="A51" s="351" t="s">
        <v>153</v>
      </c>
      <c r="B51" s="352"/>
      <c r="C51" s="357" t="s">
        <v>167</v>
      </c>
      <c r="D51" s="358"/>
      <c r="E51" s="358"/>
      <c r="F51" s="358"/>
      <c r="G51" s="358"/>
      <c r="H51" s="358"/>
      <c r="I51" s="359"/>
    </row>
    <row r="52" spans="1:9" ht="13.5" customHeight="1" x14ac:dyDescent="0.25">
      <c r="A52" s="353"/>
      <c r="B52" s="354"/>
      <c r="C52" s="348"/>
      <c r="D52" s="349"/>
      <c r="E52" s="349"/>
      <c r="F52" s="349"/>
      <c r="G52" s="349"/>
      <c r="H52" s="349"/>
      <c r="I52" s="350"/>
    </row>
    <row r="53" spans="1:9" ht="14.25" customHeight="1" x14ac:dyDescent="0.25">
      <c r="A53" s="355"/>
      <c r="B53" s="356"/>
      <c r="C53" s="348" t="s">
        <v>183</v>
      </c>
      <c r="D53" s="349"/>
      <c r="E53" s="349"/>
      <c r="F53" s="349"/>
      <c r="G53" s="349"/>
      <c r="H53" s="349"/>
      <c r="I53" s="350"/>
    </row>
    <row r="54" spans="1:9" ht="14.25" customHeight="1" x14ac:dyDescent="0.25">
      <c r="A54" s="346">
        <v>1049</v>
      </c>
      <c r="B54" s="346" t="s">
        <v>184</v>
      </c>
      <c r="C54" s="348" t="s">
        <v>168</v>
      </c>
      <c r="D54" s="349"/>
      <c r="E54" s="349"/>
      <c r="F54" s="349"/>
      <c r="G54" s="349"/>
      <c r="H54" s="349"/>
      <c r="I54" s="350"/>
    </row>
    <row r="55" spans="1:9" ht="14.25" customHeight="1" x14ac:dyDescent="0.25">
      <c r="A55" s="347"/>
      <c r="B55" s="347"/>
      <c r="C55" s="348" t="s">
        <v>185</v>
      </c>
      <c r="D55" s="349"/>
      <c r="E55" s="349"/>
      <c r="F55" s="349"/>
      <c r="G55" s="349"/>
      <c r="H55" s="349"/>
      <c r="I55" s="350"/>
    </row>
    <row r="56" spans="1:9" ht="30.75" customHeight="1" x14ac:dyDescent="0.25">
      <c r="A56" s="341" t="s">
        <v>156</v>
      </c>
      <c r="B56" s="342"/>
      <c r="C56" s="149" t="s">
        <v>186</v>
      </c>
      <c r="D56" s="156"/>
      <c r="E56" s="156"/>
      <c r="F56" s="154">
        <v>10</v>
      </c>
      <c r="G56" s="154"/>
      <c r="H56" s="154"/>
      <c r="I56" s="152"/>
    </row>
    <row r="57" spans="1:9" ht="18.75" customHeight="1" x14ac:dyDescent="0.25">
      <c r="A57" s="149"/>
      <c r="B57" s="155"/>
      <c r="C57" s="149" t="s">
        <v>164</v>
      </c>
      <c r="D57" s="156"/>
      <c r="E57" s="156"/>
      <c r="F57" s="154">
        <v>10</v>
      </c>
      <c r="G57" s="154"/>
      <c r="H57" s="154"/>
      <c r="I57" s="152"/>
    </row>
    <row r="58" spans="1:9" ht="18.75" customHeight="1" x14ac:dyDescent="0.25">
      <c r="A58" s="149"/>
      <c r="B58" s="155"/>
      <c r="C58" s="149" t="s">
        <v>187</v>
      </c>
      <c r="D58" s="156"/>
      <c r="E58" s="156"/>
      <c r="F58" s="156">
        <v>215</v>
      </c>
      <c r="G58" s="156"/>
      <c r="H58" s="156"/>
      <c r="I58" s="152"/>
    </row>
    <row r="59" spans="1:9" s="105" customFormat="1" ht="24.75" customHeight="1" x14ac:dyDescent="0.25">
      <c r="A59" s="236"/>
      <c r="B59" s="237"/>
      <c r="C59" s="138" t="s">
        <v>216</v>
      </c>
      <c r="D59" s="138"/>
      <c r="E59" s="147"/>
      <c r="F59" s="147">
        <v>4</v>
      </c>
      <c r="G59" s="147"/>
      <c r="H59" s="147"/>
      <c r="I59" s="146"/>
    </row>
    <row r="60" spans="1:9" ht="26.25" customHeight="1" x14ac:dyDescent="0.25">
      <c r="A60" s="341" t="s">
        <v>159</v>
      </c>
      <c r="B60" s="342"/>
      <c r="C60" s="149" t="s">
        <v>157</v>
      </c>
      <c r="D60" s="156"/>
      <c r="E60" s="156"/>
      <c r="F60" s="156"/>
      <c r="G60" s="156"/>
      <c r="H60" s="156"/>
      <c r="I60" s="152"/>
    </row>
    <row r="61" spans="1:9" ht="39.75" customHeight="1" x14ac:dyDescent="0.25">
      <c r="A61" s="341" t="s">
        <v>188</v>
      </c>
      <c r="B61" s="343"/>
      <c r="C61" s="343"/>
      <c r="D61" s="150" t="s">
        <v>160</v>
      </c>
      <c r="E61" s="150" t="s">
        <v>160</v>
      </c>
      <c r="F61" s="150" t="s">
        <v>160</v>
      </c>
      <c r="G61" s="169">
        <v>135018.5</v>
      </c>
      <c r="H61" s="169">
        <v>238699.9</v>
      </c>
      <c r="I61" s="170">
        <v>314663.8</v>
      </c>
    </row>
    <row r="62" spans="1:9" x14ac:dyDescent="0.25">
      <c r="A62" s="344" t="s">
        <v>189</v>
      </c>
      <c r="B62" s="345"/>
      <c r="C62" s="345"/>
      <c r="D62" s="158"/>
      <c r="E62" s="158"/>
      <c r="F62" s="151"/>
      <c r="G62" s="151"/>
      <c r="H62" s="151"/>
      <c r="I62" s="152"/>
    </row>
    <row r="63" spans="1:9" ht="43.5" customHeight="1" x14ac:dyDescent="0.25">
      <c r="A63" s="341" t="s">
        <v>190</v>
      </c>
      <c r="B63" s="343"/>
      <c r="C63" s="343"/>
      <c r="D63" s="156"/>
      <c r="E63" s="156"/>
      <c r="F63" s="151"/>
      <c r="G63" s="151"/>
      <c r="H63" s="151"/>
      <c r="I63" s="157"/>
    </row>
    <row r="64" spans="1:9" ht="31.5" customHeight="1" x14ac:dyDescent="0.25">
      <c r="A64" s="317" t="s">
        <v>163</v>
      </c>
      <c r="B64" s="318"/>
      <c r="C64" s="318"/>
      <c r="D64" s="318"/>
      <c r="E64" s="318"/>
      <c r="F64" s="318"/>
      <c r="G64" s="318"/>
      <c r="H64" s="318"/>
      <c r="I64" s="319"/>
    </row>
    <row r="65" spans="1:9" ht="28.5" customHeight="1" x14ac:dyDescent="0.25">
      <c r="A65" s="317" t="s">
        <v>165</v>
      </c>
      <c r="B65" s="318"/>
      <c r="C65" s="318"/>
      <c r="D65" s="318"/>
      <c r="E65" s="318"/>
      <c r="F65" s="318"/>
      <c r="G65" s="318"/>
      <c r="H65" s="318"/>
      <c r="I65" s="319"/>
    </row>
    <row r="66" spans="1:9" s="105" customFormat="1" ht="21.75" customHeight="1" x14ac:dyDescent="0.25">
      <c r="A66" s="333" t="s">
        <v>162</v>
      </c>
      <c r="B66" s="334"/>
      <c r="C66" s="334"/>
      <c r="D66" s="334"/>
      <c r="E66" s="334"/>
      <c r="F66" s="334"/>
      <c r="G66" s="334"/>
      <c r="H66" s="334"/>
      <c r="I66" s="335"/>
    </row>
    <row r="67" spans="1:9" s="105" customFormat="1" ht="34.5" customHeight="1" x14ac:dyDescent="0.25">
      <c r="A67" s="317" t="s">
        <v>166</v>
      </c>
      <c r="B67" s="318"/>
      <c r="C67" s="336"/>
      <c r="D67" s="336"/>
      <c r="E67" s="336"/>
      <c r="F67" s="336"/>
      <c r="G67" s="336"/>
      <c r="H67" s="336"/>
      <c r="I67" s="337"/>
    </row>
  </sheetData>
  <mergeCells count="59">
    <mergeCell ref="A5:I5"/>
    <mergeCell ref="A7:C9"/>
    <mergeCell ref="A30:I30"/>
    <mergeCell ref="C32:F32"/>
    <mergeCell ref="C34:F34"/>
    <mergeCell ref="A31:B32"/>
    <mergeCell ref="A33:A34"/>
    <mergeCell ref="B33:B34"/>
    <mergeCell ref="A12:B13"/>
    <mergeCell ref="C13:D13"/>
    <mergeCell ref="D7:I7"/>
    <mergeCell ref="A10:E10"/>
    <mergeCell ref="A11:E11"/>
    <mergeCell ref="A27:E27"/>
    <mergeCell ref="A28:E28"/>
    <mergeCell ref="A29:E29"/>
    <mergeCell ref="A49:I49"/>
    <mergeCell ref="A50:I50"/>
    <mergeCell ref="A51:B53"/>
    <mergeCell ref="C51:I51"/>
    <mergeCell ref="C52:I52"/>
    <mergeCell ref="C53:I53"/>
    <mergeCell ref="A66:I66"/>
    <mergeCell ref="A67:I67"/>
    <mergeCell ref="G8:I8"/>
    <mergeCell ref="A60:B60"/>
    <mergeCell ref="A61:C61"/>
    <mergeCell ref="A62:C62"/>
    <mergeCell ref="A63:C63"/>
    <mergeCell ref="A64:I64"/>
    <mergeCell ref="A65:I65"/>
    <mergeCell ref="A54:A55"/>
    <mergeCell ref="B54:B55"/>
    <mergeCell ref="C54:I54"/>
    <mergeCell ref="C55:I55"/>
    <mergeCell ref="A56:B56"/>
    <mergeCell ref="D8:F8"/>
    <mergeCell ref="A48:I48"/>
    <mergeCell ref="A47:I47"/>
    <mergeCell ref="A14:A15"/>
    <mergeCell ref="B14:B15"/>
    <mergeCell ref="C15:D15"/>
    <mergeCell ref="A16:B16"/>
    <mergeCell ref="A17:B17"/>
    <mergeCell ref="A18:B18"/>
    <mergeCell ref="A40:B40"/>
    <mergeCell ref="A35:B35"/>
    <mergeCell ref="A46:C46"/>
    <mergeCell ref="A45:C45"/>
    <mergeCell ref="A22:E22"/>
    <mergeCell ref="A44:C44"/>
    <mergeCell ref="A19:C19"/>
    <mergeCell ref="A20:B20"/>
    <mergeCell ref="A21:B21"/>
    <mergeCell ref="A23:E23"/>
    <mergeCell ref="A24:E24"/>
    <mergeCell ref="A25:B25"/>
    <mergeCell ref="C25:E25"/>
    <mergeCell ref="A26:E26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BreakPreview" zoomScale="91" zoomScaleNormal="100" zoomScaleSheetLayoutView="91" workbookViewId="0">
      <selection activeCell="D16" sqref="D16"/>
    </sheetView>
  </sheetViews>
  <sheetFormatPr defaultRowHeight="15" x14ac:dyDescent="0.25"/>
  <cols>
    <col min="1" max="1" width="8.42578125" style="137" customWidth="1"/>
    <col min="2" max="2" width="11.28515625" style="137" customWidth="1"/>
    <col min="3" max="3" width="13.7109375" style="137" customWidth="1"/>
    <col min="4" max="4" width="45.7109375" style="137" customWidth="1"/>
    <col min="5" max="5" width="26.85546875" style="137" customWidth="1"/>
    <col min="6" max="24" width="0" style="111" hidden="1" customWidth="1"/>
    <col min="25" max="237" width="9.140625" style="111"/>
    <col min="238" max="238" width="8.42578125" style="111" customWidth="1"/>
    <col min="239" max="239" width="11.28515625" style="111" customWidth="1"/>
    <col min="240" max="240" width="16.28515625" style="111" bestFit="1" customWidth="1"/>
    <col min="241" max="241" width="97.42578125" style="111" customWidth="1"/>
    <col min="242" max="242" width="26.85546875" style="111" customWidth="1"/>
    <col min="243" max="261" width="0" style="111" hidden="1" customWidth="1"/>
    <col min="262" max="493" width="9.140625" style="111"/>
    <col min="494" max="494" width="8.42578125" style="111" customWidth="1"/>
    <col min="495" max="495" width="11.28515625" style="111" customWidth="1"/>
    <col min="496" max="496" width="16.28515625" style="111" bestFit="1" customWidth="1"/>
    <col min="497" max="497" width="97.42578125" style="111" customWidth="1"/>
    <col min="498" max="498" width="26.85546875" style="111" customWidth="1"/>
    <col min="499" max="517" width="0" style="111" hidden="1" customWidth="1"/>
    <col min="518" max="749" width="9.140625" style="111"/>
    <col min="750" max="750" width="8.42578125" style="111" customWidth="1"/>
    <col min="751" max="751" width="11.28515625" style="111" customWidth="1"/>
    <col min="752" max="752" width="16.28515625" style="111" bestFit="1" customWidth="1"/>
    <col min="753" max="753" width="97.42578125" style="111" customWidth="1"/>
    <col min="754" max="754" width="26.85546875" style="111" customWidth="1"/>
    <col min="755" max="773" width="0" style="111" hidden="1" customWidth="1"/>
    <col min="774" max="1005" width="9.140625" style="111"/>
    <col min="1006" max="1006" width="8.42578125" style="111" customWidth="1"/>
    <col min="1007" max="1007" width="11.28515625" style="111" customWidth="1"/>
    <col min="1008" max="1008" width="16.28515625" style="111" bestFit="1" customWidth="1"/>
    <col min="1009" max="1009" width="97.42578125" style="111" customWidth="1"/>
    <col min="1010" max="1010" width="26.85546875" style="111" customWidth="1"/>
    <col min="1011" max="1029" width="0" style="111" hidden="1" customWidth="1"/>
    <col min="1030" max="1261" width="9.140625" style="111"/>
    <col min="1262" max="1262" width="8.42578125" style="111" customWidth="1"/>
    <col min="1263" max="1263" width="11.28515625" style="111" customWidth="1"/>
    <col min="1264" max="1264" width="16.28515625" style="111" bestFit="1" customWidth="1"/>
    <col min="1265" max="1265" width="97.42578125" style="111" customWidth="1"/>
    <col min="1266" max="1266" width="26.85546875" style="111" customWidth="1"/>
    <col min="1267" max="1285" width="0" style="111" hidden="1" customWidth="1"/>
    <col min="1286" max="1517" width="9.140625" style="111"/>
    <col min="1518" max="1518" width="8.42578125" style="111" customWidth="1"/>
    <col min="1519" max="1519" width="11.28515625" style="111" customWidth="1"/>
    <col min="1520" max="1520" width="16.28515625" style="111" bestFit="1" customWidth="1"/>
    <col min="1521" max="1521" width="97.42578125" style="111" customWidth="1"/>
    <col min="1522" max="1522" width="26.85546875" style="111" customWidth="1"/>
    <col min="1523" max="1541" width="0" style="111" hidden="1" customWidth="1"/>
    <col min="1542" max="1773" width="9.140625" style="111"/>
    <col min="1774" max="1774" width="8.42578125" style="111" customWidth="1"/>
    <col min="1775" max="1775" width="11.28515625" style="111" customWidth="1"/>
    <col min="1776" max="1776" width="16.28515625" style="111" bestFit="1" customWidth="1"/>
    <col min="1777" max="1777" width="97.42578125" style="111" customWidth="1"/>
    <col min="1778" max="1778" width="26.85546875" style="111" customWidth="1"/>
    <col min="1779" max="1797" width="0" style="111" hidden="1" customWidth="1"/>
    <col min="1798" max="2029" width="9.140625" style="111"/>
    <col min="2030" max="2030" width="8.42578125" style="111" customWidth="1"/>
    <col min="2031" max="2031" width="11.28515625" style="111" customWidth="1"/>
    <col min="2032" max="2032" width="16.28515625" style="111" bestFit="1" customWidth="1"/>
    <col min="2033" max="2033" width="97.42578125" style="111" customWidth="1"/>
    <col min="2034" max="2034" width="26.85546875" style="111" customWidth="1"/>
    <col min="2035" max="2053" width="0" style="111" hidden="1" customWidth="1"/>
    <col min="2054" max="2285" width="9.140625" style="111"/>
    <col min="2286" max="2286" width="8.42578125" style="111" customWidth="1"/>
    <col min="2287" max="2287" width="11.28515625" style="111" customWidth="1"/>
    <col min="2288" max="2288" width="16.28515625" style="111" bestFit="1" customWidth="1"/>
    <col min="2289" max="2289" width="97.42578125" style="111" customWidth="1"/>
    <col min="2290" max="2290" width="26.85546875" style="111" customWidth="1"/>
    <col min="2291" max="2309" width="0" style="111" hidden="1" customWidth="1"/>
    <col min="2310" max="2541" width="9.140625" style="111"/>
    <col min="2542" max="2542" width="8.42578125" style="111" customWidth="1"/>
    <col min="2543" max="2543" width="11.28515625" style="111" customWidth="1"/>
    <col min="2544" max="2544" width="16.28515625" style="111" bestFit="1" customWidth="1"/>
    <col min="2545" max="2545" width="97.42578125" style="111" customWidth="1"/>
    <col min="2546" max="2546" width="26.85546875" style="111" customWidth="1"/>
    <col min="2547" max="2565" width="0" style="111" hidden="1" customWidth="1"/>
    <col min="2566" max="2797" width="9.140625" style="111"/>
    <col min="2798" max="2798" width="8.42578125" style="111" customWidth="1"/>
    <col min="2799" max="2799" width="11.28515625" style="111" customWidth="1"/>
    <col min="2800" max="2800" width="16.28515625" style="111" bestFit="1" customWidth="1"/>
    <col min="2801" max="2801" width="97.42578125" style="111" customWidth="1"/>
    <col min="2802" max="2802" width="26.85546875" style="111" customWidth="1"/>
    <col min="2803" max="2821" width="0" style="111" hidden="1" customWidth="1"/>
    <col min="2822" max="3053" width="9.140625" style="111"/>
    <col min="3054" max="3054" width="8.42578125" style="111" customWidth="1"/>
    <col min="3055" max="3055" width="11.28515625" style="111" customWidth="1"/>
    <col min="3056" max="3056" width="16.28515625" style="111" bestFit="1" customWidth="1"/>
    <col min="3057" max="3057" width="97.42578125" style="111" customWidth="1"/>
    <col min="3058" max="3058" width="26.85546875" style="111" customWidth="1"/>
    <col min="3059" max="3077" width="0" style="111" hidden="1" customWidth="1"/>
    <col min="3078" max="3309" width="9.140625" style="111"/>
    <col min="3310" max="3310" width="8.42578125" style="111" customWidth="1"/>
    <col min="3311" max="3311" width="11.28515625" style="111" customWidth="1"/>
    <col min="3312" max="3312" width="16.28515625" style="111" bestFit="1" customWidth="1"/>
    <col min="3313" max="3313" width="97.42578125" style="111" customWidth="1"/>
    <col min="3314" max="3314" width="26.85546875" style="111" customWidth="1"/>
    <col min="3315" max="3333" width="0" style="111" hidden="1" customWidth="1"/>
    <col min="3334" max="3565" width="9.140625" style="111"/>
    <col min="3566" max="3566" width="8.42578125" style="111" customWidth="1"/>
    <col min="3567" max="3567" width="11.28515625" style="111" customWidth="1"/>
    <col min="3568" max="3568" width="16.28515625" style="111" bestFit="1" customWidth="1"/>
    <col min="3569" max="3569" width="97.42578125" style="111" customWidth="1"/>
    <col min="3570" max="3570" width="26.85546875" style="111" customWidth="1"/>
    <col min="3571" max="3589" width="0" style="111" hidden="1" customWidth="1"/>
    <col min="3590" max="3821" width="9.140625" style="111"/>
    <col min="3822" max="3822" width="8.42578125" style="111" customWidth="1"/>
    <col min="3823" max="3823" width="11.28515625" style="111" customWidth="1"/>
    <col min="3824" max="3824" width="16.28515625" style="111" bestFit="1" customWidth="1"/>
    <col min="3825" max="3825" width="97.42578125" style="111" customWidth="1"/>
    <col min="3826" max="3826" width="26.85546875" style="111" customWidth="1"/>
    <col min="3827" max="3845" width="0" style="111" hidden="1" customWidth="1"/>
    <col min="3846" max="4077" width="9.140625" style="111"/>
    <col min="4078" max="4078" width="8.42578125" style="111" customWidth="1"/>
    <col min="4079" max="4079" width="11.28515625" style="111" customWidth="1"/>
    <col min="4080" max="4080" width="16.28515625" style="111" bestFit="1" customWidth="1"/>
    <col min="4081" max="4081" width="97.42578125" style="111" customWidth="1"/>
    <col min="4082" max="4082" width="26.85546875" style="111" customWidth="1"/>
    <col min="4083" max="4101" width="0" style="111" hidden="1" customWidth="1"/>
    <col min="4102" max="4333" width="9.140625" style="111"/>
    <col min="4334" max="4334" width="8.42578125" style="111" customWidth="1"/>
    <col min="4335" max="4335" width="11.28515625" style="111" customWidth="1"/>
    <col min="4336" max="4336" width="16.28515625" style="111" bestFit="1" customWidth="1"/>
    <col min="4337" max="4337" width="97.42578125" style="111" customWidth="1"/>
    <col min="4338" max="4338" width="26.85546875" style="111" customWidth="1"/>
    <col min="4339" max="4357" width="0" style="111" hidden="1" customWidth="1"/>
    <col min="4358" max="4589" width="9.140625" style="111"/>
    <col min="4590" max="4590" width="8.42578125" style="111" customWidth="1"/>
    <col min="4591" max="4591" width="11.28515625" style="111" customWidth="1"/>
    <col min="4592" max="4592" width="16.28515625" style="111" bestFit="1" customWidth="1"/>
    <col min="4593" max="4593" width="97.42578125" style="111" customWidth="1"/>
    <col min="4594" max="4594" width="26.85546875" style="111" customWidth="1"/>
    <col min="4595" max="4613" width="0" style="111" hidden="1" customWidth="1"/>
    <col min="4614" max="4845" width="9.140625" style="111"/>
    <col min="4846" max="4846" width="8.42578125" style="111" customWidth="1"/>
    <col min="4847" max="4847" width="11.28515625" style="111" customWidth="1"/>
    <col min="4848" max="4848" width="16.28515625" style="111" bestFit="1" customWidth="1"/>
    <col min="4849" max="4849" width="97.42578125" style="111" customWidth="1"/>
    <col min="4850" max="4850" width="26.85546875" style="111" customWidth="1"/>
    <col min="4851" max="4869" width="0" style="111" hidden="1" customWidth="1"/>
    <col min="4870" max="5101" width="9.140625" style="111"/>
    <col min="5102" max="5102" width="8.42578125" style="111" customWidth="1"/>
    <col min="5103" max="5103" width="11.28515625" style="111" customWidth="1"/>
    <col min="5104" max="5104" width="16.28515625" style="111" bestFit="1" customWidth="1"/>
    <col min="5105" max="5105" width="97.42578125" style="111" customWidth="1"/>
    <col min="5106" max="5106" width="26.85546875" style="111" customWidth="1"/>
    <col min="5107" max="5125" width="0" style="111" hidden="1" customWidth="1"/>
    <col min="5126" max="5357" width="9.140625" style="111"/>
    <col min="5358" max="5358" width="8.42578125" style="111" customWidth="1"/>
    <col min="5359" max="5359" width="11.28515625" style="111" customWidth="1"/>
    <col min="5360" max="5360" width="16.28515625" style="111" bestFit="1" customWidth="1"/>
    <col min="5361" max="5361" width="97.42578125" style="111" customWidth="1"/>
    <col min="5362" max="5362" width="26.85546875" style="111" customWidth="1"/>
    <col min="5363" max="5381" width="0" style="111" hidden="1" customWidth="1"/>
    <col min="5382" max="5613" width="9.140625" style="111"/>
    <col min="5614" max="5614" width="8.42578125" style="111" customWidth="1"/>
    <col min="5615" max="5615" width="11.28515625" style="111" customWidth="1"/>
    <col min="5616" max="5616" width="16.28515625" style="111" bestFit="1" customWidth="1"/>
    <col min="5617" max="5617" width="97.42578125" style="111" customWidth="1"/>
    <col min="5618" max="5618" width="26.85546875" style="111" customWidth="1"/>
    <col min="5619" max="5637" width="0" style="111" hidden="1" customWidth="1"/>
    <col min="5638" max="5869" width="9.140625" style="111"/>
    <col min="5870" max="5870" width="8.42578125" style="111" customWidth="1"/>
    <col min="5871" max="5871" width="11.28515625" style="111" customWidth="1"/>
    <col min="5872" max="5872" width="16.28515625" style="111" bestFit="1" customWidth="1"/>
    <col min="5873" max="5873" width="97.42578125" style="111" customWidth="1"/>
    <col min="5874" max="5874" width="26.85546875" style="111" customWidth="1"/>
    <col min="5875" max="5893" width="0" style="111" hidden="1" customWidth="1"/>
    <col min="5894" max="6125" width="9.140625" style="111"/>
    <col min="6126" max="6126" width="8.42578125" style="111" customWidth="1"/>
    <col min="6127" max="6127" width="11.28515625" style="111" customWidth="1"/>
    <col min="6128" max="6128" width="16.28515625" style="111" bestFit="1" customWidth="1"/>
    <col min="6129" max="6129" width="97.42578125" style="111" customWidth="1"/>
    <col min="6130" max="6130" width="26.85546875" style="111" customWidth="1"/>
    <col min="6131" max="6149" width="0" style="111" hidden="1" customWidth="1"/>
    <col min="6150" max="6381" width="9.140625" style="111"/>
    <col min="6382" max="6382" width="8.42578125" style="111" customWidth="1"/>
    <col min="6383" max="6383" width="11.28515625" style="111" customWidth="1"/>
    <col min="6384" max="6384" width="16.28515625" style="111" bestFit="1" customWidth="1"/>
    <col min="6385" max="6385" width="97.42578125" style="111" customWidth="1"/>
    <col min="6386" max="6386" width="26.85546875" style="111" customWidth="1"/>
    <col min="6387" max="6405" width="0" style="111" hidden="1" customWidth="1"/>
    <col min="6406" max="6637" width="9.140625" style="111"/>
    <col min="6638" max="6638" width="8.42578125" style="111" customWidth="1"/>
    <col min="6639" max="6639" width="11.28515625" style="111" customWidth="1"/>
    <col min="6640" max="6640" width="16.28515625" style="111" bestFit="1" customWidth="1"/>
    <col min="6641" max="6641" width="97.42578125" style="111" customWidth="1"/>
    <col min="6642" max="6642" width="26.85546875" style="111" customWidth="1"/>
    <col min="6643" max="6661" width="0" style="111" hidden="1" customWidth="1"/>
    <col min="6662" max="6893" width="9.140625" style="111"/>
    <col min="6894" max="6894" width="8.42578125" style="111" customWidth="1"/>
    <col min="6895" max="6895" width="11.28515625" style="111" customWidth="1"/>
    <col min="6896" max="6896" width="16.28515625" style="111" bestFit="1" customWidth="1"/>
    <col min="6897" max="6897" width="97.42578125" style="111" customWidth="1"/>
    <col min="6898" max="6898" width="26.85546875" style="111" customWidth="1"/>
    <col min="6899" max="6917" width="0" style="111" hidden="1" customWidth="1"/>
    <col min="6918" max="7149" width="9.140625" style="111"/>
    <col min="7150" max="7150" width="8.42578125" style="111" customWidth="1"/>
    <col min="7151" max="7151" width="11.28515625" style="111" customWidth="1"/>
    <col min="7152" max="7152" width="16.28515625" style="111" bestFit="1" customWidth="1"/>
    <col min="7153" max="7153" width="97.42578125" style="111" customWidth="1"/>
    <col min="7154" max="7154" width="26.85546875" style="111" customWidth="1"/>
    <col min="7155" max="7173" width="0" style="111" hidden="1" customWidth="1"/>
    <col min="7174" max="7405" width="9.140625" style="111"/>
    <col min="7406" max="7406" width="8.42578125" style="111" customWidth="1"/>
    <col min="7407" max="7407" width="11.28515625" style="111" customWidth="1"/>
    <col min="7408" max="7408" width="16.28515625" style="111" bestFit="1" customWidth="1"/>
    <col min="7409" max="7409" width="97.42578125" style="111" customWidth="1"/>
    <col min="7410" max="7410" width="26.85546875" style="111" customWidth="1"/>
    <col min="7411" max="7429" width="0" style="111" hidden="1" customWidth="1"/>
    <col min="7430" max="7661" width="9.140625" style="111"/>
    <col min="7662" max="7662" width="8.42578125" style="111" customWidth="1"/>
    <col min="7663" max="7663" width="11.28515625" style="111" customWidth="1"/>
    <col min="7664" max="7664" width="16.28515625" style="111" bestFit="1" customWidth="1"/>
    <col min="7665" max="7665" width="97.42578125" style="111" customWidth="1"/>
    <col min="7666" max="7666" width="26.85546875" style="111" customWidth="1"/>
    <col min="7667" max="7685" width="0" style="111" hidden="1" customWidth="1"/>
    <col min="7686" max="7917" width="9.140625" style="111"/>
    <col min="7918" max="7918" width="8.42578125" style="111" customWidth="1"/>
    <col min="7919" max="7919" width="11.28515625" style="111" customWidth="1"/>
    <col min="7920" max="7920" width="16.28515625" style="111" bestFit="1" customWidth="1"/>
    <col min="7921" max="7921" width="97.42578125" style="111" customWidth="1"/>
    <col min="7922" max="7922" width="26.85546875" style="111" customWidth="1"/>
    <col min="7923" max="7941" width="0" style="111" hidden="1" customWidth="1"/>
    <col min="7942" max="8173" width="9.140625" style="111"/>
    <col min="8174" max="8174" width="8.42578125" style="111" customWidth="1"/>
    <col min="8175" max="8175" width="11.28515625" style="111" customWidth="1"/>
    <col min="8176" max="8176" width="16.28515625" style="111" bestFit="1" customWidth="1"/>
    <col min="8177" max="8177" width="97.42578125" style="111" customWidth="1"/>
    <col min="8178" max="8178" width="26.85546875" style="111" customWidth="1"/>
    <col min="8179" max="8197" width="0" style="111" hidden="1" customWidth="1"/>
    <col min="8198" max="8429" width="9.140625" style="111"/>
    <col min="8430" max="8430" width="8.42578125" style="111" customWidth="1"/>
    <col min="8431" max="8431" width="11.28515625" style="111" customWidth="1"/>
    <col min="8432" max="8432" width="16.28515625" style="111" bestFit="1" customWidth="1"/>
    <col min="8433" max="8433" width="97.42578125" style="111" customWidth="1"/>
    <col min="8434" max="8434" width="26.85546875" style="111" customWidth="1"/>
    <col min="8435" max="8453" width="0" style="111" hidden="1" customWidth="1"/>
    <col min="8454" max="8685" width="9.140625" style="111"/>
    <col min="8686" max="8686" width="8.42578125" style="111" customWidth="1"/>
    <col min="8687" max="8687" width="11.28515625" style="111" customWidth="1"/>
    <col min="8688" max="8688" width="16.28515625" style="111" bestFit="1" customWidth="1"/>
    <col min="8689" max="8689" width="97.42578125" style="111" customWidth="1"/>
    <col min="8690" max="8690" width="26.85546875" style="111" customWidth="1"/>
    <col min="8691" max="8709" width="0" style="111" hidden="1" customWidth="1"/>
    <col min="8710" max="8941" width="9.140625" style="111"/>
    <col min="8942" max="8942" width="8.42578125" style="111" customWidth="1"/>
    <col min="8943" max="8943" width="11.28515625" style="111" customWidth="1"/>
    <col min="8944" max="8944" width="16.28515625" style="111" bestFit="1" customWidth="1"/>
    <col min="8945" max="8945" width="97.42578125" style="111" customWidth="1"/>
    <col min="8946" max="8946" width="26.85546875" style="111" customWidth="1"/>
    <col min="8947" max="8965" width="0" style="111" hidden="1" customWidth="1"/>
    <col min="8966" max="9197" width="9.140625" style="111"/>
    <col min="9198" max="9198" width="8.42578125" style="111" customWidth="1"/>
    <col min="9199" max="9199" width="11.28515625" style="111" customWidth="1"/>
    <col min="9200" max="9200" width="16.28515625" style="111" bestFit="1" customWidth="1"/>
    <col min="9201" max="9201" width="97.42578125" style="111" customWidth="1"/>
    <col min="9202" max="9202" width="26.85546875" style="111" customWidth="1"/>
    <col min="9203" max="9221" width="0" style="111" hidden="1" customWidth="1"/>
    <col min="9222" max="9453" width="9.140625" style="111"/>
    <col min="9454" max="9454" width="8.42578125" style="111" customWidth="1"/>
    <col min="9455" max="9455" width="11.28515625" style="111" customWidth="1"/>
    <col min="9456" max="9456" width="16.28515625" style="111" bestFit="1" customWidth="1"/>
    <col min="9457" max="9457" width="97.42578125" style="111" customWidth="1"/>
    <col min="9458" max="9458" width="26.85546875" style="111" customWidth="1"/>
    <col min="9459" max="9477" width="0" style="111" hidden="1" customWidth="1"/>
    <col min="9478" max="9709" width="9.140625" style="111"/>
    <col min="9710" max="9710" width="8.42578125" style="111" customWidth="1"/>
    <col min="9711" max="9711" width="11.28515625" style="111" customWidth="1"/>
    <col min="9712" max="9712" width="16.28515625" style="111" bestFit="1" customWidth="1"/>
    <col min="9713" max="9713" width="97.42578125" style="111" customWidth="1"/>
    <col min="9714" max="9714" width="26.85546875" style="111" customWidth="1"/>
    <col min="9715" max="9733" width="0" style="111" hidden="1" customWidth="1"/>
    <col min="9734" max="9965" width="9.140625" style="111"/>
    <col min="9966" max="9966" width="8.42578125" style="111" customWidth="1"/>
    <col min="9967" max="9967" width="11.28515625" style="111" customWidth="1"/>
    <col min="9968" max="9968" width="16.28515625" style="111" bestFit="1" customWidth="1"/>
    <col min="9969" max="9969" width="97.42578125" style="111" customWidth="1"/>
    <col min="9970" max="9970" width="26.85546875" style="111" customWidth="1"/>
    <col min="9971" max="9989" width="0" style="111" hidden="1" customWidth="1"/>
    <col min="9990" max="10221" width="9.140625" style="111"/>
    <col min="10222" max="10222" width="8.42578125" style="111" customWidth="1"/>
    <col min="10223" max="10223" width="11.28515625" style="111" customWidth="1"/>
    <col min="10224" max="10224" width="16.28515625" style="111" bestFit="1" customWidth="1"/>
    <col min="10225" max="10225" width="97.42578125" style="111" customWidth="1"/>
    <col min="10226" max="10226" width="26.85546875" style="111" customWidth="1"/>
    <col min="10227" max="10245" width="0" style="111" hidden="1" customWidth="1"/>
    <col min="10246" max="10477" width="9.140625" style="111"/>
    <col min="10478" max="10478" width="8.42578125" style="111" customWidth="1"/>
    <col min="10479" max="10479" width="11.28515625" style="111" customWidth="1"/>
    <col min="10480" max="10480" width="16.28515625" style="111" bestFit="1" customWidth="1"/>
    <col min="10481" max="10481" width="97.42578125" style="111" customWidth="1"/>
    <col min="10482" max="10482" width="26.85546875" style="111" customWidth="1"/>
    <col min="10483" max="10501" width="0" style="111" hidden="1" customWidth="1"/>
    <col min="10502" max="10733" width="9.140625" style="111"/>
    <col min="10734" max="10734" width="8.42578125" style="111" customWidth="1"/>
    <col min="10735" max="10735" width="11.28515625" style="111" customWidth="1"/>
    <col min="10736" max="10736" width="16.28515625" style="111" bestFit="1" customWidth="1"/>
    <col min="10737" max="10737" width="97.42578125" style="111" customWidth="1"/>
    <col min="10738" max="10738" width="26.85546875" style="111" customWidth="1"/>
    <col min="10739" max="10757" width="0" style="111" hidden="1" customWidth="1"/>
    <col min="10758" max="10989" width="9.140625" style="111"/>
    <col min="10990" max="10990" width="8.42578125" style="111" customWidth="1"/>
    <col min="10991" max="10991" width="11.28515625" style="111" customWidth="1"/>
    <col min="10992" max="10992" width="16.28515625" style="111" bestFit="1" customWidth="1"/>
    <col min="10993" max="10993" width="97.42578125" style="111" customWidth="1"/>
    <col min="10994" max="10994" width="26.85546875" style="111" customWidth="1"/>
    <col min="10995" max="11013" width="0" style="111" hidden="1" customWidth="1"/>
    <col min="11014" max="11245" width="9.140625" style="111"/>
    <col min="11246" max="11246" width="8.42578125" style="111" customWidth="1"/>
    <col min="11247" max="11247" width="11.28515625" style="111" customWidth="1"/>
    <col min="11248" max="11248" width="16.28515625" style="111" bestFit="1" customWidth="1"/>
    <col min="11249" max="11249" width="97.42578125" style="111" customWidth="1"/>
    <col min="11250" max="11250" width="26.85546875" style="111" customWidth="1"/>
    <col min="11251" max="11269" width="0" style="111" hidden="1" customWidth="1"/>
    <col min="11270" max="11501" width="9.140625" style="111"/>
    <col min="11502" max="11502" width="8.42578125" style="111" customWidth="1"/>
    <col min="11503" max="11503" width="11.28515625" style="111" customWidth="1"/>
    <col min="11504" max="11504" width="16.28515625" style="111" bestFit="1" customWidth="1"/>
    <col min="11505" max="11505" width="97.42578125" style="111" customWidth="1"/>
    <col min="11506" max="11506" width="26.85546875" style="111" customWidth="1"/>
    <col min="11507" max="11525" width="0" style="111" hidden="1" customWidth="1"/>
    <col min="11526" max="11757" width="9.140625" style="111"/>
    <col min="11758" max="11758" width="8.42578125" style="111" customWidth="1"/>
    <col min="11759" max="11759" width="11.28515625" style="111" customWidth="1"/>
    <col min="11760" max="11760" width="16.28515625" style="111" bestFit="1" customWidth="1"/>
    <col min="11761" max="11761" width="97.42578125" style="111" customWidth="1"/>
    <col min="11762" max="11762" width="26.85546875" style="111" customWidth="1"/>
    <col min="11763" max="11781" width="0" style="111" hidden="1" customWidth="1"/>
    <col min="11782" max="12013" width="9.140625" style="111"/>
    <col min="12014" max="12014" width="8.42578125" style="111" customWidth="1"/>
    <col min="12015" max="12015" width="11.28515625" style="111" customWidth="1"/>
    <col min="12016" max="12016" width="16.28515625" style="111" bestFit="1" customWidth="1"/>
    <col min="12017" max="12017" width="97.42578125" style="111" customWidth="1"/>
    <col min="12018" max="12018" width="26.85546875" style="111" customWidth="1"/>
    <col min="12019" max="12037" width="0" style="111" hidden="1" customWidth="1"/>
    <col min="12038" max="12269" width="9.140625" style="111"/>
    <col min="12270" max="12270" width="8.42578125" style="111" customWidth="1"/>
    <col min="12271" max="12271" width="11.28515625" style="111" customWidth="1"/>
    <col min="12272" max="12272" width="16.28515625" style="111" bestFit="1" customWidth="1"/>
    <col min="12273" max="12273" width="97.42578125" style="111" customWidth="1"/>
    <col min="12274" max="12274" width="26.85546875" style="111" customWidth="1"/>
    <col min="12275" max="12293" width="0" style="111" hidden="1" customWidth="1"/>
    <col min="12294" max="12525" width="9.140625" style="111"/>
    <col min="12526" max="12526" width="8.42578125" style="111" customWidth="1"/>
    <col min="12527" max="12527" width="11.28515625" style="111" customWidth="1"/>
    <col min="12528" max="12528" width="16.28515625" style="111" bestFit="1" customWidth="1"/>
    <col min="12529" max="12529" width="97.42578125" style="111" customWidth="1"/>
    <col min="12530" max="12530" width="26.85546875" style="111" customWidth="1"/>
    <col min="12531" max="12549" width="0" style="111" hidden="1" customWidth="1"/>
    <col min="12550" max="12781" width="9.140625" style="111"/>
    <col min="12782" max="12782" width="8.42578125" style="111" customWidth="1"/>
    <col min="12783" max="12783" width="11.28515625" style="111" customWidth="1"/>
    <col min="12784" max="12784" width="16.28515625" style="111" bestFit="1" customWidth="1"/>
    <col min="12785" max="12785" width="97.42578125" style="111" customWidth="1"/>
    <col min="12786" max="12786" width="26.85546875" style="111" customWidth="1"/>
    <col min="12787" max="12805" width="0" style="111" hidden="1" customWidth="1"/>
    <col min="12806" max="13037" width="9.140625" style="111"/>
    <col min="13038" max="13038" width="8.42578125" style="111" customWidth="1"/>
    <col min="13039" max="13039" width="11.28515625" style="111" customWidth="1"/>
    <col min="13040" max="13040" width="16.28515625" style="111" bestFit="1" customWidth="1"/>
    <col min="13041" max="13041" width="97.42578125" style="111" customWidth="1"/>
    <col min="13042" max="13042" width="26.85546875" style="111" customWidth="1"/>
    <col min="13043" max="13061" width="0" style="111" hidden="1" customWidth="1"/>
    <col min="13062" max="13293" width="9.140625" style="111"/>
    <col min="13294" max="13294" width="8.42578125" style="111" customWidth="1"/>
    <col min="13295" max="13295" width="11.28515625" style="111" customWidth="1"/>
    <col min="13296" max="13296" width="16.28515625" style="111" bestFit="1" customWidth="1"/>
    <col min="13297" max="13297" width="97.42578125" style="111" customWidth="1"/>
    <col min="13298" max="13298" width="26.85546875" style="111" customWidth="1"/>
    <col min="13299" max="13317" width="0" style="111" hidden="1" customWidth="1"/>
    <col min="13318" max="13549" width="9.140625" style="111"/>
    <col min="13550" max="13550" width="8.42578125" style="111" customWidth="1"/>
    <col min="13551" max="13551" width="11.28515625" style="111" customWidth="1"/>
    <col min="13552" max="13552" width="16.28515625" style="111" bestFit="1" customWidth="1"/>
    <col min="13553" max="13553" width="97.42578125" style="111" customWidth="1"/>
    <col min="13554" max="13554" width="26.85546875" style="111" customWidth="1"/>
    <col min="13555" max="13573" width="0" style="111" hidden="1" customWidth="1"/>
    <col min="13574" max="13805" width="9.140625" style="111"/>
    <col min="13806" max="13806" width="8.42578125" style="111" customWidth="1"/>
    <col min="13807" max="13807" width="11.28515625" style="111" customWidth="1"/>
    <col min="13808" max="13808" width="16.28515625" style="111" bestFit="1" customWidth="1"/>
    <col min="13809" max="13809" width="97.42578125" style="111" customWidth="1"/>
    <col min="13810" max="13810" width="26.85546875" style="111" customWidth="1"/>
    <col min="13811" max="13829" width="0" style="111" hidden="1" customWidth="1"/>
    <col min="13830" max="14061" width="9.140625" style="111"/>
    <col min="14062" max="14062" width="8.42578125" style="111" customWidth="1"/>
    <col min="14063" max="14063" width="11.28515625" style="111" customWidth="1"/>
    <col min="14064" max="14064" width="16.28515625" style="111" bestFit="1" customWidth="1"/>
    <col min="14065" max="14065" width="97.42578125" style="111" customWidth="1"/>
    <col min="14066" max="14066" width="26.85546875" style="111" customWidth="1"/>
    <col min="14067" max="14085" width="0" style="111" hidden="1" customWidth="1"/>
    <col min="14086" max="14317" width="9.140625" style="111"/>
    <col min="14318" max="14318" width="8.42578125" style="111" customWidth="1"/>
    <col min="14319" max="14319" width="11.28515625" style="111" customWidth="1"/>
    <col min="14320" max="14320" width="16.28515625" style="111" bestFit="1" customWidth="1"/>
    <col min="14321" max="14321" width="97.42578125" style="111" customWidth="1"/>
    <col min="14322" max="14322" width="26.85546875" style="111" customWidth="1"/>
    <col min="14323" max="14341" width="0" style="111" hidden="1" customWidth="1"/>
    <col min="14342" max="14573" width="9.140625" style="111"/>
    <col min="14574" max="14574" width="8.42578125" style="111" customWidth="1"/>
    <col min="14575" max="14575" width="11.28515625" style="111" customWidth="1"/>
    <col min="14576" max="14576" width="16.28515625" style="111" bestFit="1" customWidth="1"/>
    <col min="14577" max="14577" width="97.42578125" style="111" customWidth="1"/>
    <col min="14578" max="14578" width="26.85546875" style="111" customWidth="1"/>
    <col min="14579" max="14597" width="0" style="111" hidden="1" customWidth="1"/>
    <col min="14598" max="14829" width="9.140625" style="111"/>
    <col min="14830" max="14830" width="8.42578125" style="111" customWidth="1"/>
    <col min="14831" max="14831" width="11.28515625" style="111" customWidth="1"/>
    <col min="14832" max="14832" width="16.28515625" style="111" bestFit="1" customWidth="1"/>
    <col min="14833" max="14833" width="97.42578125" style="111" customWidth="1"/>
    <col min="14834" max="14834" width="26.85546875" style="111" customWidth="1"/>
    <col min="14835" max="14853" width="0" style="111" hidden="1" customWidth="1"/>
    <col min="14854" max="15085" width="9.140625" style="111"/>
    <col min="15086" max="15086" width="8.42578125" style="111" customWidth="1"/>
    <col min="15087" max="15087" width="11.28515625" style="111" customWidth="1"/>
    <col min="15088" max="15088" width="16.28515625" style="111" bestFit="1" customWidth="1"/>
    <col min="15089" max="15089" width="97.42578125" style="111" customWidth="1"/>
    <col min="15090" max="15090" width="26.85546875" style="111" customWidth="1"/>
    <col min="15091" max="15109" width="0" style="111" hidden="1" customWidth="1"/>
    <col min="15110" max="15341" width="9.140625" style="111"/>
    <col min="15342" max="15342" width="8.42578125" style="111" customWidth="1"/>
    <col min="15343" max="15343" width="11.28515625" style="111" customWidth="1"/>
    <col min="15344" max="15344" width="16.28515625" style="111" bestFit="1" customWidth="1"/>
    <col min="15345" max="15345" width="97.42578125" style="111" customWidth="1"/>
    <col min="15346" max="15346" width="26.85546875" style="111" customWidth="1"/>
    <col min="15347" max="15365" width="0" style="111" hidden="1" customWidth="1"/>
    <col min="15366" max="15597" width="9.140625" style="111"/>
    <col min="15598" max="15598" width="8.42578125" style="111" customWidth="1"/>
    <col min="15599" max="15599" width="11.28515625" style="111" customWidth="1"/>
    <col min="15600" max="15600" width="16.28515625" style="111" bestFit="1" customWidth="1"/>
    <col min="15601" max="15601" width="97.42578125" style="111" customWidth="1"/>
    <col min="15602" max="15602" width="26.85546875" style="111" customWidth="1"/>
    <col min="15603" max="15621" width="0" style="111" hidden="1" customWidth="1"/>
    <col min="15622" max="15853" width="9.140625" style="111"/>
    <col min="15854" max="15854" width="8.42578125" style="111" customWidth="1"/>
    <col min="15855" max="15855" width="11.28515625" style="111" customWidth="1"/>
    <col min="15856" max="15856" width="16.28515625" style="111" bestFit="1" customWidth="1"/>
    <col min="15857" max="15857" width="97.42578125" style="111" customWidth="1"/>
    <col min="15858" max="15858" width="26.85546875" style="111" customWidth="1"/>
    <col min="15859" max="15877" width="0" style="111" hidden="1" customWidth="1"/>
    <col min="15878" max="16109" width="9.140625" style="111"/>
    <col min="16110" max="16110" width="8.42578125" style="111" customWidth="1"/>
    <col min="16111" max="16111" width="11.28515625" style="111" customWidth="1"/>
    <col min="16112" max="16112" width="16.28515625" style="111" bestFit="1" customWidth="1"/>
    <col min="16113" max="16113" width="97.42578125" style="111" customWidth="1"/>
    <col min="16114" max="16114" width="26.85546875" style="111" customWidth="1"/>
    <col min="16115" max="16133" width="0" style="111" hidden="1" customWidth="1"/>
    <col min="16134" max="16384" width="9.140625" style="111"/>
  </cols>
  <sheetData>
    <row r="1" spans="1:5" ht="20.25" customHeight="1" x14ac:dyDescent="0.25">
      <c r="A1" s="110"/>
      <c r="B1" s="110"/>
      <c r="C1" s="110"/>
      <c r="D1" s="412" t="s">
        <v>86</v>
      </c>
      <c r="E1" s="412"/>
    </row>
    <row r="2" spans="1:5" ht="18" customHeight="1" x14ac:dyDescent="0.25">
      <c r="A2" s="110"/>
      <c r="B2" s="110"/>
      <c r="C2" s="110"/>
      <c r="D2" s="412" t="s">
        <v>13</v>
      </c>
      <c r="E2" s="412"/>
    </row>
    <row r="3" spans="1:5" ht="19.5" customHeight="1" x14ac:dyDescent="0.25">
      <c r="A3" s="110"/>
      <c r="B3" s="110"/>
      <c r="C3" s="110"/>
      <c r="D3" s="412" t="s">
        <v>150</v>
      </c>
      <c r="E3" s="412"/>
    </row>
    <row r="4" spans="1:5" ht="59.25" customHeight="1" x14ac:dyDescent="0.25">
      <c r="A4" s="360" t="s">
        <v>218</v>
      </c>
      <c r="B4" s="360"/>
      <c r="C4" s="360"/>
      <c r="D4" s="360"/>
      <c r="E4" s="360"/>
    </row>
    <row r="5" spans="1:5" ht="24" customHeight="1" x14ac:dyDescent="0.25">
      <c r="A5" s="413" t="s">
        <v>147</v>
      </c>
      <c r="B5" s="413"/>
      <c r="C5" s="413"/>
      <c r="D5" s="413"/>
      <c r="E5" s="413"/>
    </row>
    <row r="6" spans="1:5" ht="15" customHeight="1" x14ac:dyDescent="0.25">
      <c r="A6" s="406" t="s">
        <v>192</v>
      </c>
      <c r="B6" s="406"/>
      <c r="C6" s="406"/>
      <c r="D6" s="406"/>
      <c r="E6" s="406"/>
    </row>
    <row r="7" spans="1:5" ht="72" customHeight="1" x14ac:dyDescent="0.25">
      <c r="A7" s="406" t="s">
        <v>193</v>
      </c>
      <c r="B7" s="406"/>
      <c r="C7" s="406"/>
      <c r="D7" s="406"/>
      <c r="E7" s="406"/>
    </row>
    <row r="8" spans="1:5" ht="17.25" x14ac:dyDescent="0.25">
      <c r="A8" s="112"/>
      <c r="B8" s="112"/>
      <c r="C8" s="112"/>
      <c r="D8" s="113"/>
      <c r="E8" s="113"/>
    </row>
    <row r="9" spans="1:5" s="115" customFormat="1" ht="102.75" customHeight="1" x14ac:dyDescent="0.25">
      <c r="A9" s="407" t="s">
        <v>153</v>
      </c>
      <c r="B9" s="407"/>
      <c r="C9" s="109" t="s">
        <v>194</v>
      </c>
      <c r="D9" s="408" t="s">
        <v>195</v>
      </c>
      <c r="E9" s="114" t="s">
        <v>6</v>
      </c>
    </row>
    <row r="10" spans="1:5" s="115" customFormat="1" ht="61.5" customHeight="1" x14ac:dyDescent="0.25">
      <c r="A10" s="116" t="s">
        <v>196</v>
      </c>
      <c r="B10" s="116" t="s">
        <v>197</v>
      </c>
      <c r="C10" s="109" t="s">
        <v>198</v>
      </c>
      <c r="D10" s="408"/>
      <c r="E10" s="114" t="s">
        <v>219</v>
      </c>
    </row>
    <row r="11" spans="1:5" s="108" customFormat="1" ht="16.5" x14ac:dyDescent="0.25">
      <c r="A11" s="189">
        <v>1001</v>
      </c>
      <c r="B11" s="189"/>
      <c r="C11" s="190"/>
      <c r="D11" s="191" t="s">
        <v>199</v>
      </c>
      <c r="E11" s="192"/>
    </row>
    <row r="12" spans="1:5" s="108" customFormat="1" ht="54" customHeight="1" x14ac:dyDescent="0.3">
      <c r="A12" s="409"/>
      <c r="B12" s="410"/>
      <c r="C12" s="410"/>
      <c r="D12" s="193" t="s">
        <v>224</v>
      </c>
      <c r="E12" s="411">
        <v>40000</v>
      </c>
    </row>
    <row r="13" spans="1:5" s="108" customFormat="1" ht="16.5" x14ac:dyDescent="0.3">
      <c r="A13" s="409"/>
      <c r="B13" s="410"/>
      <c r="C13" s="410"/>
      <c r="D13" s="194" t="s">
        <v>200</v>
      </c>
      <c r="E13" s="411"/>
    </row>
    <row r="14" spans="1:5" s="108" customFormat="1" ht="82.5" x14ac:dyDescent="0.3">
      <c r="A14" s="409"/>
      <c r="B14" s="410"/>
      <c r="C14" s="410"/>
      <c r="D14" s="193" t="s">
        <v>225</v>
      </c>
      <c r="E14" s="411"/>
    </row>
    <row r="15" spans="1:5" s="108" customFormat="1" ht="16.5" x14ac:dyDescent="0.3">
      <c r="A15" s="409"/>
      <c r="B15" s="410"/>
      <c r="C15" s="410"/>
      <c r="D15" s="194" t="s">
        <v>162</v>
      </c>
      <c r="E15" s="411"/>
    </row>
    <row r="16" spans="1:5" s="108" customFormat="1" ht="74.25" customHeight="1" x14ac:dyDescent="0.3">
      <c r="A16" s="409"/>
      <c r="B16" s="410"/>
      <c r="C16" s="410"/>
      <c r="D16" s="195" t="s">
        <v>226</v>
      </c>
      <c r="E16" s="411"/>
    </row>
    <row r="17" spans="1:15" s="108" customFormat="1" ht="39" customHeight="1" x14ac:dyDescent="0.3">
      <c r="A17" s="409"/>
      <c r="B17" s="189"/>
      <c r="C17" s="190"/>
      <c r="D17" s="249" t="s">
        <v>410</v>
      </c>
      <c r="E17" s="192"/>
      <c r="F17" s="250"/>
      <c r="G17" s="250"/>
      <c r="H17" s="251"/>
      <c r="I17" s="251"/>
      <c r="J17" s="251"/>
      <c r="K17" s="251"/>
      <c r="L17" s="252"/>
      <c r="M17" s="252"/>
      <c r="N17" s="252"/>
      <c r="O17" s="252"/>
    </row>
    <row r="18" spans="1:15" s="108" customFormat="1" ht="16.5" x14ac:dyDescent="0.3">
      <c r="A18" s="409"/>
      <c r="B18" s="410" t="s">
        <v>397</v>
      </c>
      <c r="C18" s="410"/>
      <c r="D18" s="197" t="s">
        <v>409</v>
      </c>
      <c r="E18" s="411">
        <v>40000</v>
      </c>
      <c r="F18" s="253"/>
      <c r="G18" s="253"/>
    </row>
    <row r="19" spans="1:15" s="108" customFormat="1" ht="35.25" customHeight="1" x14ac:dyDescent="0.3">
      <c r="A19" s="409"/>
      <c r="B19" s="410"/>
      <c r="C19" s="410"/>
      <c r="D19" s="198" t="s">
        <v>201</v>
      </c>
      <c r="E19" s="411"/>
      <c r="F19" s="253"/>
      <c r="G19" s="253"/>
    </row>
    <row r="20" spans="1:15" s="108" customFormat="1" ht="57.75" customHeight="1" x14ac:dyDescent="0.3">
      <c r="A20" s="409"/>
      <c r="B20" s="410"/>
      <c r="C20" s="410"/>
      <c r="D20" s="199" t="s">
        <v>408</v>
      </c>
      <c r="E20" s="411"/>
    </row>
    <row r="21" spans="1:15" s="108" customFormat="1" ht="20.25" customHeight="1" x14ac:dyDescent="0.3">
      <c r="A21" s="409"/>
      <c r="B21" s="410"/>
      <c r="C21" s="410"/>
      <c r="D21" s="196" t="s">
        <v>404</v>
      </c>
      <c r="E21" s="411"/>
    </row>
    <row r="22" spans="1:15" s="108" customFormat="1" ht="34.5" customHeight="1" x14ac:dyDescent="0.25">
      <c r="A22" s="409"/>
      <c r="B22" s="410"/>
      <c r="C22" s="410"/>
      <c r="D22" s="200" t="s">
        <v>227</v>
      </c>
      <c r="E22" s="411"/>
    </row>
    <row r="23" spans="1:15" s="108" customFormat="1" ht="16.5" x14ac:dyDescent="0.3">
      <c r="A23" s="409"/>
      <c r="B23" s="410"/>
      <c r="C23" s="410"/>
      <c r="D23" s="196" t="s">
        <v>202</v>
      </c>
      <c r="E23" s="411"/>
    </row>
    <row r="24" spans="1:15" s="108" customFormat="1" ht="49.5" x14ac:dyDescent="0.25">
      <c r="A24" s="409"/>
      <c r="B24" s="410"/>
      <c r="C24" s="410"/>
      <c r="D24" s="200" t="s">
        <v>229</v>
      </c>
      <c r="E24" s="411"/>
    </row>
    <row r="25" spans="1:15" ht="52.5" customHeight="1" x14ac:dyDescent="0.25">
      <c r="A25" s="117">
        <v>1049</v>
      </c>
      <c r="B25" s="117"/>
      <c r="C25" s="117"/>
      <c r="D25" s="117" t="s">
        <v>199</v>
      </c>
      <c r="E25" s="118"/>
    </row>
    <row r="26" spans="1:15" s="120" customFormat="1" ht="61.5" customHeight="1" x14ac:dyDescent="0.25">
      <c r="A26" s="391"/>
      <c r="B26" s="391"/>
      <c r="C26" s="391"/>
      <c r="D26" s="119" t="s">
        <v>203</v>
      </c>
      <c r="E26" s="394">
        <f>SUM(E32:E41)</f>
        <v>-40000</v>
      </c>
    </row>
    <row r="27" spans="1:15" s="120" customFormat="1" ht="16.5" x14ac:dyDescent="0.25">
      <c r="A27" s="392"/>
      <c r="B27" s="392"/>
      <c r="C27" s="392"/>
      <c r="D27" s="121" t="s">
        <v>200</v>
      </c>
      <c r="E27" s="395"/>
    </row>
    <row r="28" spans="1:15" s="120" customFormat="1" ht="57" customHeight="1" x14ac:dyDescent="0.25">
      <c r="A28" s="392"/>
      <c r="B28" s="392"/>
      <c r="C28" s="392"/>
      <c r="D28" s="122" t="s">
        <v>204</v>
      </c>
      <c r="E28" s="395"/>
    </row>
    <row r="29" spans="1:15" s="123" customFormat="1" ht="16.5" x14ac:dyDescent="0.25">
      <c r="A29" s="392"/>
      <c r="B29" s="392"/>
      <c r="C29" s="392"/>
      <c r="D29" s="121" t="s">
        <v>162</v>
      </c>
      <c r="E29" s="395"/>
    </row>
    <row r="30" spans="1:15" s="124" customFormat="1" ht="132" x14ac:dyDescent="0.25">
      <c r="A30" s="393"/>
      <c r="B30" s="393"/>
      <c r="C30" s="393"/>
      <c r="D30" s="122" t="s">
        <v>205</v>
      </c>
      <c r="E30" s="396"/>
    </row>
    <row r="31" spans="1:15" s="127" customFormat="1" ht="33" x14ac:dyDescent="0.25">
      <c r="A31" s="126"/>
      <c r="B31" s="125"/>
      <c r="C31" s="125"/>
      <c r="D31" s="125" t="s">
        <v>206</v>
      </c>
      <c r="E31" s="125"/>
    </row>
    <row r="32" spans="1:15" ht="41.25" customHeight="1" x14ac:dyDescent="0.25">
      <c r="A32" s="397"/>
      <c r="B32" s="397" t="s">
        <v>170</v>
      </c>
      <c r="C32" s="397"/>
      <c r="D32" s="50" t="s">
        <v>59</v>
      </c>
      <c r="E32" s="400">
        <v>-354663.8</v>
      </c>
    </row>
    <row r="33" spans="1:5" ht="16.5" x14ac:dyDescent="0.25">
      <c r="A33" s="398"/>
      <c r="B33" s="398"/>
      <c r="C33" s="398"/>
      <c r="D33" s="128" t="s">
        <v>201</v>
      </c>
      <c r="E33" s="401"/>
    </row>
    <row r="34" spans="1:5" ht="66" x14ac:dyDescent="0.25">
      <c r="A34" s="398"/>
      <c r="B34" s="398"/>
      <c r="C34" s="398"/>
      <c r="D34" s="129" t="s">
        <v>207</v>
      </c>
      <c r="E34" s="401"/>
    </row>
    <row r="35" spans="1:5" s="130" customFormat="1" ht="33.75" customHeight="1" x14ac:dyDescent="0.25">
      <c r="A35" s="398"/>
      <c r="B35" s="398"/>
      <c r="C35" s="398"/>
      <c r="D35" s="128" t="s">
        <v>202</v>
      </c>
      <c r="E35" s="401"/>
    </row>
    <row r="36" spans="1:5" s="131" customFormat="1" ht="66" customHeight="1" x14ac:dyDescent="0.25">
      <c r="A36" s="399"/>
      <c r="B36" s="399"/>
      <c r="C36" s="399"/>
      <c r="D36" s="129" t="s">
        <v>448</v>
      </c>
      <c r="E36" s="402"/>
    </row>
    <row r="37" spans="1:5" s="133" customFormat="1" ht="33" x14ac:dyDescent="0.25">
      <c r="A37" s="397"/>
      <c r="B37" s="397" t="s">
        <v>184</v>
      </c>
      <c r="C37" s="403"/>
      <c r="D37" s="132" t="s">
        <v>183</v>
      </c>
      <c r="E37" s="178">
        <v>314663.8</v>
      </c>
    </row>
    <row r="38" spans="1:5" s="133" customFormat="1" ht="16.5" x14ac:dyDescent="0.25">
      <c r="A38" s="398"/>
      <c r="B38" s="398"/>
      <c r="C38" s="404"/>
      <c r="D38" s="134" t="s">
        <v>201</v>
      </c>
      <c r="E38" s="179"/>
    </row>
    <row r="39" spans="1:5" s="135" customFormat="1" ht="33" x14ac:dyDescent="0.25">
      <c r="A39" s="398"/>
      <c r="B39" s="398"/>
      <c r="C39" s="404"/>
      <c r="D39" s="129" t="s">
        <v>209</v>
      </c>
      <c r="E39" s="179"/>
    </row>
    <row r="40" spans="1:5" s="135" customFormat="1" ht="33" x14ac:dyDescent="0.25">
      <c r="A40" s="398"/>
      <c r="B40" s="398"/>
      <c r="C40" s="404"/>
      <c r="D40" s="128" t="s">
        <v>202</v>
      </c>
      <c r="E40" s="179"/>
    </row>
    <row r="41" spans="1:5" s="136" customFormat="1" ht="59.25" customHeight="1" x14ac:dyDescent="0.25">
      <c r="A41" s="399"/>
      <c r="B41" s="399"/>
      <c r="C41" s="405"/>
      <c r="D41" s="129" t="s">
        <v>208</v>
      </c>
      <c r="E41" s="180"/>
    </row>
  </sheetData>
  <mergeCells count="27">
    <mergeCell ref="A6:E6"/>
    <mergeCell ref="D1:E1"/>
    <mergeCell ref="D2:E2"/>
    <mergeCell ref="D3:E3"/>
    <mergeCell ref="A4:E4"/>
    <mergeCell ref="A5:E5"/>
    <mergeCell ref="A37:A41"/>
    <mergeCell ref="C37:C41"/>
    <mergeCell ref="B37:B41"/>
    <mergeCell ref="A32:A36"/>
    <mergeCell ref="A7:E7"/>
    <mergeCell ref="A9:B9"/>
    <mergeCell ref="D9:D10"/>
    <mergeCell ref="A12:A24"/>
    <mergeCell ref="B12:B16"/>
    <mergeCell ref="C12:C16"/>
    <mergeCell ref="E12:E16"/>
    <mergeCell ref="B18:B24"/>
    <mergeCell ref="C18:C24"/>
    <mergeCell ref="E18:E24"/>
    <mergeCell ref="A26:A30"/>
    <mergeCell ref="B26:B30"/>
    <mergeCell ref="C26:C30"/>
    <mergeCell ref="E26:E30"/>
    <mergeCell ref="B32:B36"/>
    <mergeCell ref="C32:C36"/>
    <mergeCell ref="E32:E36"/>
  </mergeCells>
  <pageMargins left="0.7" right="0.7" top="0.75" bottom="0.75" header="0.3" footer="0.3"/>
  <pageSetup paperSize="9" scale="70" orientation="portrait" r:id="rId1"/>
  <rowBreaks count="1" manualBreakCount="1">
    <brk id="24" max="16383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59"/>
  <sheetViews>
    <sheetView view="pageBreakPreview" topLeftCell="A7" zoomScale="112" zoomScaleNormal="100" zoomScaleSheetLayoutView="112" workbookViewId="0">
      <selection activeCell="E125" sqref="E125:E156"/>
    </sheetView>
  </sheetViews>
  <sheetFormatPr defaultRowHeight="14.25" x14ac:dyDescent="0.2"/>
  <cols>
    <col min="1" max="1" width="18.42578125" style="160" customWidth="1"/>
    <col min="2" max="2" width="57.42578125" style="160" customWidth="1"/>
    <col min="3" max="3" width="18.42578125" style="160" customWidth="1"/>
    <col min="4" max="4" width="13.7109375" style="160" customWidth="1"/>
    <col min="5" max="5" width="19.28515625" style="160" customWidth="1"/>
    <col min="6" max="6" width="17.42578125" style="206" customWidth="1"/>
    <col min="7" max="7" width="29.28515625" style="206" customWidth="1"/>
    <col min="8" max="90" width="0" style="160" hidden="1" customWidth="1"/>
    <col min="91" max="91" width="18.7109375" style="160" hidden="1" customWidth="1"/>
    <col min="92" max="92" width="18.5703125" style="160" hidden="1" customWidth="1"/>
    <col min="93" max="94" width="0" style="160" hidden="1" customWidth="1"/>
    <col min="95" max="255" width="9.140625" style="160"/>
    <col min="256" max="259" width="18.42578125" style="160" customWidth="1"/>
    <col min="260" max="260" width="20.42578125" style="160" customWidth="1"/>
    <col min="261" max="261" width="17.85546875" style="160" customWidth="1"/>
    <col min="262" max="262" width="18.42578125" style="160" customWidth="1"/>
    <col min="263" max="345" width="0" style="160" hidden="1" customWidth="1"/>
    <col min="346" max="346" width="9.140625" style="160"/>
    <col min="347" max="347" width="18.5703125" style="160" customWidth="1"/>
    <col min="348" max="511" width="9.140625" style="160"/>
    <col min="512" max="515" width="18.42578125" style="160" customWidth="1"/>
    <col min="516" max="516" width="20.42578125" style="160" customWidth="1"/>
    <col min="517" max="517" width="17.85546875" style="160" customWidth="1"/>
    <col min="518" max="518" width="18.42578125" style="160" customWidth="1"/>
    <col min="519" max="601" width="0" style="160" hidden="1" customWidth="1"/>
    <col min="602" max="602" width="9.140625" style="160"/>
    <col min="603" max="603" width="18.5703125" style="160" customWidth="1"/>
    <col min="604" max="767" width="9.140625" style="160"/>
    <col min="768" max="771" width="18.42578125" style="160" customWidth="1"/>
    <col min="772" max="772" width="20.42578125" style="160" customWidth="1"/>
    <col min="773" max="773" width="17.85546875" style="160" customWidth="1"/>
    <col min="774" max="774" width="18.42578125" style="160" customWidth="1"/>
    <col min="775" max="857" width="0" style="160" hidden="1" customWidth="1"/>
    <col min="858" max="858" width="9.140625" style="160"/>
    <col min="859" max="859" width="18.5703125" style="160" customWidth="1"/>
    <col min="860" max="1023" width="9.140625" style="160"/>
    <col min="1024" max="1027" width="18.42578125" style="160" customWidth="1"/>
    <col min="1028" max="1028" width="20.42578125" style="160" customWidth="1"/>
    <col min="1029" max="1029" width="17.85546875" style="160" customWidth="1"/>
    <col min="1030" max="1030" width="18.42578125" style="160" customWidth="1"/>
    <col min="1031" max="1113" width="0" style="160" hidden="1" customWidth="1"/>
    <col min="1114" max="1114" width="9.140625" style="160"/>
    <col min="1115" max="1115" width="18.5703125" style="160" customWidth="1"/>
    <col min="1116" max="1279" width="9.140625" style="160"/>
    <col min="1280" max="1283" width="18.42578125" style="160" customWidth="1"/>
    <col min="1284" max="1284" width="20.42578125" style="160" customWidth="1"/>
    <col min="1285" max="1285" width="17.85546875" style="160" customWidth="1"/>
    <col min="1286" max="1286" width="18.42578125" style="160" customWidth="1"/>
    <col min="1287" max="1369" width="0" style="160" hidden="1" customWidth="1"/>
    <col min="1370" max="1370" width="9.140625" style="160"/>
    <col min="1371" max="1371" width="18.5703125" style="160" customWidth="1"/>
    <col min="1372" max="1535" width="9.140625" style="160"/>
    <col min="1536" max="1539" width="18.42578125" style="160" customWidth="1"/>
    <col min="1540" max="1540" width="20.42578125" style="160" customWidth="1"/>
    <col min="1541" max="1541" width="17.85546875" style="160" customWidth="1"/>
    <col min="1542" max="1542" width="18.42578125" style="160" customWidth="1"/>
    <col min="1543" max="1625" width="0" style="160" hidden="1" customWidth="1"/>
    <col min="1626" max="1626" width="9.140625" style="160"/>
    <col min="1627" max="1627" width="18.5703125" style="160" customWidth="1"/>
    <col min="1628" max="1791" width="9.140625" style="160"/>
    <col min="1792" max="1795" width="18.42578125" style="160" customWidth="1"/>
    <col min="1796" max="1796" width="20.42578125" style="160" customWidth="1"/>
    <col min="1797" max="1797" width="17.85546875" style="160" customWidth="1"/>
    <col min="1798" max="1798" width="18.42578125" style="160" customWidth="1"/>
    <col min="1799" max="1881" width="0" style="160" hidden="1" customWidth="1"/>
    <col min="1882" max="1882" width="9.140625" style="160"/>
    <col min="1883" max="1883" width="18.5703125" style="160" customWidth="1"/>
    <col min="1884" max="2047" width="9.140625" style="160"/>
    <col min="2048" max="2051" width="18.42578125" style="160" customWidth="1"/>
    <col min="2052" max="2052" width="20.42578125" style="160" customWidth="1"/>
    <col min="2053" max="2053" width="17.85546875" style="160" customWidth="1"/>
    <col min="2054" max="2054" width="18.42578125" style="160" customWidth="1"/>
    <col min="2055" max="2137" width="0" style="160" hidden="1" customWidth="1"/>
    <col min="2138" max="2138" width="9.140625" style="160"/>
    <col min="2139" max="2139" width="18.5703125" style="160" customWidth="1"/>
    <col min="2140" max="2303" width="9.140625" style="160"/>
    <col min="2304" max="2307" width="18.42578125" style="160" customWidth="1"/>
    <col min="2308" max="2308" width="20.42578125" style="160" customWidth="1"/>
    <col min="2309" max="2309" width="17.85546875" style="160" customWidth="1"/>
    <col min="2310" max="2310" width="18.42578125" style="160" customWidth="1"/>
    <col min="2311" max="2393" width="0" style="160" hidden="1" customWidth="1"/>
    <col min="2394" max="2394" width="9.140625" style="160"/>
    <col min="2395" max="2395" width="18.5703125" style="160" customWidth="1"/>
    <col min="2396" max="2559" width="9.140625" style="160"/>
    <col min="2560" max="2563" width="18.42578125" style="160" customWidth="1"/>
    <col min="2564" max="2564" width="20.42578125" style="160" customWidth="1"/>
    <col min="2565" max="2565" width="17.85546875" style="160" customWidth="1"/>
    <col min="2566" max="2566" width="18.42578125" style="160" customWidth="1"/>
    <col min="2567" max="2649" width="0" style="160" hidden="1" customWidth="1"/>
    <col min="2650" max="2650" width="9.140625" style="160"/>
    <col min="2651" max="2651" width="18.5703125" style="160" customWidth="1"/>
    <col min="2652" max="2815" width="9.140625" style="160"/>
    <col min="2816" max="2819" width="18.42578125" style="160" customWidth="1"/>
    <col min="2820" max="2820" width="20.42578125" style="160" customWidth="1"/>
    <col min="2821" max="2821" width="17.85546875" style="160" customWidth="1"/>
    <col min="2822" max="2822" width="18.42578125" style="160" customWidth="1"/>
    <col min="2823" max="2905" width="0" style="160" hidden="1" customWidth="1"/>
    <col min="2906" max="2906" width="9.140625" style="160"/>
    <col min="2907" max="2907" width="18.5703125" style="160" customWidth="1"/>
    <col min="2908" max="3071" width="9.140625" style="160"/>
    <col min="3072" max="3075" width="18.42578125" style="160" customWidth="1"/>
    <col min="3076" max="3076" width="20.42578125" style="160" customWidth="1"/>
    <col min="3077" max="3077" width="17.85546875" style="160" customWidth="1"/>
    <col min="3078" max="3078" width="18.42578125" style="160" customWidth="1"/>
    <col min="3079" max="3161" width="0" style="160" hidden="1" customWidth="1"/>
    <col min="3162" max="3162" width="9.140625" style="160"/>
    <col min="3163" max="3163" width="18.5703125" style="160" customWidth="1"/>
    <col min="3164" max="3327" width="9.140625" style="160"/>
    <col min="3328" max="3331" width="18.42578125" style="160" customWidth="1"/>
    <col min="3332" max="3332" width="20.42578125" style="160" customWidth="1"/>
    <col min="3333" max="3333" width="17.85546875" style="160" customWidth="1"/>
    <col min="3334" max="3334" width="18.42578125" style="160" customWidth="1"/>
    <col min="3335" max="3417" width="0" style="160" hidden="1" customWidth="1"/>
    <col min="3418" max="3418" width="9.140625" style="160"/>
    <col min="3419" max="3419" width="18.5703125" style="160" customWidth="1"/>
    <col min="3420" max="3583" width="9.140625" style="160"/>
    <col min="3584" max="3587" width="18.42578125" style="160" customWidth="1"/>
    <col min="3588" max="3588" width="20.42578125" style="160" customWidth="1"/>
    <col min="3589" max="3589" width="17.85546875" style="160" customWidth="1"/>
    <col min="3590" max="3590" width="18.42578125" style="160" customWidth="1"/>
    <col min="3591" max="3673" width="0" style="160" hidden="1" customWidth="1"/>
    <col min="3674" max="3674" width="9.140625" style="160"/>
    <col min="3675" max="3675" width="18.5703125" style="160" customWidth="1"/>
    <col min="3676" max="3839" width="9.140625" style="160"/>
    <col min="3840" max="3843" width="18.42578125" style="160" customWidth="1"/>
    <col min="3844" max="3844" width="20.42578125" style="160" customWidth="1"/>
    <col min="3845" max="3845" width="17.85546875" style="160" customWidth="1"/>
    <col min="3846" max="3846" width="18.42578125" style="160" customWidth="1"/>
    <col min="3847" max="3929" width="0" style="160" hidden="1" customWidth="1"/>
    <col min="3930" max="3930" width="9.140625" style="160"/>
    <col min="3931" max="3931" width="18.5703125" style="160" customWidth="1"/>
    <col min="3932" max="4095" width="9.140625" style="160"/>
    <col min="4096" max="4099" width="18.42578125" style="160" customWidth="1"/>
    <col min="4100" max="4100" width="20.42578125" style="160" customWidth="1"/>
    <col min="4101" max="4101" width="17.85546875" style="160" customWidth="1"/>
    <col min="4102" max="4102" width="18.42578125" style="160" customWidth="1"/>
    <col min="4103" max="4185" width="0" style="160" hidden="1" customWidth="1"/>
    <col min="4186" max="4186" width="9.140625" style="160"/>
    <col min="4187" max="4187" width="18.5703125" style="160" customWidth="1"/>
    <col min="4188" max="4351" width="9.140625" style="160"/>
    <col min="4352" max="4355" width="18.42578125" style="160" customWidth="1"/>
    <col min="4356" max="4356" width="20.42578125" style="160" customWidth="1"/>
    <col min="4357" max="4357" width="17.85546875" style="160" customWidth="1"/>
    <col min="4358" max="4358" width="18.42578125" style="160" customWidth="1"/>
    <col min="4359" max="4441" width="0" style="160" hidden="1" customWidth="1"/>
    <col min="4442" max="4442" width="9.140625" style="160"/>
    <col min="4443" max="4443" width="18.5703125" style="160" customWidth="1"/>
    <col min="4444" max="4607" width="9.140625" style="160"/>
    <col min="4608" max="4611" width="18.42578125" style="160" customWidth="1"/>
    <col min="4612" max="4612" width="20.42578125" style="160" customWidth="1"/>
    <col min="4613" max="4613" width="17.85546875" style="160" customWidth="1"/>
    <col min="4614" max="4614" width="18.42578125" style="160" customWidth="1"/>
    <col min="4615" max="4697" width="0" style="160" hidden="1" customWidth="1"/>
    <col min="4698" max="4698" width="9.140625" style="160"/>
    <col min="4699" max="4699" width="18.5703125" style="160" customWidth="1"/>
    <col min="4700" max="4863" width="9.140625" style="160"/>
    <col min="4864" max="4867" width="18.42578125" style="160" customWidth="1"/>
    <col min="4868" max="4868" width="20.42578125" style="160" customWidth="1"/>
    <col min="4869" max="4869" width="17.85546875" style="160" customWidth="1"/>
    <col min="4870" max="4870" width="18.42578125" style="160" customWidth="1"/>
    <col min="4871" max="4953" width="0" style="160" hidden="1" customWidth="1"/>
    <col min="4954" max="4954" width="9.140625" style="160"/>
    <col min="4955" max="4955" width="18.5703125" style="160" customWidth="1"/>
    <col min="4956" max="5119" width="9.140625" style="160"/>
    <col min="5120" max="5123" width="18.42578125" style="160" customWidth="1"/>
    <col min="5124" max="5124" width="20.42578125" style="160" customWidth="1"/>
    <col min="5125" max="5125" width="17.85546875" style="160" customWidth="1"/>
    <col min="5126" max="5126" width="18.42578125" style="160" customWidth="1"/>
    <col min="5127" max="5209" width="0" style="160" hidden="1" customWidth="1"/>
    <col min="5210" max="5210" width="9.140625" style="160"/>
    <col min="5211" max="5211" width="18.5703125" style="160" customWidth="1"/>
    <col min="5212" max="5375" width="9.140625" style="160"/>
    <col min="5376" max="5379" width="18.42578125" style="160" customWidth="1"/>
    <col min="5380" max="5380" width="20.42578125" style="160" customWidth="1"/>
    <col min="5381" max="5381" width="17.85546875" style="160" customWidth="1"/>
    <col min="5382" max="5382" width="18.42578125" style="160" customWidth="1"/>
    <col min="5383" max="5465" width="0" style="160" hidden="1" customWidth="1"/>
    <col min="5466" max="5466" width="9.140625" style="160"/>
    <col min="5467" max="5467" width="18.5703125" style="160" customWidth="1"/>
    <col min="5468" max="5631" width="9.140625" style="160"/>
    <col min="5632" max="5635" width="18.42578125" style="160" customWidth="1"/>
    <col min="5636" max="5636" width="20.42578125" style="160" customWidth="1"/>
    <col min="5637" max="5637" width="17.85546875" style="160" customWidth="1"/>
    <col min="5638" max="5638" width="18.42578125" style="160" customWidth="1"/>
    <col min="5639" max="5721" width="0" style="160" hidden="1" customWidth="1"/>
    <col min="5722" max="5722" width="9.140625" style="160"/>
    <col min="5723" max="5723" width="18.5703125" style="160" customWidth="1"/>
    <col min="5724" max="5887" width="9.140625" style="160"/>
    <col min="5888" max="5891" width="18.42578125" style="160" customWidth="1"/>
    <col min="5892" max="5892" width="20.42578125" style="160" customWidth="1"/>
    <col min="5893" max="5893" width="17.85546875" style="160" customWidth="1"/>
    <col min="5894" max="5894" width="18.42578125" style="160" customWidth="1"/>
    <col min="5895" max="5977" width="0" style="160" hidden="1" customWidth="1"/>
    <col min="5978" max="5978" width="9.140625" style="160"/>
    <col min="5979" max="5979" width="18.5703125" style="160" customWidth="1"/>
    <col min="5980" max="6143" width="9.140625" style="160"/>
    <col min="6144" max="6147" width="18.42578125" style="160" customWidth="1"/>
    <col min="6148" max="6148" width="20.42578125" style="160" customWidth="1"/>
    <col min="6149" max="6149" width="17.85546875" style="160" customWidth="1"/>
    <col min="6150" max="6150" width="18.42578125" style="160" customWidth="1"/>
    <col min="6151" max="6233" width="0" style="160" hidden="1" customWidth="1"/>
    <col min="6234" max="6234" width="9.140625" style="160"/>
    <col min="6235" max="6235" width="18.5703125" style="160" customWidth="1"/>
    <col min="6236" max="6399" width="9.140625" style="160"/>
    <col min="6400" max="6403" width="18.42578125" style="160" customWidth="1"/>
    <col min="6404" max="6404" width="20.42578125" style="160" customWidth="1"/>
    <col min="6405" max="6405" width="17.85546875" style="160" customWidth="1"/>
    <col min="6406" max="6406" width="18.42578125" style="160" customWidth="1"/>
    <col min="6407" max="6489" width="0" style="160" hidden="1" customWidth="1"/>
    <col min="6490" max="6490" width="9.140625" style="160"/>
    <col min="6491" max="6491" width="18.5703125" style="160" customWidth="1"/>
    <col min="6492" max="6655" width="9.140625" style="160"/>
    <col min="6656" max="6659" width="18.42578125" style="160" customWidth="1"/>
    <col min="6660" max="6660" width="20.42578125" style="160" customWidth="1"/>
    <col min="6661" max="6661" width="17.85546875" style="160" customWidth="1"/>
    <col min="6662" max="6662" width="18.42578125" style="160" customWidth="1"/>
    <col min="6663" max="6745" width="0" style="160" hidden="1" customWidth="1"/>
    <col min="6746" max="6746" width="9.140625" style="160"/>
    <col min="6747" max="6747" width="18.5703125" style="160" customWidth="1"/>
    <col min="6748" max="6911" width="9.140625" style="160"/>
    <col min="6912" max="6915" width="18.42578125" style="160" customWidth="1"/>
    <col min="6916" max="6916" width="20.42578125" style="160" customWidth="1"/>
    <col min="6917" max="6917" width="17.85546875" style="160" customWidth="1"/>
    <col min="6918" max="6918" width="18.42578125" style="160" customWidth="1"/>
    <col min="6919" max="7001" width="0" style="160" hidden="1" customWidth="1"/>
    <col min="7002" max="7002" width="9.140625" style="160"/>
    <col min="7003" max="7003" width="18.5703125" style="160" customWidth="1"/>
    <col min="7004" max="7167" width="9.140625" style="160"/>
    <col min="7168" max="7171" width="18.42578125" style="160" customWidth="1"/>
    <col min="7172" max="7172" width="20.42578125" style="160" customWidth="1"/>
    <col min="7173" max="7173" width="17.85546875" style="160" customWidth="1"/>
    <col min="7174" max="7174" width="18.42578125" style="160" customWidth="1"/>
    <col min="7175" max="7257" width="0" style="160" hidden="1" customWidth="1"/>
    <col min="7258" max="7258" width="9.140625" style="160"/>
    <col min="7259" max="7259" width="18.5703125" style="160" customWidth="1"/>
    <col min="7260" max="7423" width="9.140625" style="160"/>
    <col min="7424" max="7427" width="18.42578125" style="160" customWidth="1"/>
    <col min="7428" max="7428" width="20.42578125" style="160" customWidth="1"/>
    <col min="7429" max="7429" width="17.85546875" style="160" customWidth="1"/>
    <col min="7430" max="7430" width="18.42578125" style="160" customWidth="1"/>
    <col min="7431" max="7513" width="0" style="160" hidden="1" customWidth="1"/>
    <col min="7514" max="7514" width="9.140625" style="160"/>
    <col min="7515" max="7515" width="18.5703125" style="160" customWidth="1"/>
    <col min="7516" max="7679" width="9.140625" style="160"/>
    <col min="7680" max="7683" width="18.42578125" style="160" customWidth="1"/>
    <col min="7684" max="7684" width="20.42578125" style="160" customWidth="1"/>
    <col min="7685" max="7685" width="17.85546875" style="160" customWidth="1"/>
    <col min="7686" max="7686" width="18.42578125" style="160" customWidth="1"/>
    <col min="7687" max="7769" width="0" style="160" hidden="1" customWidth="1"/>
    <col min="7770" max="7770" width="9.140625" style="160"/>
    <col min="7771" max="7771" width="18.5703125" style="160" customWidth="1"/>
    <col min="7772" max="7935" width="9.140625" style="160"/>
    <col min="7936" max="7939" width="18.42578125" style="160" customWidth="1"/>
    <col min="7940" max="7940" width="20.42578125" style="160" customWidth="1"/>
    <col min="7941" max="7941" width="17.85546875" style="160" customWidth="1"/>
    <col min="7942" max="7942" width="18.42578125" style="160" customWidth="1"/>
    <col min="7943" max="8025" width="0" style="160" hidden="1" customWidth="1"/>
    <col min="8026" max="8026" width="9.140625" style="160"/>
    <col min="8027" max="8027" width="18.5703125" style="160" customWidth="1"/>
    <col min="8028" max="8191" width="9.140625" style="160"/>
    <col min="8192" max="8195" width="18.42578125" style="160" customWidth="1"/>
    <col min="8196" max="8196" width="20.42578125" style="160" customWidth="1"/>
    <col min="8197" max="8197" width="17.85546875" style="160" customWidth="1"/>
    <col min="8198" max="8198" width="18.42578125" style="160" customWidth="1"/>
    <col min="8199" max="8281" width="0" style="160" hidden="1" customWidth="1"/>
    <col min="8282" max="8282" width="9.140625" style="160"/>
    <col min="8283" max="8283" width="18.5703125" style="160" customWidth="1"/>
    <col min="8284" max="8447" width="9.140625" style="160"/>
    <col min="8448" max="8451" width="18.42578125" style="160" customWidth="1"/>
    <col min="8452" max="8452" width="20.42578125" style="160" customWidth="1"/>
    <col min="8453" max="8453" width="17.85546875" style="160" customWidth="1"/>
    <col min="8454" max="8454" width="18.42578125" style="160" customWidth="1"/>
    <col min="8455" max="8537" width="0" style="160" hidden="1" customWidth="1"/>
    <col min="8538" max="8538" width="9.140625" style="160"/>
    <col min="8539" max="8539" width="18.5703125" style="160" customWidth="1"/>
    <col min="8540" max="8703" width="9.140625" style="160"/>
    <col min="8704" max="8707" width="18.42578125" style="160" customWidth="1"/>
    <col min="8708" max="8708" width="20.42578125" style="160" customWidth="1"/>
    <col min="8709" max="8709" width="17.85546875" style="160" customWidth="1"/>
    <col min="8710" max="8710" width="18.42578125" style="160" customWidth="1"/>
    <col min="8711" max="8793" width="0" style="160" hidden="1" customWidth="1"/>
    <col min="8794" max="8794" width="9.140625" style="160"/>
    <col min="8795" max="8795" width="18.5703125" style="160" customWidth="1"/>
    <col min="8796" max="8959" width="9.140625" style="160"/>
    <col min="8960" max="8963" width="18.42578125" style="160" customWidth="1"/>
    <col min="8964" max="8964" width="20.42578125" style="160" customWidth="1"/>
    <col min="8965" max="8965" width="17.85546875" style="160" customWidth="1"/>
    <col min="8966" max="8966" width="18.42578125" style="160" customWidth="1"/>
    <col min="8967" max="9049" width="0" style="160" hidden="1" customWidth="1"/>
    <col min="9050" max="9050" width="9.140625" style="160"/>
    <col min="9051" max="9051" width="18.5703125" style="160" customWidth="1"/>
    <col min="9052" max="9215" width="9.140625" style="160"/>
    <col min="9216" max="9219" width="18.42578125" style="160" customWidth="1"/>
    <col min="9220" max="9220" width="20.42578125" style="160" customWidth="1"/>
    <col min="9221" max="9221" width="17.85546875" style="160" customWidth="1"/>
    <col min="9222" max="9222" width="18.42578125" style="160" customWidth="1"/>
    <col min="9223" max="9305" width="0" style="160" hidden="1" customWidth="1"/>
    <col min="9306" max="9306" width="9.140625" style="160"/>
    <col min="9307" max="9307" width="18.5703125" style="160" customWidth="1"/>
    <col min="9308" max="9471" width="9.140625" style="160"/>
    <col min="9472" max="9475" width="18.42578125" style="160" customWidth="1"/>
    <col min="9476" max="9476" width="20.42578125" style="160" customWidth="1"/>
    <col min="9477" max="9477" width="17.85546875" style="160" customWidth="1"/>
    <col min="9478" max="9478" width="18.42578125" style="160" customWidth="1"/>
    <col min="9479" max="9561" width="0" style="160" hidden="1" customWidth="1"/>
    <col min="9562" max="9562" width="9.140625" style="160"/>
    <col min="9563" max="9563" width="18.5703125" style="160" customWidth="1"/>
    <col min="9564" max="9727" width="9.140625" style="160"/>
    <col min="9728" max="9731" width="18.42578125" style="160" customWidth="1"/>
    <col min="9732" max="9732" width="20.42578125" style="160" customWidth="1"/>
    <col min="9733" max="9733" width="17.85546875" style="160" customWidth="1"/>
    <col min="9734" max="9734" width="18.42578125" style="160" customWidth="1"/>
    <col min="9735" max="9817" width="0" style="160" hidden="1" customWidth="1"/>
    <col min="9818" max="9818" width="9.140625" style="160"/>
    <col min="9819" max="9819" width="18.5703125" style="160" customWidth="1"/>
    <col min="9820" max="9983" width="9.140625" style="160"/>
    <col min="9984" max="9987" width="18.42578125" style="160" customWidth="1"/>
    <col min="9988" max="9988" width="20.42578125" style="160" customWidth="1"/>
    <col min="9989" max="9989" width="17.85546875" style="160" customWidth="1"/>
    <col min="9990" max="9990" width="18.42578125" style="160" customWidth="1"/>
    <col min="9991" max="10073" width="0" style="160" hidden="1" customWidth="1"/>
    <col min="10074" max="10074" width="9.140625" style="160"/>
    <col min="10075" max="10075" width="18.5703125" style="160" customWidth="1"/>
    <col min="10076" max="10239" width="9.140625" style="160"/>
    <col min="10240" max="10243" width="18.42578125" style="160" customWidth="1"/>
    <col min="10244" max="10244" width="20.42578125" style="160" customWidth="1"/>
    <col min="10245" max="10245" width="17.85546875" style="160" customWidth="1"/>
    <col min="10246" max="10246" width="18.42578125" style="160" customWidth="1"/>
    <col min="10247" max="10329" width="0" style="160" hidden="1" customWidth="1"/>
    <col min="10330" max="10330" width="9.140625" style="160"/>
    <col min="10331" max="10331" width="18.5703125" style="160" customWidth="1"/>
    <col min="10332" max="10495" width="9.140625" style="160"/>
    <col min="10496" max="10499" width="18.42578125" style="160" customWidth="1"/>
    <col min="10500" max="10500" width="20.42578125" style="160" customWidth="1"/>
    <col min="10501" max="10501" width="17.85546875" style="160" customWidth="1"/>
    <col min="10502" max="10502" width="18.42578125" style="160" customWidth="1"/>
    <col min="10503" max="10585" width="0" style="160" hidden="1" customWidth="1"/>
    <col min="10586" max="10586" width="9.140625" style="160"/>
    <col min="10587" max="10587" width="18.5703125" style="160" customWidth="1"/>
    <col min="10588" max="10751" width="9.140625" style="160"/>
    <col min="10752" max="10755" width="18.42578125" style="160" customWidth="1"/>
    <col min="10756" max="10756" width="20.42578125" style="160" customWidth="1"/>
    <col min="10757" max="10757" width="17.85546875" style="160" customWidth="1"/>
    <col min="10758" max="10758" width="18.42578125" style="160" customWidth="1"/>
    <col min="10759" max="10841" width="0" style="160" hidden="1" customWidth="1"/>
    <col min="10842" max="10842" width="9.140625" style="160"/>
    <col min="10843" max="10843" width="18.5703125" style="160" customWidth="1"/>
    <col min="10844" max="11007" width="9.140625" style="160"/>
    <col min="11008" max="11011" width="18.42578125" style="160" customWidth="1"/>
    <col min="11012" max="11012" width="20.42578125" style="160" customWidth="1"/>
    <col min="11013" max="11013" width="17.85546875" style="160" customWidth="1"/>
    <col min="11014" max="11014" width="18.42578125" style="160" customWidth="1"/>
    <col min="11015" max="11097" width="0" style="160" hidden="1" customWidth="1"/>
    <col min="11098" max="11098" width="9.140625" style="160"/>
    <col min="11099" max="11099" width="18.5703125" style="160" customWidth="1"/>
    <col min="11100" max="11263" width="9.140625" style="160"/>
    <col min="11264" max="11267" width="18.42578125" style="160" customWidth="1"/>
    <col min="11268" max="11268" width="20.42578125" style="160" customWidth="1"/>
    <col min="11269" max="11269" width="17.85546875" style="160" customWidth="1"/>
    <col min="11270" max="11270" width="18.42578125" style="160" customWidth="1"/>
    <col min="11271" max="11353" width="0" style="160" hidden="1" customWidth="1"/>
    <col min="11354" max="11354" width="9.140625" style="160"/>
    <col min="11355" max="11355" width="18.5703125" style="160" customWidth="1"/>
    <col min="11356" max="11519" width="9.140625" style="160"/>
    <col min="11520" max="11523" width="18.42578125" style="160" customWidth="1"/>
    <col min="11524" max="11524" width="20.42578125" style="160" customWidth="1"/>
    <col min="11525" max="11525" width="17.85546875" style="160" customWidth="1"/>
    <col min="11526" max="11526" width="18.42578125" style="160" customWidth="1"/>
    <col min="11527" max="11609" width="0" style="160" hidden="1" customWidth="1"/>
    <col min="11610" max="11610" width="9.140625" style="160"/>
    <col min="11611" max="11611" width="18.5703125" style="160" customWidth="1"/>
    <col min="11612" max="11775" width="9.140625" style="160"/>
    <col min="11776" max="11779" width="18.42578125" style="160" customWidth="1"/>
    <col min="11780" max="11780" width="20.42578125" style="160" customWidth="1"/>
    <col min="11781" max="11781" width="17.85546875" style="160" customWidth="1"/>
    <col min="11782" max="11782" width="18.42578125" style="160" customWidth="1"/>
    <col min="11783" max="11865" width="0" style="160" hidden="1" customWidth="1"/>
    <col min="11866" max="11866" width="9.140625" style="160"/>
    <col min="11867" max="11867" width="18.5703125" style="160" customWidth="1"/>
    <col min="11868" max="12031" width="9.140625" style="160"/>
    <col min="12032" max="12035" width="18.42578125" style="160" customWidth="1"/>
    <col min="12036" max="12036" width="20.42578125" style="160" customWidth="1"/>
    <col min="12037" max="12037" width="17.85546875" style="160" customWidth="1"/>
    <col min="12038" max="12038" width="18.42578125" style="160" customWidth="1"/>
    <col min="12039" max="12121" width="0" style="160" hidden="1" customWidth="1"/>
    <col min="12122" max="12122" width="9.140625" style="160"/>
    <col min="12123" max="12123" width="18.5703125" style="160" customWidth="1"/>
    <col min="12124" max="12287" width="9.140625" style="160"/>
    <col min="12288" max="12291" width="18.42578125" style="160" customWidth="1"/>
    <col min="12292" max="12292" width="20.42578125" style="160" customWidth="1"/>
    <col min="12293" max="12293" width="17.85546875" style="160" customWidth="1"/>
    <col min="12294" max="12294" width="18.42578125" style="160" customWidth="1"/>
    <col min="12295" max="12377" width="0" style="160" hidden="1" customWidth="1"/>
    <col min="12378" max="12378" width="9.140625" style="160"/>
    <col min="12379" max="12379" width="18.5703125" style="160" customWidth="1"/>
    <col min="12380" max="12543" width="9.140625" style="160"/>
    <col min="12544" max="12547" width="18.42578125" style="160" customWidth="1"/>
    <col min="12548" max="12548" width="20.42578125" style="160" customWidth="1"/>
    <col min="12549" max="12549" width="17.85546875" style="160" customWidth="1"/>
    <col min="12550" max="12550" width="18.42578125" style="160" customWidth="1"/>
    <col min="12551" max="12633" width="0" style="160" hidden="1" customWidth="1"/>
    <col min="12634" max="12634" width="9.140625" style="160"/>
    <col min="12635" max="12635" width="18.5703125" style="160" customWidth="1"/>
    <col min="12636" max="12799" width="9.140625" style="160"/>
    <col min="12800" max="12803" width="18.42578125" style="160" customWidth="1"/>
    <col min="12804" max="12804" width="20.42578125" style="160" customWidth="1"/>
    <col min="12805" max="12805" width="17.85546875" style="160" customWidth="1"/>
    <col min="12806" max="12806" width="18.42578125" style="160" customWidth="1"/>
    <col min="12807" max="12889" width="0" style="160" hidden="1" customWidth="1"/>
    <col min="12890" max="12890" width="9.140625" style="160"/>
    <col min="12891" max="12891" width="18.5703125" style="160" customWidth="1"/>
    <col min="12892" max="13055" width="9.140625" style="160"/>
    <col min="13056" max="13059" width="18.42578125" style="160" customWidth="1"/>
    <col min="13060" max="13060" width="20.42578125" style="160" customWidth="1"/>
    <col min="13061" max="13061" width="17.85546875" style="160" customWidth="1"/>
    <col min="13062" max="13062" width="18.42578125" style="160" customWidth="1"/>
    <col min="13063" max="13145" width="0" style="160" hidden="1" customWidth="1"/>
    <col min="13146" max="13146" width="9.140625" style="160"/>
    <col min="13147" max="13147" width="18.5703125" style="160" customWidth="1"/>
    <col min="13148" max="13311" width="9.140625" style="160"/>
    <col min="13312" max="13315" width="18.42578125" style="160" customWidth="1"/>
    <col min="13316" max="13316" width="20.42578125" style="160" customWidth="1"/>
    <col min="13317" max="13317" width="17.85546875" style="160" customWidth="1"/>
    <col min="13318" max="13318" width="18.42578125" style="160" customWidth="1"/>
    <col min="13319" max="13401" width="0" style="160" hidden="1" customWidth="1"/>
    <col min="13402" max="13402" width="9.140625" style="160"/>
    <col min="13403" max="13403" width="18.5703125" style="160" customWidth="1"/>
    <col min="13404" max="13567" width="9.140625" style="160"/>
    <col min="13568" max="13571" width="18.42578125" style="160" customWidth="1"/>
    <col min="13572" max="13572" width="20.42578125" style="160" customWidth="1"/>
    <col min="13573" max="13573" width="17.85546875" style="160" customWidth="1"/>
    <col min="13574" max="13574" width="18.42578125" style="160" customWidth="1"/>
    <col min="13575" max="13657" width="0" style="160" hidden="1" customWidth="1"/>
    <col min="13658" max="13658" width="9.140625" style="160"/>
    <col min="13659" max="13659" width="18.5703125" style="160" customWidth="1"/>
    <col min="13660" max="13823" width="9.140625" style="160"/>
    <col min="13824" max="13827" width="18.42578125" style="160" customWidth="1"/>
    <col min="13828" max="13828" width="20.42578125" style="160" customWidth="1"/>
    <col min="13829" max="13829" width="17.85546875" style="160" customWidth="1"/>
    <col min="13830" max="13830" width="18.42578125" style="160" customWidth="1"/>
    <col min="13831" max="13913" width="0" style="160" hidden="1" customWidth="1"/>
    <col min="13914" max="13914" width="9.140625" style="160"/>
    <col min="13915" max="13915" width="18.5703125" style="160" customWidth="1"/>
    <col min="13916" max="14079" width="9.140625" style="160"/>
    <col min="14080" max="14083" width="18.42578125" style="160" customWidth="1"/>
    <col min="14084" max="14084" width="20.42578125" style="160" customWidth="1"/>
    <col min="14085" max="14085" width="17.85546875" style="160" customWidth="1"/>
    <col min="14086" max="14086" width="18.42578125" style="160" customWidth="1"/>
    <col min="14087" max="14169" width="0" style="160" hidden="1" customWidth="1"/>
    <col min="14170" max="14170" width="9.140625" style="160"/>
    <col min="14171" max="14171" width="18.5703125" style="160" customWidth="1"/>
    <col min="14172" max="14335" width="9.140625" style="160"/>
    <col min="14336" max="14339" width="18.42578125" style="160" customWidth="1"/>
    <col min="14340" max="14340" width="20.42578125" style="160" customWidth="1"/>
    <col min="14341" max="14341" width="17.85546875" style="160" customWidth="1"/>
    <col min="14342" max="14342" width="18.42578125" style="160" customWidth="1"/>
    <col min="14343" max="14425" width="0" style="160" hidden="1" customWidth="1"/>
    <col min="14426" max="14426" width="9.140625" style="160"/>
    <col min="14427" max="14427" width="18.5703125" style="160" customWidth="1"/>
    <col min="14428" max="14591" width="9.140625" style="160"/>
    <col min="14592" max="14595" width="18.42578125" style="160" customWidth="1"/>
    <col min="14596" max="14596" width="20.42578125" style="160" customWidth="1"/>
    <col min="14597" max="14597" width="17.85546875" style="160" customWidth="1"/>
    <col min="14598" max="14598" width="18.42578125" style="160" customWidth="1"/>
    <col min="14599" max="14681" width="0" style="160" hidden="1" customWidth="1"/>
    <col min="14682" max="14682" width="9.140625" style="160"/>
    <col min="14683" max="14683" width="18.5703125" style="160" customWidth="1"/>
    <col min="14684" max="14847" width="9.140625" style="160"/>
    <col min="14848" max="14851" width="18.42578125" style="160" customWidth="1"/>
    <col min="14852" max="14852" width="20.42578125" style="160" customWidth="1"/>
    <col min="14853" max="14853" width="17.85546875" style="160" customWidth="1"/>
    <col min="14854" max="14854" width="18.42578125" style="160" customWidth="1"/>
    <col min="14855" max="14937" width="0" style="160" hidden="1" customWidth="1"/>
    <col min="14938" max="14938" width="9.140625" style="160"/>
    <col min="14939" max="14939" width="18.5703125" style="160" customWidth="1"/>
    <col min="14940" max="15103" width="9.140625" style="160"/>
    <col min="15104" max="15107" width="18.42578125" style="160" customWidth="1"/>
    <col min="15108" max="15108" width="20.42578125" style="160" customWidth="1"/>
    <col min="15109" max="15109" width="17.85546875" style="160" customWidth="1"/>
    <col min="15110" max="15110" width="18.42578125" style="160" customWidth="1"/>
    <col min="15111" max="15193" width="0" style="160" hidden="1" customWidth="1"/>
    <col min="15194" max="15194" width="9.140625" style="160"/>
    <col min="15195" max="15195" width="18.5703125" style="160" customWidth="1"/>
    <col min="15196" max="15359" width="9.140625" style="160"/>
    <col min="15360" max="15363" width="18.42578125" style="160" customWidth="1"/>
    <col min="15364" max="15364" width="20.42578125" style="160" customWidth="1"/>
    <col min="15365" max="15365" width="17.85546875" style="160" customWidth="1"/>
    <col min="15366" max="15366" width="18.42578125" style="160" customWidth="1"/>
    <col min="15367" max="15449" width="0" style="160" hidden="1" customWidth="1"/>
    <col min="15450" max="15450" width="9.140625" style="160"/>
    <col min="15451" max="15451" width="18.5703125" style="160" customWidth="1"/>
    <col min="15452" max="15615" width="9.140625" style="160"/>
    <col min="15616" max="15619" width="18.42578125" style="160" customWidth="1"/>
    <col min="15620" max="15620" width="20.42578125" style="160" customWidth="1"/>
    <col min="15621" max="15621" width="17.85546875" style="160" customWidth="1"/>
    <col min="15622" max="15622" width="18.42578125" style="160" customWidth="1"/>
    <col min="15623" max="15705" width="0" style="160" hidden="1" customWidth="1"/>
    <col min="15706" max="15706" width="9.140625" style="160"/>
    <col min="15707" max="15707" width="18.5703125" style="160" customWidth="1"/>
    <col min="15708" max="15871" width="9.140625" style="160"/>
    <col min="15872" max="15875" width="18.42578125" style="160" customWidth="1"/>
    <col min="15876" max="15876" width="20.42578125" style="160" customWidth="1"/>
    <col min="15877" max="15877" width="17.85546875" style="160" customWidth="1"/>
    <col min="15878" max="15878" width="18.42578125" style="160" customWidth="1"/>
    <col min="15879" max="15961" width="0" style="160" hidden="1" customWidth="1"/>
    <col min="15962" max="15962" width="9.140625" style="160"/>
    <col min="15963" max="15963" width="18.5703125" style="160" customWidth="1"/>
    <col min="15964" max="16127" width="9.140625" style="160"/>
    <col min="16128" max="16131" width="18.42578125" style="160" customWidth="1"/>
    <col min="16132" max="16132" width="20.42578125" style="160" customWidth="1"/>
    <col min="16133" max="16133" width="17.85546875" style="160" customWidth="1"/>
    <col min="16134" max="16134" width="18.42578125" style="160" customWidth="1"/>
    <col min="16135" max="16217" width="0" style="160" hidden="1" customWidth="1"/>
    <col min="16218" max="16218" width="9.140625" style="160"/>
    <col min="16219" max="16219" width="18.5703125" style="160" customWidth="1"/>
    <col min="16220" max="16384" width="9.140625" style="160"/>
  </cols>
  <sheetData>
    <row r="1" spans="1:7" s="159" customFormat="1" ht="16.5" x14ac:dyDescent="0.3">
      <c r="F1" s="418" t="s">
        <v>191</v>
      </c>
      <c r="G1" s="418"/>
    </row>
    <row r="2" spans="1:7" s="159" customFormat="1" ht="16.5" x14ac:dyDescent="0.3">
      <c r="F2" s="418" t="s">
        <v>13</v>
      </c>
      <c r="G2" s="418"/>
    </row>
    <row r="3" spans="1:7" s="159" customFormat="1" ht="16.5" x14ac:dyDescent="0.3">
      <c r="F3" s="418" t="s">
        <v>210</v>
      </c>
      <c r="G3" s="418"/>
    </row>
    <row r="4" spans="1:7" s="159" customFormat="1" ht="15.75" customHeight="1" x14ac:dyDescent="0.3">
      <c r="F4" s="204"/>
      <c r="G4" s="205"/>
    </row>
    <row r="5" spans="1:7" s="159" customFormat="1" ht="13.5" customHeight="1" x14ac:dyDescent="0.2">
      <c r="A5" s="419" t="s">
        <v>232</v>
      </c>
      <c r="B5" s="419"/>
      <c r="C5" s="419"/>
      <c r="D5" s="419"/>
      <c r="E5" s="419"/>
      <c r="F5" s="419"/>
      <c r="G5" s="419"/>
    </row>
    <row r="6" spans="1:7" s="159" customFormat="1" ht="27.75" customHeight="1" x14ac:dyDescent="0.2">
      <c r="A6" s="419"/>
      <c r="B6" s="419"/>
      <c r="C6" s="419"/>
      <c r="D6" s="419"/>
      <c r="E6" s="419"/>
      <c r="F6" s="419"/>
      <c r="G6" s="419"/>
    </row>
    <row r="7" spans="1:7" ht="15" x14ac:dyDescent="0.25">
      <c r="A7" s="161"/>
    </row>
    <row r="8" spans="1:7" ht="15" x14ac:dyDescent="0.25">
      <c r="A8" s="161"/>
    </row>
    <row r="9" spans="1:7" s="159" customFormat="1" ht="16.5" customHeight="1" x14ac:dyDescent="0.2">
      <c r="A9" s="416" t="s">
        <v>386</v>
      </c>
      <c r="B9" s="416" t="s">
        <v>154</v>
      </c>
      <c r="C9" s="416" t="s">
        <v>443</v>
      </c>
      <c r="D9" s="416" t="s">
        <v>382</v>
      </c>
      <c r="E9" s="417" t="s">
        <v>383</v>
      </c>
      <c r="F9" s="417" t="s">
        <v>385</v>
      </c>
      <c r="G9" s="417"/>
    </row>
    <row r="10" spans="1:7" s="159" customFormat="1" ht="54" customHeight="1" x14ac:dyDescent="0.2">
      <c r="A10" s="416"/>
      <c r="B10" s="416"/>
      <c r="C10" s="416"/>
      <c r="D10" s="416"/>
      <c r="E10" s="417"/>
      <c r="F10" s="417"/>
      <c r="G10" s="417"/>
    </row>
    <row r="11" spans="1:7" s="159" customFormat="1" ht="38.25" customHeight="1" x14ac:dyDescent="0.2">
      <c r="A11" s="416"/>
      <c r="B11" s="416"/>
      <c r="C11" s="416"/>
      <c r="D11" s="416"/>
      <c r="E11" s="417"/>
      <c r="F11" s="270" t="s">
        <v>212</v>
      </c>
      <c r="G11" s="270" t="s">
        <v>384</v>
      </c>
    </row>
    <row r="12" spans="1:7" s="159" customFormat="1" ht="16.5" x14ac:dyDescent="0.3">
      <c r="A12" s="208">
        <v>1</v>
      </c>
      <c r="B12" s="208">
        <v>2</v>
      </c>
      <c r="C12" s="208">
        <v>3</v>
      </c>
      <c r="D12" s="208">
        <v>4</v>
      </c>
      <c r="E12" s="208">
        <v>5</v>
      </c>
      <c r="F12" s="208">
        <v>6</v>
      </c>
      <c r="G12" s="208">
        <v>7</v>
      </c>
    </row>
    <row r="13" spans="1:7" s="159" customFormat="1" ht="16.5" x14ac:dyDescent="0.3">
      <c r="A13" s="415" t="s">
        <v>147</v>
      </c>
      <c r="B13" s="415"/>
      <c r="C13" s="415"/>
      <c r="D13" s="415"/>
      <c r="E13" s="415"/>
      <c r="F13" s="415"/>
      <c r="G13" s="415"/>
    </row>
    <row r="14" spans="1:7" s="159" customFormat="1" ht="40.5" customHeight="1" x14ac:dyDescent="0.3">
      <c r="A14" s="254" t="s">
        <v>388</v>
      </c>
      <c r="B14" s="254" t="s">
        <v>389</v>
      </c>
      <c r="C14" s="414" t="s">
        <v>390</v>
      </c>
      <c r="D14" s="414"/>
      <c r="E14" s="414" t="s">
        <v>391</v>
      </c>
      <c r="F14" s="414"/>
      <c r="G14" s="414"/>
    </row>
    <row r="15" spans="1:7" s="159" customFormat="1" ht="25.5" customHeight="1" x14ac:dyDescent="0.3">
      <c r="A15" s="254"/>
      <c r="B15" s="219" t="s">
        <v>394</v>
      </c>
      <c r="C15" s="219"/>
      <c r="D15" s="219"/>
      <c r="E15" s="219"/>
      <c r="F15" s="219"/>
      <c r="G15" s="267">
        <f>SUM(G16+G65)</f>
        <v>5525671.5120000001</v>
      </c>
    </row>
    <row r="16" spans="1:7" s="159" customFormat="1" ht="16.5" x14ac:dyDescent="0.3">
      <c r="A16" s="215"/>
      <c r="B16" s="266" t="s">
        <v>414</v>
      </c>
      <c r="C16" s="264"/>
      <c r="D16" s="264"/>
      <c r="E16" s="265"/>
      <c r="F16" s="265"/>
      <c r="G16" s="265">
        <f>SUM(G17:G64)</f>
        <v>5444838.7999999998</v>
      </c>
    </row>
    <row r="17" spans="1:7" s="159" customFormat="1" ht="16.5" x14ac:dyDescent="0.3">
      <c r="A17" s="209" t="s">
        <v>233</v>
      </c>
      <c r="B17" s="210" t="s">
        <v>415</v>
      </c>
      <c r="C17" s="215" t="s">
        <v>213</v>
      </c>
      <c r="D17" s="215" t="s">
        <v>234</v>
      </c>
      <c r="E17" s="165">
        <f>G17*1000</f>
        <v>-39380800</v>
      </c>
      <c r="F17" s="255">
        <v>1</v>
      </c>
      <c r="G17" s="165">
        <v>-39380.800000000003</v>
      </c>
    </row>
    <row r="18" spans="1:7" s="159" customFormat="1" ht="49.5" x14ac:dyDescent="0.3">
      <c r="A18" s="209" t="s">
        <v>235</v>
      </c>
      <c r="B18" s="211" t="s">
        <v>236</v>
      </c>
      <c r="C18" s="215" t="s">
        <v>213</v>
      </c>
      <c r="D18" s="215" t="s">
        <v>234</v>
      </c>
      <c r="E18" s="165">
        <f t="shared" ref="E18:E81" si="0">G18*1000</f>
        <v>166699000</v>
      </c>
      <c r="F18" s="255">
        <v>1</v>
      </c>
      <c r="G18" s="268">
        <v>166699</v>
      </c>
    </row>
    <row r="19" spans="1:7" s="159" customFormat="1" ht="16.5" customHeight="1" x14ac:dyDescent="0.3">
      <c r="A19" s="209" t="s">
        <v>237</v>
      </c>
      <c r="B19" s="211" t="s">
        <v>238</v>
      </c>
      <c r="C19" s="215" t="s">
        <v>213</v>
      </c>
      <c r="D19" s="215" t="s">
        <v>234</v>
      </c>
      <c r="E19" s="165">
        <f t="shared" si="0"/>
        <v>147856000</v>
      </c>
      <c r="F19" s="255">
        <v>1</v>
      </c>
      <c r="G19" s="268">
        <v>147856</v>
      </c>
    </row>
    <row r="20" spans="1:7" s="159" customFormat="1" ht="16.5" customHeight="1" x14ac:dyDescent="0.3">
      <c r="A20" s="209" t="s">
        <v>239</v>
      </c>
      <c r="B20" s="211" t="s">
        <v>240</v>
      </c>
      <c r="C20" s="215" t="s">
        <v>213</v>
      </c>
      <c r="D20" s="215" t="s">
        <v>234</v>
      </c>
      <c r="E20" s="165">
        <f t="shared" si="0"/>
        <v>241371000</v>
      </c>
      <c r="F20" s="255">
        <v>1</v>
      </c>
      <c r="G20" s="268">
        <v>241371</v>
      </c>
    </row>
    <row r="21" spans="1:7" s="159" customFormat="1" ht="49.5" x14ac:dyDescent="0.3">
      <c r="A21" s="209" t="s">
        <v>241</v>
      </c>
      <c r="B21" s="34" t="s">
        <v>242</v>
      </c>
      <c r="C21" s="215" t="s">
        <v>213</v>
      </c>
      <c r="D21" s="215" t="s">
        <v>234</v>
      </c>
      <c r="E21" s="165">
        <f t="shared" si="0"/>
        <v>159629000</v>
      </c>
      <c r="F21" s="255">
        <v>1</v>
      </c>
      <c r="G21" s="268">
        <v>159629</v>
      </c>
    </row>
    <row r="22" spans="1:7" s="159" customFormat="1" ht="31.5" customHeight="1" x14ac:dyDescent="0.3">
      <c r="A22" s="209" t="s">
        <v>243</v>
      </c>
      <c r="B22" s="34" t="s">
        <v>244</v>
      </c>
      <c r="C22" s="215" t="s">
        <v>213</v>
      </c>
      <c r="D22" s="215" t="s">
        <v>234</v>
      </c>
      <c r="E22" s="165">
        <f t="shared" si="0"/>
        <v>75434000</v>
      </c>
      <c r="F22" s="255">
        <v>1</v>
      </c>
      <c r="G22" s="268">
        <v>75434</v>
      </c>
    </row>
    <row r="23" spans="1:7" s="159" customFormat="1" ht="16.5" customHeight="1" x14ac:dyDescent="0.3">
      <c r="A23" s="209" t="s">
        <v>245</v>
      </c>
      <c r="B23" s="212" t="s">
        <v>246</v>
      </c>
      <c r="C23" s="215" t="s">
        <v>213</v>
      </c>
      <c r="D23" s="215" t="s">
        <v>234</v>
      </c>
      <c r="E23" s="165">
        <f t="shared" si="0"/>
        <v>64914000</v>
      </c>
      <c r="F23" s="255">
        <v>1</v>
      </c>
      <c r="G23" s="268">
        <v>64914</v>
      </c>
    </row>
    <row r="24" spans="1:7" s="159" customFormat="1" ht="16.5" customHeight="1" x14ac:dyDescent="0.3">
      <c r="A24" s="209" t="s">
        <v>247</v>
      </c>
      <c r="B24" s="34" t="s">
        <v>248</v>
      </c>
      <c r="C24" s="215" t="s">
        <v>213</v>
      </c>
      <c r="D24" s="215" t="s">
        <v>234</v>
      </c>
      <c r="E24" s="165">
        <f t="shared" si="0"/>
        <v>857170000</v>
      </c>
      <c r="F24" s="255">
        <v>1</v>
      </c>
      <c r="G24" s="165">
        <v>857170</v>
      </c>
    </row>
    <row r="25" spans="1:7" s="159" customFormat="1" ht="49.5" x14ac:dyDescent="0.3">
      <c r="A25" s="209" t="s">
        <v>249</v>
      </c>
      <c r="B25" s="34" t="s">
        <v>250</v>
      </c>
      <c r="C25" s="215" t="s">
        <v>213</v>
      </c>
      <c r="D25" s="215" t="s">
        <v>234</v>
      </c>
      <c r="E25" s="165">
        <f t="shared" si="0"/>
        <v>348000000</v>
      </c>
      <c r="F25" s="255">
        <v>1</v>
      </c>
      <c r="G25" s="165">
        <v>348000</v>
      </c>
    </row>
    <row r="26" spans="1:7" s="159" customFormat="1" ht="33" x14ac:dyDescent="0.3">
      <c r="A26" s="209" t="s">
        <v>251</v>
      </c>
      <c r="B26" s="211" t="s">
        <v>252</v>
      </c>
      <c r="C26" s="215" t="s">
        <v>213</v>
      </c>
      <c r="D26" s="215" t="s">
        <v>234</v>
      </c>
      <c r="E26" s="165">
        <f t="shared" si="0"/>
        <v>2011000</v>
      </c>
      <c r="F26" s="255">
        <v>1</v>
      </c>
      <c r="G26" s="268">
        <v>2011</v>
      </c>
    </row>
    <row r="27" spans="1:7" s="159" customFormat="1" ht="33" x14ac:dyDescent="0.3">
      <c r="A27" s="209" t="s">
        <v>253</v>
      </c>
      <c r="B27" s="41" t="s">
        <v>254</v>
      </c>
      <c r="C27" s="215" t="s">
        <v>213</v>
      </c>
      <c r="D27" s="215" t="s">
        <v>234</v>
      </c>
      <c r="E27" s="165">
        <f t="shared" si="0"/>
        <v>28322000</v>
      </c>
      <c r="F27" s="255">
        <v>1</v>
      </c>
      <c r="G27" s="268">
        <v>28322</v>
      </c>
    </row>
    <row r="28" spans="1:7" s="159" customFormat="1" ht="33" x14ac:dyDescent="0.3">
      <c r="A28" s="209" t="s">
        <v>255</v>
      </c>
      <c r="B28" s="211" t="s">
        <v>256</v>
      </c>
      <c r="C28" s="215" t="s">
        <v>213</v>
      </c>
      <c r="D28" s="215" t="s">
        <v>234</v>
      </c>
      <c r="E28" s="165">
        <f t="shared" si="0"/>
        <v>1470845600</v>
      </c>
      <c r="F28" s="255">
        <v>1</v>
      </c>
      <c r="G28" s="268">
        <v>1470845.6</v>
      </c>
    </row>
    <row r="29" spans="1:7" s="159" customFormat="1" ht="33" x14ac:dyDescent="0.3">
      <c r="A29" s="209" t="s">
        <v>257</v>
      </c>
      <c r="B29" s="210" t="s">
        <v>258</v>
      </c>
      <c r="C29" s="215" t="s">
        <v>213</v>
      </c>
      <c r="D29" s="215" t="s">
        <v>234</v>
      </c>
      <c r="E29" s="165">
        <f t="shared" si="0"/>
        <v>209165000</v>
      </c>
      <c r="F29" s="255">
        <v>1</v>
      </c>
      <c r="G29" s="268">
        <v>209165</v>
      </c>
    </row>
    <row r="30" spans="1:7" s="159" customFormat="1" ht="49.5" x14ac:dyDescent="0.3">
      <c r="A30" s="209" t="s">
        <v>259</v>
      </c>
      <c r="B30" s="210" t="s">
        <v>260</v>
      </c>
      <c r="C30" s="215" t="s">
        <v>213</v>
      </c>
      <c r="D30" s="215" t="s">
        <v>234</v>
      </c>
      <c r="E30" s="165">
        <f t="shared" si="0"/>
        <v>39214000</v>
      </c>
      <c r="F30" s="255">
        <v>1</v>
      </c>
      <c r="G30" s="165">
        <v>39214</v>
      </c>
    </row>
    <row r="31" spans="1:7" s="159" customFormat="1" ht="33" x14ac:dyDescent="0.3">
      <c r="A31" s="209" t="s">
        <v>261</v>
      </c>
      <c r="B31" s="213" t="s">
        <v>78</v>
      </c>
      <c r="C31" s="215" t="s">
        <v>213</v>
      </c>
      <c r="D31" s="215" t="s">
        <v>234</v>
      </c>
      <c r="E31" s="165">
        <f t="shared" si="0"/>
        <v>12626000</v>
      </c>
      <c r="F31" s="255">
        <v>1</v>
      </c>
      <c r="G31" s="268">
        <v>12626</v>
      </c>
    </row>
    <row r="32" spans="1:7" s="159" customFormat="1" ht="16.5" customHeight="1" x14ac:dyDescent="0.3">
      <c r="A32" s="209" t="s">
        <v>262</v>
      </c>
      <c r="B32" s="213" t="s">
        <v>79</v>
      </c>
      <c r="C32" s="215" t="s">
        <v>213</v>
      </c>
      <c r="D32" s="215" t="s">
        <v>234</v>
      </c>
      <c r="E32" s="165">
        <f t="shared" si="0"/>
        <v>79891000</v>
      </c>
      <c r="F32" s="255">
        <v>1</v>
      </c>
      <c r="G32" s="268">
        <v>79891</v>
      </c>
    </row>
    <row r="33" spans="1:92" s="159" customFormat="1" ht="16.5" customHeight="1" x14ac:dyDescent="0.3">
      <c r="A33" s="209" t="s">
        <v>251</v>
      </c>
      <c r="B33" s="213" t="s">
        <v>40</v>
      </c>
      <c r="C33" s="215" t="s">
        <v>213</v>
      </c>
      <c r="D33" s="215" t="s">
        <v>234</v>
      </c>
      <c r="E33" s="165">
        <f t="shared" si="0"/>
        <v>29963000</v>
      </c>
      <c r="F33" s="255">
        <v>1</v>
      </c>
      <c r="G33" s="165">
        <v>29963</v>
      </c>
    </row>
    <row r="34" spans="1:92" s="159" customFormat="1" ht="33" x14ac:dyDescent="0.3">
      <c r="A34" s="209" t="s">
        <v>263</v>
      </c>
      <c r="B34" s="213" t="s">
        <v>41</v>
      </c>
      <c r="C34" s="215" t="s">
        <v>213</v>
      </c>
      <c r="D34" s="215" t="s">
        <v>234</v>
      </c>
      <c r="E34" s="165">
        <f t="shared" si="0"/>
        <v>9297000</v>
      </c>
      <c r="F34" s="255">
        <v>1</v>
      </c>
      <c r="G34" s="268">
        <v>9297</v>
      </c>
    </row>
    <row r="35" spans="1:92" s="159" customFormat="1" ht="16.5" customHeight="1" x14ac:dyDescent="0.3">
      <c r="A35" s="209" t="s">
        <v>264</v>
      </c>
      <c r="B35" s="213" t="s">
        <v>42</v>
      </c>
      <c r="C35" s="215" t="s">
        <v>213</v>
      </c>
      <c r="D35" s="215" t="s">
        <v>234</v>
      </c>
      <c r="E35" s="165">
        <f t="shared" si="0"/>
        <v>104959000</v>
      </c>
      <c r="F35" s="255">
        <v>1</v>
      </c>
      <c r="G35" s="268">
        <v>104959</v>
      </c>
    </row>
    <row r="36" spans="1:92" s="159" customFormat="1" ht="16.5" customHeight="1" x14ac:dyDescent="0.3">
      <c r="A36" s="209" t="s">
        <v>265</v>
      </c>
      <c r="B36" s="213" t="s">
        <v>43</v>
      </c>
      <c r="C36" s="215" t="s">
        <v>213</v>
      </c>
      <c r="D36" s="215" t="s">
        <v>234</v>
      </c>
      <c r="E36" s="165">
        <f t="shared" si="0"/>
        <v>200735000</v>
      </c>
      <c r="F36" s="255">
        <v>1</v>
      </c>
      <c r="G36" s="165">
        <v>200735</v>
      </c>
    </row>
    <row r="37" spans="1:92" s="159" customFormat="1" ht="16.5" customHeight="1" x14ac:dyDescent="0.3">
      <c r="A37" s="209" t="s">
        <v>266</v>
      </c>
      <c r="B37" s="213" t="s">
        <v>44</v>
      </c>
      <c r="C37" s="215" t="s">
        <v>213</v>
      </c>
      <c r="D37" s="215" t="s">
        <v>234</v>
      </c>
      <c r="E37" s="165">
        <f t="shared" si="0"/>
        <v>177905000</v>
      </c>
      <c r="F37" s="255">
        <v>1</v>
      </c>
      <c r="G37" s="268">
        <v>177905</v>
      </c>
    </row>
    <row r="38" spans="1:92" s="159" customFormat="1" ht="33" x14ac:dyDescent="0.3">
      <c r="A38" s="209" t="s">
        <v>267</v>
      </c>
      <c r="B38" s="213" t="s">
        <v>45</v>
      </c>
      <c r="C38" s="215" t="s">
        <v>213</v>
      </c>
      <c r="D38" s="215" t="s">
        <v>234</v>
      </c>
      <c r="E38" s="165">
        <f t="shared" si="0"/>
        <v>297361000</v>
      </c>
      <c r="F38" s="255">
        <v>1</v>
      </c>
      <c r="G38" s="165">
        <v>297361</v>
      </c>
    </row>
    <row r="39" spans="1:92" s="159" customFormat="1" ht="33" x14ac:dyDescent="0.3">
      <c r="A39" s="209" t="s">
        <v>268</v>
      </c>
      <c r="B39" s="213" t="s">
        <v>46</v>
      </c>
      <c r="C39" s="215" t="s">
        <v>213</v>
      </c>
      <c r="D39" s="215" t="s">
        <v>234</v>
      </c>
      <c r="E39" s="165">
        <f t="shared" si="0"/>
        <v>35096000</v>
      </c>
      <c r="F39" s="255">
        <v>1</v>
      </c>
      <c r="G39" s="268">
        <v>35096</v>
      </c>
    </row>
    <row r="40" spans="1:92" s="159" customFormat="1" ht="16.5" x14ac:dyDescent="0.3">
      <c r="A40" s="209" t="s">
        <v>269</v>
      </c>
      <c r="B40" s="213" t="s">
        <v>47</v>
      </c>
      <c r="C40" s="215" t="s">
        <v>213</v>
      </c>
      <c r="D40" s="215" t="s">
        <v>234</v>
      </c>
      <c r="E40" s="165">
        <f t="shared" si="0"/>
        <v>225184000</v>
      </c>
      <c r="F40" s="255">
        <v>1</v>
      </c>
      <c r="G40" s="268">
        <v>225184</v>
      </c>
    </row>
    <row r="41" spans="1:92" s="159" customFormat="1" ht="33" x14ac:dyDescent="0.3">
      <c r="A41" s="209" t="s">
        <v>270</v>
      </c>
      <c r="B41" s="213" t="s">
        <v>99</v>
      </c>
      <c r="C41" s="215" t="s">
        <v>213</v>
      </c>
      <c r="D41" s="215" t="s">
        <v>234</v>
      </c>
      <c r="E41" s="165">
        <f t="shared" si="0"/>
        <v>90000000</v>
      </c>
      <c r="F41" s="255">
        <v>1</v>
      </c>
      <c r="G41" s="165">
        <v>90000</v>
      </c>
    </row>
    <row r="42" spans="1:92" s="159" customFormat="1" ht="33" x14ac:dyDescent="0.3">
      <c r="A42" s="209" t="s">
        <v>271</v>
      </c>
      <c r="B42" s="213" t="s">
        <v>100</v>
      </c>
      <c r="C42" s="215" t="s">
        <v>213</v>
      </c>
      <c r="D42" s="215" t="s">
        <v>234</v>
      </c>
      <c r="E42" s="165">
        <f t="shared" si="0"/>
        <v>218768000</v>
      </c>
      <c r="F42" s="255">
        <v>1</v>
      </c>
      <c r="G42" s="165">
        <v>218768</v>
      </c>
      <c r="CN42" s="214"/>
    </row>
    <row r="43" spans="1:92" s="159" customFormat="1" ht="16.5" x14ac:dyDescent="0.3">
      <c r="A43" s="209" t="s">
        <v>272</v>
      </c>
      <c r="B43" s="213" t="s">
        <v>101</v>
      </c>
      <c r="C43" s="215" t="s">
        <v>213</v>
      </c>
      <c r="D43" s="215" t="s">
        <v>234</v>
      </c>
      <c r="E43" s="165">
        <f t="shared" si="0"/>
        <v>129879000</v>
      </c>
      <c r="F43" s="255">
        <v>1</v>
      </c>
      <c r="G43" s="268">
        <v>129879</v>
      </c>
      <c r="CM43" s="207"/>
    </row>
    <row r="44" spans="1:92" s="217" customFormat="1" ht="16.5" x14ac:dyDescent="0.3">
      <c r="A44" s="215" t="s">
        <v>338</v>
      </c>
      <c r="B44" s="35" t="s">
        <v>339</v>
      </c>
      <c r="C44" s="215" t="s">
        <v>213</v>
      </c>
      <c r="D44" s="215" t="s">
        <v>234</v>
      </c>
      <c r="E44" s="165">
        <f t="shared" si="0"/>
        <v>-36585000</v>
      </c>
      <c r="F44" s="255">
        <v>1</v>
      </c>
      <c r="G44" s="165">
        <v>-36585</v>
      </c>
    </row>
    <row r="45" spans="1:92" ht="49.5" x14ac:dyDescent="0.3">
      <c r="A45" s="215" t="s">
        <v>340</v>
      </c>
      <c r="B45" s="34" t="s">
        <v>341</v>
      </c>
      <c r="C45" s="215" t="s">
        <v>342</v>
      </c>
      <c r="D45" s="215" t="s">
        <v>234</v>
      </c>
      <c r="E45" s="165">
        <f t="shared" si="0"/>
        <v>350000</v>
      </c>
      <c r="F45" s="255">
        <v>1</v>
      </c>
      <c r="G45" s="165">
        <v>350</v>
      </c>
      <c r="CM45" s="218"/>
    </row>
    <row r="46" spans="1:92" s="159" customFormat="1" ht="16.5" x14ac:dyDescent="0.3">
      <c r="A46" s="215" t="s">
        <v>343</v>
      </c>
      <c r="B46" s="34" t="s">
        <v>344</v>
      </c>
      <c r="C46" s="215" t="s">
        <v>342</v>
      </c>
      <c r="D46" s="215" t="s">
        <v>234</v>
      </c>
      <c r="E46" s="165">
        <f t="shared" si="0"/>
        <v>37900000</v>
      </c>
      <c r="F46" s="255">
        <v>1</v>
      </c>
      <c r="G46" s="165">
        <v>37900</v>
      </c>
    </row>
    <row r="47" spans="1:92" s="159" customFormat="1" ht="49.5" x14ac:dyDescent="0.3">
      <c r="A47" s="215" t="s">
        <v>345</v>
      </c>
      <c r="B47" s="34" t="s">
        <v>416</v>
      </c>
      <c r="C47" s="215" t="s">
        <v>342</v>
      </c>
      <c r="D47" s="215" t="s">
        <v>234</v>
      </c>
      <c r="E47" s="165">
        <f t="shared" si="0"/>
        <v>400000</v>
      </c>
      <c r="F47" s="255">
        <v>1</v>
      </c>
      <c r="G47" s="165">
        <v>400</v>
      </c>
    </row>
    <row r="48" spans="1:92" s="159" customFormat="1" ht="49.5" x14ac:dyDescent="0.3">
      <c r="A48" s="215" t="s">
        <v>347</v>
      </c>
      <c r="B48" s="34" t="s">
        <v>346</v>
      </c>
      <c r="C48" s="215" t="s">
        <v>342</v>
      </c>
      <c r="D48" s="215" t="s">
        <v>234</v>
      </c>
      <c r="E48" s="165">
        <f t="shared" si="0"/>
        <v>1900000</v>
      </c>
      <c r="F48" s="255">
        <v>1</v>
      </c>
      <c r="G48" s="165">
        <v>1900</v>
      </c>
    </row>
    <row r="49" spans="1:7" s="159" customFormat="1" ht="33" x14ac:dyDescent="0.3">
      <c r="A49" s="215" t="s">
        <v>348</v>
      </c>
      <c r="B49" s="34" t="s">
        <v>110</v>
      </c>
      <c r="C49" s="215" t="s">
        <v>342</v>
      </c>
      <c r="D49" s="215" t="s">
        <v>234</v>
      </c>
      <c r="E49" s="165">
        <f t="shared" si="0"/>
        <v>200000</v>
      </c>
      <c r="F49" s="255">
        <v>1</v>
      </c>
      <c r="G49" s="165">
        <v>200</v>
      </c>
    </row>
    <row r="50" spans="1:7" s="159" customFormat="1" ht="33" x14ac:dyDescent="0.3">
      <c r="A50" s="215" t="s">
        <v>349</v>
      </c>
      <c r="B50" s="34" t="s">
        <v>111</v>
      </c>
      <c r="C50" s="215" t="s">
        <v>342</v>
      </c>
      <c r="D50" s="215" t="s">
        <v>234</v>
      </c>
      <c r="E50" s="165">
        <f t="shared" si="0"/>
        <v>7000000</v>
      </c>
      <c r="F50" s="255">
        <v>1</v>
      </c>
      <c r="G50" s="165">
        <v>7000</v>
      </c>
    </row>
    <row r="51" spans="1:7" s="159" customFormat="1" ht="33" x14ac:dyDescent="0.3">
      <c r="A51" s="215" t="s">
        <v>350</v>
      </c>
      <c r="B51" s="34" t="s">
        <v>112</v>
      </c>
      <c r="C51" s="215" t="s">
        <v>342</v>
      </c>
      <c r="D51" s="215" t="s">
        <v>234</v>
      </c>
      <c r="E51" s="165">
        <f t="shared" si="0"/>
        <v>3600000</v>
      </c>
      <c r="F51" s="255">
        <v>1</v>
      </c>
      <c r="G51" s="165">
        <v>3600</v>
      </c>
    </row>
    <row r="52" spans="1:7" s="159" customFormat="1" ht="49.5" x14ac:dyDescent="0.3">
      <c r="A52" s="215" t="s">
        <v>351</v>
      </c>
      <c r="B52" s="34" t="s">
        <v>412</v>
      </c>
      <c r="C52" s="215" t="s">
        <v>342</v>
      </c>
      <c r="D52" s="215" t="s">
        <v>234</v>
      </c>
      <c r="E52" s="165">
        <f t="shared" si="0"/>
        <v>700000</v>
      </c>
      <c r="F52" s="255">
        <v>1</v>
      </c>
      <c r="G52" s="165">
        <v>700</v>
      </c>
    </row>
    <row r="53" spans="1:7" s="159" customFormat="1" ht="33" x14ac:dyDescent="0.3">
      <c r="A53" s="215" t="s">
        <v>352</v>
      </c>
      <c r="B53" s="34" t="s">
        <v>113</v>
      </c>
      <c r="C53" s="215" t="s">
        <v>342</v>
      </c>
      <c r="D53" s="215" t="s">
        <v>234</v>
      </c>
      <c r="E53" s="165">
        <f t="shared" si="0"/>
        <v>1300000</v>
      </c>
      <c r="F53" s="255">
        <v>1</v>
      </c>
      <c r="G53" s="165">
        <v>1300</v>
      </c>
    </row>
    <row r="54" spans="1:7" s="159" customFormat="1" ht="33" x14ac:dyDescent="0.3">
      <c r="A54" s="215" t="s">
        <v>353</v>
      </c>
      <c r="B54" s="34" t="s">
        <v>114</v>
      </c>
      <c r="C54" s="215" t="s">
        <v>342</v>
      </c>
      <c r="D54" s="215" t="s">
        <v>234</v>
      </c>
      <c r="E54" s="165">
        <f t="shared" si="0"/>
        <v>3370000</v>
      </c>
      <c r="F54" s="255">
        <v>1</v>
      </c>
      <c r="G54" s="165">
        <v>3370</v>
      </c>
    </row>
    <row r="55" spans="1:7" s="159" customFormat="1" ht="49.5" x14ac:dyDescent="0.3">
      <c r="A55" s="215" t="s">
        <v>354</v>
      </c>
      <c r="B55" s="34" t="s">
        <v>115</v>
      </c>
      <c r="C55" s="215" t="s">
        <v>342</v>
      </c>
      <c r="D55" s="215" t="s">
        <v>234</v>
      </c>
      <c r="E55" s="165">
        <f t="shared" si="0"/>
        <v>2400000</v>
      </c>
      <c r="F55" s="255">
        <v>1</v>
      </c>
      <c r="G55" s="165">
        <v>2400</v>
      </c>
    </row>
    <row r="56" spans="1:7" s="159" customFormat="1" ht="33" x14ac:dyDescent="0.3">
      <c r="A56" s="215" t="s">
        <v>355</v>
      </c>
      <c r="B56" s="34" t="s">
        <v>116</v>
      </c>
      <c r="C56" s="215" t="s">
        <v>342</v>
      </c>
      <c r="D56" s="215" t="s">
        <v>234</v>
      </c>
      <c r="E56" s="165">
        <f t="shared" si="0"/>
        <v>2200000</v>
      </c>
      <c r="F56" s="255">
        <v>1</v>
      </c>
      <c r="G56" s="165">
        <v>2200</v>
      </c>
    </row>
    <row r="57" spans="1:7" s="159" customFormat="1" ht="33" x14ac:dyDescent="0.3">
      <c r="A57" s="215" t="s">
        <v>356</v>
      </c>
      <c r="B57" s="34" t="s">
        <v>117</v>
      </c>
      <c r="C57" s="215" t="s">
        <v>342</v>
      </c>
      <c r="D57" s="215" t="s">
        <v>234</v>
      </c>
      <c r="E57" s="165">
        <f t="shared" si="0"/>
        <v>1130000</v>
      </c>
      <c r="F57" s="255">
        <v>1</v>
      </c>
      <c r="G57" s="165">
        <v>1130</v>
      </c>
    </row>
    <row r="58" spans="1:7" s="159" customFormat="1" ht="33" x14ac:dyDescent="0.3">
      <c r="A58" s="215" t="s">
        <v>357</v>
      </c>
      <c r="B58" s="34" t="s">
        <v>118</v>
      </c>
      <c r="C58" s="215" t="s">
        <v>342</v>
      </c>
      <c r="D58" s="215" t="s">
        <v>234</v>
      </c>
      <c r="E58" s="165">
        <f t="shared" si="0"/>
        <v>700000</v>
      </c>
      <c r="F58" s="255">
        <v>1</v>
      </c>
      <c r="G58" s="165">
        <v>700</v>
      </c>
    </row>
    <row r="59" spans="1:7" s="159" customFormat="1" ht="33" x14ac:dyDescent="0.3">
      <c r="A59" s="215" t="s">
        <v>358</v>
      </c>
      <c r="B59" s="34" t="s">
        <v>119</v>
      </c>
      <c r="C59" s="215" t="s">
        <v>342</v>
      </c>
      <c r="D59" s="215" t="s">
        <v>234</v>
      </c>
      <c r="E59" s="165">
        <f t="shared" si="0"/>
        <v>1360000</v>
      </c>
      <c r="F59" s="255">
        <v>1</v>
      </c>
      <c r="G59" s="165">
        <v>1360</v>
      </c>
    </row>
    <row r="60" spans="1:7" s="159" customFormat="1" ht="33" x14ac:dyDescent="0.3">
      <c r="A60" s="215" t="s">
        <v>359</v>
      </c>
      <c r="B60" s="34" t="s">
        <v>120</v>
      </c>
      <c r="C60" s="215" t="s">
        <v>342</v>
      </c>
      <c r="D60" s="215" t="s">
        <v>234</v>
      </c>
      <c r="E60" s="165">
        <f t="shared" si="0"/>
        <v>1300000</v>
      </c>
      <c r="F60" s="255">
        <v>1</v>
      </c>
      <c r="G60" s="165">
        <v>1300</v>
      </c>
    </row>
    <row r="61" spans="1:7" s="159" customFormat="1" ht="33" x14ac:dyDescent="0.3">
      <c r="A61" s="215" t="s">
        <v>360</v>
      </c>
      <c r="B61" s="34" t="s">
        <v>121</v>
      </c>
      <c r="C61" s="215" t="s">
        <v>342</v>
      </c>
      <c r="D61" s="215" t="s">
        <v>234</v>
      </c>
      <c r="E61" s="165">
        <f t="shared" si="0"/>
        <v>1500000</v>
      </c>
      <c r="F61" s="255">
        <v>1</v>
      </c>
      <c r="G61" s="165">
        <v>1500</v>
      </c>
    </row>
    <row r="62" spans="1:7" s="159" customFormat="1" ht="33" x14ac:dyDescent="0.3">
      <c r="A62" s="215" t="s">
        <v>417</v>
      </c>
      <c r="B62" s="34" t="s">
        <v>122</v>
      </c>
      <c r="C62" s="215" t="s">
        <v>342</v>
      </c>
      <c r="D62" s="215" t="s">
        <v>234</v>
      </c>
      <c r="E62" s="165">
        <f t="shared" si="0"/>
        <v>6000000</v>
      </c>
      <c r="F62" s="255">
        <v>1</v>
      </c>
      <c r="G62" s="165">
        <v>6000</v>
      </c>
    </row>
    <row r="63" spans="1:7" s="159" customFormat="1" ht="33" x14ac:dyDescent="0.3">
      <c r="A63" s="215" t="s">
        <v>418</v>
      </c>
      <c r="B63" s="34" t="s">
        <v>123</v>
      </c>
      <c r="C63" s="215" t="s">
        <v>342</v>
      </c>
      <c r="D63" s="215" t="s">
        <v>234</v>
      </c>
      <c r="E63" s="165">
        <f t="shared" si="0"/>
        <v>1700000</v>
      </c>
      <c r="F63" s="255">
        <v>1</v>
      </c>
      <c r="G63" s="165">
        <v>1700</v>
      </c>
    </row>
    <row r="64" spans="1:7" s="159" customFormat="1" ht="142.5" x14ac:dyDescent="0.3">
      <c r="A64" s="215" t="s">
        <v>419</v>
      </c>
      <c r="B64" s="51" t="s">
        <v>130</v>
      </c>
      <c r="C64" s="256" t="str">
        <f t="shared" ref="C64:D64" si="1">C63</f>
        <v>ԵՄ</v>
      </c>
      <c r="D64" s="256" t="str">
        <f t="shared" si="1"/>
        <v>Դրամ</v>
      </c>
      <c r="E64" s="165">
        <f t="shared" si="0"/>
        <v>23500000</v>
      </c>
      <c r="F64" s="255">
        <v>1</v>
      </c>
      <c r="G64" s="257">
        <v>23500</v>
      </c>
    </row>
    <row r="65" spans="1:7" s="159" customFormat="1" ht="16.5" x14ac:dyDescent="0.3">
      <c r="A65" s="215"/>
      <c r="B65" s="263" t="s">
        <v>420</v>
      </c>
      <c r="C65" s="264"/>
      <c r="D65" s="264"/>
      <c r="E65" s="165"/>
      <c r="F65" s="255"/>
      <c r="G65" s="269">
        <f>SUM(G66:G121)</f>
        <v>80832.711999999985</v>
      </c>
    </row>
    <row r="66" spans="1:7" s="159" customFormat="1" ht="16.5" x14ac:dyDescent="0.3">
      <c r="A66" s="215"/>
      <c r="B66" s="216" t="s">
        <v>273</v>
      </c>
      <c r="C66" s="215"/>
      <c r="D66" s="215"/>
      <c r="E66" s="165"/>
      <c r="F66" s="255"/>
      <c r="G66" s="165"/>
    </row>
    <row r="67" spans="1:7" s="159" customFormat="1" ht="16.5" x14ac:dyDescent="0.3">
      <c r="A67" s="256" t="s">
        <v>274</v>
      </c>
      <c r="B67" s="211" t="s">
        <v>421</v>
      </c>
      <c r="C67" s="215" t="s">
        <v>213</v>
      </c>
      <c r="D67" s="215" t="s">
        <v>234</v>
      </c>
      <c r="E67" s="165">
        <f t="shared" si="0"/>
        <v>-5797380</v>
      </c>
      <c r="F67" s="255">
        <v>1</v>
      </c>
      <c r="G67" s="165">
        <v>-5797.38</v>
      </c>
    </row>
    <row r="68" spans="1:7" s="159" customFormat="1" ht="49.5" x14ac:dyDescent="0.3">
      <c r="A68" s="256" t="s">
        <v>275</v>
      </c>
      <c r="B68" s="211" t="s">
        <v>236</v>
      </c>
      <c r="C68" s="215" t="s">
        <v>213</v>
      </c>
      <c r="D68" s="215" t="s">
        <v>234</v>
      </c>
      <c r="E68" s="165">
        <f t="shared" si="0"/>
        <v>1667000</v>
      </c>
      <c r="F68" s="255">
        <v>1</v>
      </c>
      <c r="G68" s="268">
        <v>1667</v>
      </c>
    </row>
    <row r="69" spans="1:7" s="159" customFormat="1" ht="33" x14ac:dyDescent="0.3">
      <c r="A69" s="256" t="s">
        <v>276</v>
      </c>
      <c r="B69" s="211" t="s">
        <v>238</v>
      </c>
      <c r="C69" s="215" t="s">
        <v>213</v>
      </c>
      <c r="D69" s="215" t="s">
        <v>234</v>
      </c>
      <c r="E69" s="165">
        <f t="shared" si="0"/>
        <v>1478570</v>
      </c>
      <c r="F69" s="255">
        <v>1</v>
      </c>
      <c r="G69" s="268">
        <v>1478.57</v>
      </c>
    </row>
    <row r="70" spans="1:7" s="159" customFormat="1" ht="33" x14ac:dyDescent="0.3">
      <c r="A70" s="256" t="s">
        <v>277</v>
      </c>
      <c r="B70" s="211" t="s">
        <v>240</v>
      </c>
      <c r="C70" s="215" t="s">
        <v>213</v>
      </c>
      <c r="D70" s="215" t="s">
        <v>234</v>
      </c>
      <c r="E70" s="165">
        <f t="shared" si="0"/>
        <v>2413710</v>
      </c>
      <c r="F70" s="255">
        <v>1</v>
      </c>
      <c r="G70" s="268">
        <v>2413.71</v>
      </c>
    </row>
    <row r="71" spans="1:7" s="159" customFormat="1" ht="49.5" x14ac:dyDescent="0.3">
      <c r="A71" s="256" t="s">
        <v>278</v>
      </c>
      <c r="B71" s="34" t="s">
        <v>242</v>
      </c>
      <c r="C71" s="215" t="s">
        <v>213</v>
      </c>
      <c r="D71" s="215" t="s">
        <v>234</v>
      </c>
      <c r="E71" s="165">
        <f t="shared" si="0"/>
        <v>1596300</v>
      </c>
      <c r="F71" s="255">
        <v>1</v>
      </c>
      <c r="G71" s="268">
        <v>1596.3</v>
      </c>
    </row>
    <row r="72" spans="1:7" s="159" customFormat="1" ht="33" x14ac:dyDescent="0.3">
      <c r="A72" s="256" t="s">
        <v>279</v>
      </c>
      <c r="B72" s="34" t="s">
        <v>244</v>
      </c>
      <c r="C72" s="215" t="s">
        <v>213</v>
      </c>
      <c r="D72" s="215" t="s">
        <v>234</v>
      </c>
      <c r="E72" s="165">
        <f t="shared" si="0"/>
        <v>754350</v>
      </c>
      <c r="F72" s="255">
        <v>1</v>
      </c>
      <c r="G72" s="268">
        <v>754.35</v>
      </c>
    </row>
    <row r="73" spans="1:7" s="159" customFormat="1" ht="49.5" x14ac:dyDescent="0.3">
      <c r="A73" s="256" t="s">
        <v>280</v>
      </c>
      <c r="B73" s="212" t="s">
        <v>246</v>
      </c>
      <c r="C73" s="215" t="s">
        <v>213</v>
      </c>
      <c r="D73" s="215" t="s">
        <v>234</v>
      </c>
      <c r="E73" s="165">
        <f t="shared" si="0"/>
        <v>649140</v>
      </c>
      <c r="F73" s="255">
        <v>1</v>
      </c>
      <c r="G73" s="268">
        <v>649.14</v>
      </c>
    </row>
    <row r="74" spans="1:7" s="159" customFormat="1" ht="49.5" x14ac:dyDescent="0.3">
      <c r="A74" s="256" t="s">
        <v>281</v>
      </c>
      <c r="B74" s="34" t="s">
        <v>248</v>
      </c>
      <c r="C74" s="215" t="s">
        <v>213</v>
      </c>
      <c r="D74" s="215" t="s">
        <v>234</v>
      </c>
      <c r="E74" s="165">
        <f t="shared" si="0"/>
        <v>8571700</v>
      </c>
      <c r="F74" s="255">
        <v>1</v>
      </c>
      <c r="G74" s="268">
        <v>8571.7000000000007</v>
      </c>
    </row>
    <row r="75" spans="1:7" s="159" customFormat="1" ht="49.5" x14ac:dyDescent="0.3">
      <c r="A75" s="256" t="s">
        <v>282</v>
      </c>
      <c r="B75" s="34" t="s">
        <v>250</v>
      </c>
      <c r="C75" s="215" t="s">
        <v>213</v>
      </c>
      <c r="D75" s="215" t="s">
        <v>234</v>
      </c>
      <c r="E75" s="165">
        <f t="shared" si="0"/>
        <v>3480000</v>
      </c>
      <c r="F75" s="255">
        <v>1</v>
      </c>
      <c r="G75" s="165">
        <v>3480</v>
      </c>
    </row>
    <row r="76" spans="1:7" s="159" customFormat="1" ht="33" x14ac:dyDescent="0.3">
      <c r="A76" s="256" t="s">
        <v>283</v>
      </c>
      <c r="B76" s="211" t="s">
        <v>252</v>
      </c>
      <c r="C76" s="215" t="s">
        <v>213</v>
      </c>
      <c r="D76" s="215" t="s">
        <v>234</v>
      </c>
      <c r="E76" s="165">
        <f t="shared" si="0"/>
        <v>20170</v>
      </c>
      <c r="F76" s="255">
        <v>1</v>
      </c>
      <c r="G76" s="268">
        <v>20.170000000000002</v>
      </c>
    </row>
    <row r="77" spans="1:7" s="159" customFormat="1" ht="33" x14ac:dyDescent="0.3">
      <c r="A77" s="256" t="s">
        <v>284</v>
      </c>
      <c r="B77" s="41" t="s">
        <v>254</v>
      </c>
      <c r="C77" s="215" t="s">
        <v>213</v>
      </c>
      <c r="D77" s="215" t="s">
        <v>234</v>
      </c>
      <c r="E77" s="165">
        <f t="shared" si="0"/>
        <v>283220</v>
      </c>
      <c r="F77" s="255">
        <v>1</v>
      </c>
      <c r="G77" s="268">
        <v>283.22000000000003</v>
      </c>
    </row>
    <row r="78" spans="1:7" s="159" customFormat="1" ht="33" x14ac:dyDescent="0.3">
      <c r="A78" s="256" t="s">
        <v>285</v>
      </c>
      <c r="B78" s="211" t="s">
        <v>256</v>
      </c>
      <c r="C78" s="215" t="s">
        <v>213</v>
      </c>
      <c r="D78" s="215" t="s">
        <v>234</v>
      </c>
      <c r="E78" s="165">
        <f t="shared" si="0"/>
        <v>14709440</v>
      </c>
      <c r="F78" s="255">
        <v>1</v>
      </c>
      <c r="G78" s="268">
        <v>14709.44</v>
      </c>
    </row>
    <row r="79" spans="1:7" s="159" customFormat="1" ht="33" x14ac:dyDescent="0.3">
      <c r="A79" s="256" t="s">
        <v>286</v>
      </c>
      <c r="B79" s="210" t="s">
        <v>258</v>
      </c>
      <c r="C79" s="215" t="s">
        <v>213</v>
      </c>
      <c r="D79" s="215" t="s">
        <v>234</v>
      </c>
      <c r="E79" s="165">
        <f t="shared" si="0"/>
        <v>2091650</v>
      </c>
      <c r="F79" s="255">
        <v>1</v>
      </c>
      <c r="G79" s="268">
        <v>2091.65</v>
      </c>
    </row>
    <row r="80" spans="1:7" s="159" customFormat="1" ht="49.5" x14ac:dyDescent="0.3">
      <c r="A80" s="256" t="s">
        <v>287</v>
      </c>
      <c r="B80" s="210" t="s">
        <v>260</v>
      </c>
      <c r="C80" s="215" t="s">
        <v>213</v>
      </c>
      <c r="D80" s="215" t="s">
        <v>234</v>
      </c>
      <c r="E80" s="165">
        <f t="shared" si="0"/>
        <v>392140</v>
      </c>
      <c r="F80" s="255">
        <v>1</v>
      </c>
      <c r="G80" s="268">
        <v>392.14</v>
      </c>
    </row>
    <row r="81" spans="1:7" s="159" customFormat="1" ht="33" x14ac:dyDescent="0.3">
      <c r="A81" s="256" t="s">
        <v>288</v>
      </c>
      <c r="B81" s="213" t="s">
        <v>78</v>
      </c>
      <c r="C81" s="215" t="s">
        <v>213</v>
      </c>
      <c r="D81" s="215" t="s">
        <v>234</v>
      </c>
      <c r="E81" s="165">
        <f t="shared" si="0"/>
        <v>126270</v>
      </c>
      <c r="F81" s="255">
        <v>1</v>
      </c>
      <c r="G81" s="165">
        <v>126.27</v>
      </c>
    </row>
    <row r="82" spans="1:7" s="159" customFormat="1" ht="49.5" x14ac:dyDescent="0.3">
      <c r="A82" s="256" t="s">
        <v>289</v>
      </c>
      <c r="B82" s="213" t="s">
        <v>79</v>
      </c>
      <c r="C82" s="215" t="s">
        <v>213</v>
      </c>
      <c r="D82" s="215" t="s">
        <v>234</v>
      </c>
      <c r="E82" s="165">
        <f t="shared" ref="E82:E121" si="2">G82*1000</f>
        <v>798910</v>
      </c>
      <c r="F82" s="255">
        <v>1</v>
      </c>
      <c r="G82" s="165">
        <v>798.91</v>
      </c>
    </row>
    <row r="83" spans="1:7" s="159" customFormat="1" ht="33" x14ac:dyDescent="0.3">
      <c r="A83" s="256" t="s">
        <v>290</v>
      </c>
      <c r="B83" s="213" t="s">
        <v>40</v>
      </c>
      <c r="C83" s="215" t="s">
        <v>213</v>
      </c>
      <c r="D83" s="215" t="s">
        <v>234</v>
      </c>
      <c r="E83" s="165">
        <f t="shared" si="2"/>
        <v>299630</v>
      </c>
      <c r="F83" s="255">
        <v>1</v>
      </c>
      <c r="G83" s="165">
        <v>299.63</v>
      </c>
    </row>
    <row r="84" spans="1:7" s="159" customFormat="1" ht="33" x14ac:dyDescent="0.3">
      <c r="A84" s="256" t="s">
        <v>291</v>
      </c>
      <c r="B84" s="213" t="s">
        <v>41</v>
      </c>
      <c r="C84" s="215" t="s">
        <v>213</v>
      </c>
      <c r="D84" s="215" t="s">
        <v>234</v>
      </c>
      <c r="E84" s="165">
        <f t="shared" si="2"/>
        <v>92990</v>
      </c>
      <c r="F84" s="255">
        <v>1</v>
      </c>
      <c r="G84" s="165">
        <v>92.99</v>
      </c>
    </row>
    <row r="85" spans="1:7" s="159" customFormat="1" ht="16.5" x14ac:dyDescent="0.3">
      <c r="A85" s="256" t="s">
        <v>292</v>
      </c>
      <c r="B85" s="213" t="s">
        <v>42</v>
      </c>
      <c r="C85" s="215" t="s">
        <v>213</v>
      </c>
      <c r="D85" s="215" t="s">
        <v>234</v>
      </c>
      <c r="E85" s="165">
        <f t="shared" si="2"/>
        <v>1049590</v>
      </c>
      <c r="F85" s="255">
        <v>1</v>
      </c>
      <c r="G85" s="165">
        <v>1049.5899999999999</v>
      </c>
    </row>
    <row r="86" spans="1:7" s="159" customFormat="1" ht="33" x14ac:dyDescent="0.3">
      <c r="A86" s="256" t="s">
        <v>293</v>
      </c>
      <c r="B86" s="213" t="s">
        <v>43</v>
      </c>
      <c r="C86" s="215" t="s">
        <v>213</v>
      </c>
      <c r="D86" s="215" t="s">
        <v>234</v>
      </c>
      <c r="E86" s="165">
        <f t="shared" si="2"/>
        <v>2007350</v>
      </c>
      <c r="F86" s="255">
        <v>1</v>
      </c>
      <c r="G86" s="165">
        <v>2007.35</v>
      </c>
    </row>
    <row r="87" spans="1:7" s="159" customFormat="1" ht="33" x14ac:dyDescent="0.3">
      <c r="A87" s="256" t="s">
        <v>294</v>
      </c>
      <c r="B87" s="213" t="s">
        <v>44</v>
      </c>
      <c r="C87" s="215" t="s">
        <v>213</v>
      </c>
      <c r="D87" s="215" t="s">
        <v>234</v>
      </c>
      <c r="E87" s="165">
        <f t="shared" si="2"/>
        <v>1779055</v>
      </c>
      <c r="F87" s="255">
        <v>1</v>
      </c>
      <c r="G87" s="165">
        <v>1779.0550000000001</v>
      </c>
    </row>
    <row r="88" spans="1:7" s="159" customFormat="1" ht="33" x14ac:dyDescent="0.3">
      <c r="A88" s="256" t="s">
        <v>295</v>
      </c>
      <c r="B88" s="213" t="s">
        <v>45</v>
      </c>
      <c r="C88" s="215" t="s">
        <v>213</v>
      </c>
      <c r="D88" s="215" t="s">
        <v>234</v>
      </c>
      <c r="E88" s="165">
        <f t="shared" si="2"/>
        <v>2973610</v>
      </c>
      <c r="F88" s="255">
        <v>1</v>
      </c>
      <c r="G88" s="165">
        <v>2973.61</v>
      </c>
    </row>
    <row r="89" spans="1:7" s="159" customFormat="1" ht="33" x14ac:dyDescent="0.3">
      <c r="A89" s="256" t="s">
        <v>296</v>
      </c>
      <c r="B89" s="213" t="s">
        <v>46</v>
      </c>
      <c r="C89" s="215" t="s">
        <v>213</v>
      </c>
      <c r="D89" s="215" t="s">
        <v>234</v>
      </c>
      <c r="E89" s="165">
        <f t="shared" si="2"/>
        <v>350960</v>
      </c>
      <c r="F89" s="255">
        <v>1</v>
      </c>
      <c r="G89" s="165">
        <v>350.96</v>
      </c>
    </row>
    <row r="90" spans="1:7" s="159" customFormat="1" ht="16.5" x14ac:dyDescent="0.3">
      <c r="A90" s="256" t="s">
        <v>297</v>
      </c>
      <c r="B90" s="213" t="s">
        <v>47</v>
      </c>
      <c r="C90" s="215" t="s">
        <v>213</v>
      </c>
      <c r="D90" s="215" t="s">
        <v>234</v>
      </c>
      <c r="E90" s="165">
        <f t="shared" si="2"/>
        <v>2251847</v>
      </c>
      <c r="F90" s="255">
        <v>1</v>
      </c>
      <c r="G90" s="165">
        <v>2251.8470000000002</v>
      </c>
    </row>
    <row r="91" spans="1:7" s="159" customFormat="1" ht="33" x14ac:dyDescent="0.3">
      <c r="A91" s="256" t="s">
        <v>298</v>
      </c>
      <c r="B91" s="213" t="s">
        <v>99</v>
      </c>
      <c r="C91" s="215" t="s">
        <v>213</v>
      </c>
      <c r="D91" s="215" t="s">
        <v>234</v>
      </c>
      <c r="E91" s="165">
        <f t="shared" si="2"/>
        <v>900000</v>
      </c>
      <c r="F91" s="255">
        <v>1</v>
      </c>
      <c r="G91" s="165">
        <v>900</v>
      </c>
    </row>
    <row r="92" spans="1:7" s="159" customFormat="1" ht="33" x14ac:dyDescent="0.3">
      <c r="A92" s="256" t="s">
        <v>299</v>
      </c>
      <c r="B92" s="213" t="s">
        <v>100</v>
      </c>
      <c r="C92" s="215" t="s">
        <v>213</v>
      </c>
      <c r="D92" s="215" t="s">
        <v>234</v>
      </c>
      <c r="E92" s="165">
        <f t="shared" si="2"/>
        <v>2187680</v>
      </c>
      <c r="F92" s="255">
        <v>1</v>
      </c>
      <c r="G92" s="165">
        <v>2187.6799999999998</v>
      </c>
    </row>
    <row r="93" spans="1:7" s="159" customFormat="1" ht="16.5" x14ac:dyDescent="0.3">
      <c r="A93" s="256" t="s">
        <v>300</v>
      </c>
      <c r="B93" s="213" t="s">
        <v>101</v>
      </c>
      <c r="C93" s="215" t="s">
        <v>213</v>
      </c>
      <c r="D93" s="215" t="s">
        <v>234</v>
      </c>
      <c r="E93" s="165">
        <f t="shared" si="2"/>
        <v>1298790</v>
      </c>
      <c r="F93" s="255">
        <v>1</v>
      </c>
      <c r="G93" s="165">
        <v>1298.79</v>
      </c>
    </row>
    <row r="94" spans="1:7" s="159" customFormat="1" ht="16.5" x14ac:dyDescent="0.3">
      <c r="A94" s="215" t="s">
        <v>301</v>
      </c>
      <c r="B94" s="215" t="s">
        <v>422</v>
      </c>
      <c r="C94" s="215" t="s">
        <v>302</v>
      </c>
      <c r="D94" s="215" t="s">
        <v>234</v>
      </c>
      <c r="E94" s="165">
        <f t="shared" si="2"/>
        <v>-236000</v>
      </c>
      <c r="F94" s="255">
        <v>1</v>
      </c>
      <c r="G94" s="165">
        <v>-236</v>
      </c>
    </row>
    <row r="95" spans="1:7" s="159" customFormat="1" ht="49.5" x14ac:dyDescent="0.3">
      <c r="A95" s="215" t="s">
        <v>303</v>
      </c>
      <c r="B95" s="34" t="s">
        <v>236</v>
      </c>
      <c r="C95" s="215" t="s">
        <v>302</v>
      </c>
      <c r="D95" s="215" t="s">
        <v>234</v>
      </c>
      <c r="E95" s="165">
        <f t="shared" si="2"/>
        <v>1000000</v>
      </c>
      <c r="F95" s="255">
        <v>1</v>
      </c>
      <c r="G95" s="165">
        <v>1000</v>
      </c>
    </row>
    <row r="96" spans="1:7" s="159" customFormat="1" ht="33" x14ac:dyDescent="0.3">
      <c r="A96" s="215" t="s">
        <v>305</v>
      </c>
      <c r="B96" s="34" t="s">
        <v>238</v>
      </c>
      <c r="C96" s="215" t="s">
        <v>302</v>
      </c>
      <c r="D96" s="215" t="s">
        <v>234</v>
      </c>
      <c r="E96" s="165">
        <f t="shared" si="2"/>
        <v>887130</v>
      </c>
      <c r="F96" s="255">
        <v>1</v>
      </c>
      <c r="G96" s="165">
        <v>887.13</v>
      </c>
    </row>
    <row r="97" spans="1:7" s="159" customFormat="1" ht="33" x14ac:dyDescent="0.3">
      <c r="A97" s="215" t="s">
        <v>306</v>
      </c>
      <c r="B97" s="34" t="s">
        <v>240</v>
      </c>
      <c r="C97" s="215" t="s">
        <v>302</v>
      </c>
      <c r="D97" s="215" t="s">
        <v>234</v>
      </c>
      <c r="E97" s="165">
        <f t="shared" si="2"/>
        <v>1448000</v>
      </c>
      <c r="F97" s="255">
        <v>1</v>
      </c>
      <c r="G97" s="165">
        <v>1448</v>
      </c>
    </row>
    <row r="98" spans="1:7" s="159" customFormat="1" ht="49.5" x14ac:dyDescent="0.3">
      <c r="A98" s="215" t="s">
        <v>307</v>
      </c>
      <c r="B98" s="34" t="s">
        <v>242</v>
      </c>
      <c r="C98" s="215" t="s">
        <v>302</v>
      </c>
      <c r="D98" s="215" t="s">
        <v>234</v>
      </c>
      <c r="E98" s="165">
        <f t="shared" si="2"/>
        <v>957770</v>
      </c>
      <c r="F98" s="255">
        <v>1</v>
      </c>
      <c r="G98" s="165">
        <v>957.77</v>
      </c>
    </row>
    <row r="99" spans="1:7" s="159" customFormat="1" ht="33" x14ac:dyDescent="0.3">
      <c r="A99" s="215" t="s">
        <v>308</v>
      </c>
      <c r="B99" s="34" t="s">
        <v>244</v>
      </c>
      <c r="C99" s="215" t="s">
        <v>302</v>
      </c>
      <c r="D99" s="215" t="s">
        <v>234</v>
      </c>
      <c r="E99" s="165">
        <f t="shared" si="2"/>
        <v>452610</v>
      </c>
      <c r="F99" s="255">
        <v>1</v>
      </c>
      <c r="G99" s="165">
        <v>452.61</v>
      </c>
    </row>
    <row r="100" spans="1:7" s="159" customFormat="1" ht="49.5" x14ac:dyDescent="0.3">
      <c r="A100" s="215" t="s">
        <v>309</v>
      </c>
      <c r="B100" s="34" t="s">
        <v>246</v>
      </c>
      <c r="C100" s="215" t="s">
        <v>302</v>
      </c>
      <c r="D100" s="215" t="s">
        <v>234</v>
      </c>
      <c r="E100" s="165">
        <f t="shared" si="2"/>
        <v>389490</v>
      </c>
      <c r="F100" s="255">
        <v>1</v>
      </c>
      <c r="G100" s="165">
        <v>389.49</v>
      </c>
    </row>
    <row r="101" spans="1:7" s="159" customFormat="1" ht="49.5" x14ac:dyDescent="0.3">
      <c r="A101" s="215" t="s">
        <v>310</v>
      </c>
      <c r="B101" s="34" t="s">
        <v>311</v>
      </c>
      <c r="C101" s="215" t="s">
        <v>302</v>
      </c>
      <c r="D101" s="215" t="s">
        <v>234</v>
      </c>
      <c r="E101" s="165">
        <f t="shared" si="2"/>
        <v>5143020</v>
      </c>
      <c r="F101" s="255">
        <v>1</v>
      </c>
      <c r="G101" s="165">
        <v>5143.0200000000004</v>
      </c>
    </row>
    <row r="102" spans="1:7" s="159" customFormat="1" ht="49.5" x14ac:dyDescent="0.3">
      <c r="A102" s="215" t="s">
        <v>312</v>
      </c>
      <c r="B102" s="34" t="s">
        <v>313</v>
      </c>
      <c r="C102" s="215" t="s">
        <v>302</v>
      </c>
      <c r="D102" s="215" t="s">
        <v>234</v>
      </c>
      <c r="E102" s="165">
        <f t="shared" si="2"/>
        <v>2088000</v>
      </c>
      <c r="F102" s="255">
        <v>1</v>
      </c>
      <c r="G102" s="165">
        <v>2088</v>
      </c>
    </row>
    <row r="103" spans="1:7" s="159" customFormat="1" ht="49.5" x14ac:dyDescent="0.3">
      <c r="A103" s="215" t="s">
        <v>314</v>
      </c>
      <c r="B103" s="34" t="s">
        <v>315</v>
      </c>
      <c r="C103" s="215" t="s">
        <v>302</v>
      </c>
      <c r="D103" s="215" t="s">
        <v>234</v>
      </c>
      <c r="E103" s="165">
        <f t="shared" si="2"/>
        <v>108710</v>
      </c>
      <c r="F103" s="255">
        <v>1</v>
      </c>
      <c r="G103" s="165">
        <v>108.71</v>
      </c>
    </row>
    <row r="104" spans="1:7" s="159" customFormat="1" ht="33" x14ac:dyDescent="0.3">
      <c r="A104" s="215" t="s">
        <v>316</v>
      </c>
      <c r="B104" s="34" t="s">
        <v>317</v>
      </c>
      <c r="C104" s="215" t="s">
        <v>302</v>
      </c>
      <c r="D104" s="215" t="s">
        <v>234</v>
      </c>
      <c r="E104" s="165">
        <f t="shared" si="2"/>
        <v>12070</v>
      </c>
      <c r="F104" s="255">
        <v>1</v>
      </c>
      <c r="G104" s="165">
        <v>12.07</v>
      </c>
    </row>
    <row r="105" spans="1:7" s="159" customFormat="1" ht="33" x14ac:dyDescent="0.3">
      <c r="A105" s="215" t="s">
        <v>318</v>
      </c>
      <c r="B105" s="34" t="s">
        <v>319</v>
      </c>
      <c r="C105" s="215" t="s">
        <v>302</v>
      </c>
      <c r="D105" s="215" t="s">
        <v>234</v>
      </c>
      <c r="E105" s="165">
        <f t="shared" si="2"/>
        <v>169930</v>
      </c>
      <c r="F105" s="255">
        <v>1</v>
      </c>
      <c r="G105" s="165">
        <v>169.93</v>
      </c>
    </row>
    <row r="106" spans="1:7" s="159" customFormat="1" ht="33" x14ac:dyDescent="0.3">
      <c r="A106" s="215" t="s">
        <v>320</v>
      </c>
      <c r="B106" s="34" t="s">
        <v>321</v>
      </c>
      <c r="C106" s="215" t="s">
        <v>302</v>
      </c>
      <c r="D106" s="215" t="s">
        <v>234</v>
      </c>
      <c r="E106" s="165">
        <f t="shared" si="2"/>
        <v>8825000</v>
      </c>
      <c r="F106" s="255">
        <v>1</v>
      </c>
      <c r="G106" s="268">
        <v>8825</v>
      </c>
    </row>
    <row r="107" spans="1:7" s="159" customFormat="1" ht="33" x14ac:dyDescent="0.3">
      <c r="A107" s="215" t="s">
        <v>322</v>
      </c>
      <c r="B107" s="34" t="s">
        <v>323</v>
      </c>
      <c r="C107" s="215" t="s">
        <v>302</v>
      </c>
      <c r="D107" s="215" t="s">
        <v>234</v>
      </c>
      <c r="E107" s="165">
        <f t="shared" si="2"/>
        <v>1254990</v>
      </c>
      <c r="F107" s="255">
        <v>1</v>
      </c>
      <c r="G107" s="165">
        <v>1254.99</v>
      </c>
    </row>
    <row r="108" spans="1:7" s="159" customFormat="1" ht="49.5" x14ac:dyDescent="0.3">
      <c r="A108" s="215" t="s">
        <v>324</v>
      </c>
      <c r="B108" s="34" t="s">
        <v>260</v>
      </c>
      <c r="C108" s="215" t="s">
        <v>302</v>
      </c>
      <c r="D108" s="215" t="s">
        <v>234</v>
      </c>
      <c r="E108" s="165">
        <f t="shared" si="2"/>
        <v>235290</v>
      </c>
      <c r="F108" s="255">
        <v>1</v>
      </c>
      <c r="G108" s="165">
        <v>235.29</v>
      </c>
    </row>
    <row r="109" spans="1:7" s="159" customFormat="1" ht="49.5" x14ac:dyDescent="0.3">
      <c r="A109" s="215" t="s">
        <v>325</v>
      </c>
      <c r="B109" s="35" t="s">
        <v>97</v>
      </c>
      <c r="C109" s="215" t="s">
        <v>302</v>
      </c>
      <c r="D109" s="215" t="s">
        <v>234</v>
      </c>
      <c r="E109" s="165">
        <f t="shared" si="2"/>
        <v>479350</v>
      </c>
      <c r="F109" s="255">
        <v>1</v>
      </c>
      <c r="G109" s="165">
        <v>479.35</v>
      </c>
    </row>
    <row r="110" spans="1:7" s="159" customFormat="1" ht="33" x14ac:dyDescent="0.3">
      <c r="A110" s="215" t="s">
        <v>326</v>
      </c>
      <c r="B110" s="35" t="s">
        <v>40</v>
      </c>
      <c r="C110" s="215" t="s">
        <v>302</v>
      </c>
      <c r="D110" s="215" t="s">
        <v>234</v>
      </c>
      <c r="E110" s="165">
        <f t="shared" si="2"/>
        <v>179780</v>
      </c>
      <c r="F110" s="255">
        <v>1</v>
      </c>
      <c r="G110" s="165">
        <v>179.78</v>
      </c>
    </row>
    <row r="111" spans="1:7" s="159" customFormat="1" ht="33" x14ac:dyDescent="0.3">
      <c r="A111" s="215" t="s">
        <v>327</v>
      </c>
      <c r="B111" s="35" t="s">
        <v>41</v>
      </c>
      <c r="C111" s="215" t="s">
        <v>302</v>
      </c>
      <c r="D111" s="215" t="s">
        <v>234</v>
      </c>
      <c r="E111" s="165">
        <f t="shared" si="2"/>
        <v>55790</v>
      </c>
      <c r="F111" s="255">
        <v>1</v>
      </c>
      <c r="G111" s="165">
        <v>55.79</v>
      </c>
    </row>
    <row r="112" spans="1:7" s="159" customFormat="1" ht="16.5" x14ac:dyDescent="0.3">
      <c r="A112" s="215" t="s">
        <v>328</v>
      </c>
      <c r="B112" s="35" t="s">
        <v>42</v>
      </c>
      <c r="C112" s="215" t="s">
        <v>302</v>
      </c>
      <c r="D112" s="215" t="s">
        <v>234</v>
      </c>
      <c r="E112" s="165">
        <f t="shared" si="2"/>
        <v>629760</v>
      </c>
      <c r="F112" s="255">
        <v>1</v>
      </c>
      <c r="G112" s="165">
        <v>629.76</v>
      </c>
    </row>
    <row r="113" spans="1:7" s="159" customFormat="1" ht="33" x14ac:dyDescent="0.3">
      <c r="A113" s="215" t="s">
        <v>329</v>
      </c>
      <c r="B113" s="35" t="s">
        <v>43</v>
      </c>
      <c r="C113" s="215" t="s">
        <v>302</v>
      </c>
      <c r="D113" s="215" t="s">
        <v>234</v>
      </c>
      <c r="E113" s="165">
        <f t="shared" si="2"/>
        <v>1204410</v>
      </c>
      <c r="F113" s="255">
        <v>1</v>
      </c>
      <c r="G113" s="165">
        <v>1204.4100000000001</v>
      </c>
    </row>
    <row r="114" spans="1:7" s="159" customFormat="1" ht="33" x14ac:dyDescent="0.3">
      <c r="A114" s="215" t="s">
        <v>330</v>
      </c>
      <c r="B114" s="35" t="s">
        <v>44</v>
      </c>
      <c r="C114" s="215" t="s">
        <v>302</v>
      </c>
      <c r="D114" s="215" t="s">
        <v>234</v>
      </c>
      <c r="E114" s="165">
        <f t="shared" si="2"/>
        <v>1067430</v>
      </c>
      <c r="F114" s="255">
        <v>1</v>
      </c>
      <c r="G114" s="165">
        <v>1067.43</v>
      </c>
    </row>
    <row r="115" spans="1:7" s="159" customFormat="1" ht="33" x14ac:dyDescent="0.3">
      <c r="A115" s="215" t="s">
        <v>331</v>
      </c>
      <c r="B115" s="35" t="s">
        <v>45</v>
      </c>
      <c r="C115" s="215" t="s">
        <v>302</v>
      </c>
      <c r="D115" s="215" t="s">
        <v>234</v>
      </c>
      <c r="E115" s="165">
        <f t="shared" si="2"/>
        <v>1784170</v>
      </c>
      <c r="F115" s="255">
        <v>1</v>
      </c>
      <c r="G115" s="165">
        <v>1784.17</v>
      </c>
    </row>
    <row r="116" spans="1:7" s="159" customFormat="1" ht="49.5" x14ac:dyDescent="0.3">
      <c r="A116" s="215" t="s">
        <v>332</v>
      </c>
      <c r="B116" s="35" t="s">
        <v>98</v>
      </c>
      <c r="C116" s="215" t="s">
        <v>302</v>
      </c>
      <c r="D116" s="215" t="s">
        <v>234</v>
      </c>
      <c r="E116" s="165">
        <f t="shared" si="2"/>
        <v>75760</v>
      </c>
      <c r="F116" s="255">
        <v>1</v>
      </c>
      <c r="G116" s="165">
        <v>75.760000000000005</v>
      </c>
    </row>
    <row r="117" spans="1:7" s="159" customFormat="1" ht="33" x14ac:dyDescent="0.3">
      <c r="A117" s="215" t="s">
        <v>333</v>
      </c>
      <c r="B117" s="35" t="s">
        <v>46</v>
      </c>
      <c r="C117" s="215" t="s">
        <v>302</v>
      </c>
      <c r="D117" s="215" t="s">
        <v>234</v>
      </c>
      <c r="E117" s="165">
        <f t="shared" si="2"/>
        <v>210580</v>
      </c>
      <c r="F117" s="255">
        <v>1</v>
      </c>
      <c r="G117" s="165">
        <v>210.58</v>
      </c>
    </row>
    <row r="118" spans="1:7" s="159" customFormat="1" ht="16.5" x14ac:dyDescent="0.3">
      <c r="A118" s="215" t="s">
        <v>334</v>
      </c>
      <c r="B118" s="35" t="s">
        <v>47</v>
      </c>
      <c r="C118" s="215" t="s">
        <v>302</v>
      </c>
      <c r="D118" s="215" t="s">
        <v>234</v>
      </c>
      <c r="E118" s="165">
        <f t="shared" si="2"/>
        <v>1351100</v>
      </c>
      <c r="F118" s="255">
        <v>1</v>
      </c>
      <c r="G118" s="165">
        <v>1351.1</v>
      </c>
    </row>
    <row r="119" spans="1:7" s="159" customFormat="1" ht="49.5" x14ac:dyDescent="0.3">
      <c r="A119" s="215" t="s">
        <v>335</v>
      </c>
      <c r="B119" s="35" t="s">
        <v>99</v>
      </c>
      <c r="C119" s="215" t="s">
        <v>302</v>
      </c>
      <c r="D119" s="215" t="s">
        <v>234</v>
      </c>
      <c r="E119" s="165">
        <f t="shared" si="2"/>
        <v>540000</v>
      </c>
      <c r="F119" s="255">
        <v>1</v>
      </c>
      <c r="G119" s="165">
        <v>540</v>
      </c>
    </row>
    <row r="120" spans="1:7" s="159" customFormat="1" ht="33" x14ac:dyDescent="0.3">
      <c r="A120" s="215" t="s">
        <v>336</v>
      </c>
      <c r="B120" s="35" t="s">
        <v>100</v>
      </c>
      <c r="C120" s="215" t="s">
        <v>302</v>
      </c>
      <c r="D120" s="215" t="s">
        <v>234</v>
      </c>
      <c r="E120" s="165">
        <f t="shared" si="2"/>
        <v>1312600</v>
      </c>
      <c r="F120" s="255">
        <v>1</v>
      </c>
      <c r="G120" s="165">
        <v>1312.6</v>
      </c>
    </row>
    <row r="121" spans="1:7" s="159" customFormat="1" ht="16.5" x14ac:dyDescent="0.3">
      <c r="A121" s="215" t="s">
        <v>337</v>
      </c>
      <c r="B121" s="35" t="s">
        <v>101</v>
      </c>
      <c r="C121" s="215" t="s">
        <v>302</v>
      </c>
      <c r="D121" s="215" t="s">
        <v>234</v>
      </c>
      <c r="E121" s="165">
        <f t="shared" si="2"/>
        <v>779280</v>
      </c>
      <c r="F121" s="255">
        <v>1</v>
      </c>
      <c r="G121" s="165">
        <v>779.28</v>
      </c>
    </row>
    <row r="122" spans="1:7" s="159" customFormat="1" ht="40.5" customHeight="1" x14ac:dyDescent="0.3">
      <c r="A122" s="254" t="s">
        <v>388</v>
      </c>
      <c r="B122" s="254" t="s">
        <v>389</v>
      </c>
      <c r="C122" s="414" t="s">
        <v>444</v>
      </c>
      <c r="D122" s="414"/>
      <c r="E122" s="414" t="s">
        <v>392</v>
      </c>
      <c r="F122" s="414"/>
      <c r="G122" s="414"/>
    </row>
    <row r="123" spans="1:7" s="159" customFormat="1" ht="19.5" customHeight="1" x14ac:dyDescent="0.3">
      <c r="A123" s="254"/>
      <c r="B123" s="219" t="s">
        <v>394</v>
      </c>
      <c r="C123" s="254"/>
      <c r="D123" s="254"/>
      <c r="E123" s="254"/>
      <c r="F123" s="254"/>
      <c r="G123" s="273">
        <f>SUM(G124+G139)</f>
        <v>314663.81000000006</v>
      </c>
    </row>
    <row r="124" spans="1:7" s="159" customFormat="1" ht="16.5" x14ac:dyDescent="0.2">
      <c r="A124" s="258"/>
      <c r="B124" s="271" t="s">
        <v>446</v>
      </c>
      <c r="C124" s="258"/>
      <c r="D124" s="258"/>
      <c r="E124" s="257"/>
      <c r="F124" s="257"/>
      <c r="G124" s="272">
        <f>SUM(G125:G138)</f>
        <v>311052.55000000005</v>
      </c>
    </row>
    <row r="125" spans="1:7" s="159" customFormat="1" ht="16.5" x14ac:dyDescent="0.3">
      <c r="A125" s="259" t="s">
        <v>214</v>
      </c>
      <c r="B125" s="258" t="s">
        <v>423</v>
      </c>
      <c r="C125" s="258"/>
      <c r="D125" s="258"/>
      <c r="E125" s="165">
        <f>SUM(G125*1000)</f>
        <v>-244500</v>
      </c>
      <c r="F125" s="255">
        <v>1</v>
      </c>
      <c r="G125" s="165">
        <v>-244.5</v>
      </c>
    </row>
    <row r="126" spans="1:7" s="159" customFormat="1" ht="49.5" x14ac:dyDescent="0.3">
      <c r="A126" s="259" t="s">
        <v>361</v>
      </c>
      <c r="B126" s="37" t="s">
        <v>51</v>
      </c>
      <c r="C126" s="260" t="s">
        <v>213</v>
      </c>
      <c r="D126" s="260" t="s">
        <v>211</v>
      </c>
      <c r="E126" s="165">
        <f t="shared" ref="E126:E156" si="3">SUM(G126*1000)</f>
        <v>99581240</v>
      </c>
      <c r="F126" s="255">
        <v>1</v>
      </c>
      <c r="G126" s="165">
        <v>99581.24</v>
      </c>
    </row>
    <row r="127" spans="1:7" s="159" customFormat="1" ht="33" x14ac:dyDescent="0.3">
      <c r="A127" s="258" t="s">
        <v>362</v>
      </c>
      <c r="B127" s="37" t="s">
        <v>52</v>
      </c>
      <c r="C127" s="260" t="s">
        <v>213</v>
      </c>
      <c r="D127" s="260" t="s">
        <v>211</v>
      </c>
      <c r="E127" s="165">
        <f t="shared" si="3"/>
        <v>57175420</v>
      </c>
      <c r="F127" s="255">
        <v>1</v>
      </c>
      <c r="G127" s="165">
        <v>57175.42</v>
      </c>
    </row>
    <row r="128" spans="1:7" s="159" customFormat="1" ht="33" x14ac:dyDescent="0.3">
      <c r="A128" s="258" t="s">
        <v>363</v>
      </c>
      <c r="B128" s="37" t="s">
        <v>53</v>
      </c>
      <c r="C128" s="260" t="s">
        <v>213</v>
      </c>
      <c r="D128" s="260" t="s">
        <v>211</v>
      </c>
      <c r="E128" s="165">
        <f t="shared" si="3"/>
        <v>22673260</v>
      </c>
      <c r="F128" s="255">
        <v>1</v>
      </c>
      <c r="G128" s="165">
        <v>22673.26</v>
      </c>
    </row>
    <row r="129" spans="1:7" s="159" customFormat="1" ht="49.5" x14ac:dyDescent="0.3">
      <c r="A129" s="258" t="s">
        <v>364</v>
      </c>
      <c r="B129" s="37" t="s">
        <v>82</v>
      </c>
      <c r="C129" s="260" t="s">
        <v>213</v>
      </c>
      <c r="D129" s="260" t="s">
        <v>211</v>
      </c>
      <c r="E129" s="165">
        <f t="shared" si="3"/>
        <v>23439360</v>
      </c>
      <c r="F129" s="255">
        <v>1</v>
      </c>
      <c r="G129" s="165">
        <v>23439.360000000001</v>
      </c>
    </row>
    <row r="130" spans="1:7" s="159" customFormat="1" ht="49.5" x14ac:dyDescent="0.3">
      <c r="A130" s="258" t="s">
        <v>365</v>
      </c>
      <c r="B130" s="37" t="s">
        <v>54</v>
      </c>
      <c r="C130" s="260" t="s">
        <v>213</v>
      </c>
      <c r="D130" s="260" t="s">
        <v>211</v>
      </c>
      <c r="E130" s="165">
        <f t="shared" si="3"/>
        <v>15739080</v>
      </c>
      <c r="F130" s="255">
        <v>1</v>
      </c>
      <c r="G130" s="165">
        <v>15739.08</v>
      </c>
    </row>
    <row r="131" spans="1:7" s="159" customFormat="1" ht="49.5" x14ac:dyDescent="0.3">
      <c r="A131" s="258" t="s">
        <v>366</v>
      </c>
      <c r="B131" s="37" t="s">
        <v>55</v>
      </c>
      <c r="C131" s="260" t="s">
        <v>213</v>
      </c>
      <c r="D131" s="260" t="s">
        <v>211</v>
      </c>
      <c r="E131" s="165">
        <f t="shared" si="3"/>
        <v>25123400</v>
      </c>
      <c r="F131" s="255">
        <v>1</v>
      </c>
      <c r="G131" s="165">
        <v>25123.4</v>
      </c>
    </row>
    <row r="132" spans="1:7" s="159" customFormat="1" ht="33" x14ac:dyDescent="0.3">
      <c r="A132" s="258" t="s">
        <v>367</v>
      </c>
      <c r="B132" s="37" t="s">
        <v>56</v>
      </c>
      <c r="C132" s="260" t="s">
        <v>213</v>
      </c>
      <c r="D132" s="260" t="s">
        <v>211</v>
      </c>
      <c r="E132" s="165">
        <f t="shared" si="3"/>
        <v>59856440</v>
      </c>
      <c r="F132" s="255">
        <v>1</v>
      </c>
      <c r="G132" s="165">
        <v>59856.44</v>
      </c>
    </row>
    <row r="133" spans="1:7" s="159" customFormat="1" ht="33" x14ac:dyDescent="0.3">
      <c r="A133" s="258" t="s">
        <v>368</v>
      </c>
      <c r="B133" s="37" t="s">
        <v>104</v>
      </c>
      <c r="C133" s="260" t="s">
        <v>213</v>
      </c>
      <c r="D133" s="260" t="s">
        <v>211</v>
      </c>
      <c r="E133" s="165">
        <f t="shared" si="3"/>
        <v>7560450</v>
      </c>
      <c r="F133" s="255">
        <v>1</v>
      </c>
      <c r="G133" s="165">
        <v>7560.45</v>
      </c>
    </row>
    <row r="134" spans="1:7" s="159" customFormat="1" ht="16.5" x14ac:dyDescent="0.3">
      <c r="A134" s="258" t="s">
        <v>338</v>
      </c>
      <c r="B134" s="37" t="s">
        <v>339</v>
      </c>
      <c r="C134" s="260" t="s">
        <v>213</v>
      </c>
      <c r="D134" s="260" t="s">
        <v>211</v>
      </c>
      <c r="E134" s="165">
        <f t="shared" si="3"/>
        <v>-2791600</v>
      </c>
      <c r="F134" s="255">
        <v>1</v>
      </c>
      <c r="G134" s="165">
        <v>-2791.6</v>
      </c>
    </row>
    <row r="135" spans="1:7" s="159" customFormat="1" ht="33" x14ac:dyDescent="0.3">
      <c r="A135" s="258" t="s">
        <v>340</v>
      </c>
      <c r="B135" s="261" t="s">
        <v>377</v>
      </c>
      <c r="C135" s="256" t="s">
        <v>342</v>
      </c>
      <c r="D135" s="256" t="s">
        <v>211</v>
      </c>
      <c r="E135" s="165">
        <f t="shared" si="3"/>
        <v>1900000</v>
      </c>
      <c r="F135" s="255">
        <v>1</v>
      </c>
      <c r="G135" s="165">
        <v>1900</v>
      </c>
    </row>
    <row r="136" spans="1:7" s="159" customFormat="1" ht="33" x14ac:dyDescent="0.3">
      <c r="A136" s="258" t="s">
        <v>343</v>
      </c>
      <c r="B136" s="261" t="s">
        <v>424</v>
      </c>
      <c r="C136" s="256" t="s">
        <v>342</v>
      </c>
      <c r="D136" s="256" t="s">
        <v>211</v>
      </c>
      <c r="E136" s="165">
        <f t="shared" si="3"/>
        <v>440000</v>
      </c>
      <c r="F136" s="255">
        <v>1</v>
      </c>
      <c r="G136" s="165">
        <v>440</v>
      </c>
    </row>
    <row r="137" spans="1:7" s="159" customFormat="1" ht="33" x14ac:dyDescent="0.3">
      <c r="A137" s="258" t="s">
        <v>345</v>
      </c>
      <c r="B137" s="262" t="s">
        <v>378</v>
      </c>
      <c r="C137" s="256" t="str">
        <f>C135</f>
        <v>ԵՄ</v>
      </c>
      <c r="D137" s="256" t="str">
        <f>D135</f>
        <v>դրամ</v>
      </c>
      <c r="E137" s="165">
        <f t="shared" si="3"/>
        <v>500000</v>
      </c>
      <c r="F137" s="255">
        <v>1</v>
      </c>
      <c r="G137" s="165">
        <v>500</v>
      </c>
    </row>
    <row r="138" spans="1:7" s="159" customFormat="1" ht="16.5" x14ac:dyDescent="0.3">
      <c r="A138" s="258" t="s">
        <v>347</v>
      </c>
      <c r="B138" s="119" t="s">
        <v>379</v>
      </c>
      <c r="C138" s="256" t="str">
        <f t="shared" ref="C138:D138" si="4">C137</f>
        <v>ԵՄ</v>
      </c>
      <c r="D138" s="256" t="str">
        <f t="shared" si="4"/>
        <v>դրամ</v>
      </c>
      <c r="E138" s="165">
        <f t="shared" si="3"/>
        <v>100000</v>
      </c>
      <c r="F138" s="255">
        <v>1</v>
      </c>
      <c r="G138" s="165">
        <v>100</v>
      </c>
    </row>
    <row r="139" spans="1:7" s="159" customFormat="1" ht="16.5" x14ac:dyDescent="0.3">
      <c r="A139" s="258"/>
      <c r="B139" s="37" t="s">
        <v>445</v>
      </c>
      <c r="C139" s="258"/>
      <c r="D139" s="258"/>
      <c r="E139" s="165">
        <f t="shared" si="3"/>
        <v>3611259.9999999995</v>
      </c>
      <c r="F139" s="255">
        <v>1</v>
      </c>
      <c r="G139" s="165">
        <f>SUM(G140:G156)</f>
        <v>3611.2599999999993</v>
      </c>
    </row>
    <row r="140" spans="1:7" s="159" customFormat="1" ht="16.5" x14ac:dyDescent="0.3">
      <c r="A140" s="256" t="s">
        <v>274</v>
      </c>
      <c r="B140" s="37" t="s">
        <v>425</v>
      </c>
      <c r="C140" s="260" t="s">
        <v>213</v>
      </c>
      <c r="D140" s="260" t="s">
        <v>211</v>
      </c>
      <c r="E140" s="165">
        <f t="shared" si="3"/>
        <v>-1367100</v>
      </c>
      <c r="F140" s="255">
        <v>1</v>
      </c>
      <c r="G140" s="165">
        <v>-1367.1</v>
      </c>
    </row>
    <row r="141" spans="1:7" s="159" customFormat="1" ht="66" x14ac:dyDescent="0.3">
      <c r="A141" s="256" t="s">
        <v>369</v>
      </c>
      <c r="B141" s="213" t="s">
        <v>426</v>
      </c>
      <c r="C141" s="260" t="s">
        <v>213</v>
      </c>
      <c r="D141" s="260" t="s">
        <v>211</v>
      </c>
      <c r="E141" s="165">
        <f t="shared" si="3"/>
        <v>995810</v>
      </c>
      <c r="F141" s="255">
        <v>1</v>
      </c>
      <c r="G141" s="165">
        <v>995.81</v>
      </c>
    </row>
    <row r="142" spans="1:7" s="159" customFormat="1" ht="49.5" x14ac:dyDescent="0.3">
      <c r="A142" s="256" t="s">
        <v>370</v>
      </c>
      <c r="B142" s="213" t="s">
        <v>427</v>
      </c>
      <c r="C142" s="260" t="s">
        <v>213</v>
      </c>
      <c r="D142" s="260" t="s">
        <v>211</v>
      </c>
      <c r="E142" s="165">
        <f t="shared" si="3"/>
        <v>571750</v>
      </c>
      <c r="F142" s="255">
        <v>1</v>
      </c>
      <c r="G142" s="165">
        <v>571.75</v>
      </c>
    </row>
    <row r="143" spans="1:7" s="159" customFormat="1" ht="49.5" x14ac:dyDescent="0.3">
      <c r="A143" s="256" t="s">
        <v>371</v>
      </c>
      <c r="B143" s="213" t="s">
        <v>428</v>
      </c>
      <c r="C143" s="260" t="s">
        <v>213</v>
      </c>
      <c r="D143" s="260" t="s">
        <v>211</v>
      </c>
      <c r="E143" s="165">
        <f t="shared" si="3"/>
        <v>226730</v>
      </c>
      <c r="F143" s="255">
        <v>1</v>
      </c>
      <c r="G143" s="165">
        <v>226.73</v>
      </c>
    </row>
    <row r="144" spans="1:7" s="159" customFormat="1" ht="66" x14ac:dyDescent="0.3">
      <c r="A144" s="256" t="s">
        <v>372</v>
      </c>
      <c r="B144" s="213" t="s">
        <v>429</v>
      </c>
      <c r="C144" s="260" t="s">
        <v>213</v>
      </c>
      <c r="D144" s="260" t="s">
        <v>211</v>
      </c>
      <c r="E144" s="165">
        <f t="shared" si="3"/>
        <v>234390</v>
      </c>
      <c r="F144" s="255">
        <v>1</v>
      </c>
      <c r="G144" s="165">
        <v>234.39</v>
      </c>
    </row>
    <row r="145" spans="1:7" s="159" customFormat="1" ht="49.5" x14ac:dyDescent="0.3">
      <c r="A145" s="256" t="s">
        <v>373</v>
      </c>
      <c r="B145" s="213" t="s">
        <v>430</v>
      </c>
      <c r="C145" s="260" t="s">
        <v>213</v>
      </c>
      <c r="D145" s="260" t="s">
        <v>211</v>
      </c>
      <c r="E145" s="165">
        <f t="shared" si="3"/>
        <v>157390</v>
      </c>
      <c r="F145" s="255">
        <v>1</v>
      </c>
      <c r="G145" s="165">
        <v>157.38999999999999</v>
      </c>
    </row>
    <row r="146" spans="1:7" s="159" customFormat="1" ht="66" x14ac:dyDescent="0.3">
      <c r="A146" s="256" t="s">
        <v>374</v>
      </c>
      <c r="B146" s="213" t="s">
        <v>431</v>
      </c>
      <c r="C146" s="260" t="s">
        <v>213</v>
      </c>
      <c r="D146" s="260" t="s">
        <v>211</v>
      </c>
      <c r="E146" s="165">
        <f t="shared" si="3"/>
        <v>251230</v>
      </c>
      <c r="F146" s="255">
        <v>1</v>
      </c>
      <c r="G146" s="165">
        <v>251.23</v>
      </c>
    </row>
    <row r="147" spans="1:7" s="159" customFormat="1" ht="49.5" x14ac:dyDescent="0.3">
      <c r="A147" s="256" t="s">
        <v>375</v>
      </c>
      <c r="B147" s="213" t="s">
        <v>432</v>
      </c>
      <c r="C147" s="260" t="s">
        <v>213</v>
      </c>
      <c r="D147" s="260" t="s">
        <v>211</v>
      </c>
      <c r="E147" s="165">
        <f t="shared" si="3"/>
        <v>598560</v>
      </c>
      <c r="F147" s="255">
        <v>1</v>
      </c>
      <c r="G147" s="165">
        <v>598.55999999999995</v>
      </c>
    </row>
    <row r="148" spans="1:7" s="159" customFormat="1" ht="49.5" x14ac:dyDescent="0.3">
      <c r="A148" s="256" t="s">
        <v>376</v>
      </c>
      <c r="B148" s="213" t="s">
        <v>433</v>
      </c>
      <c r="C148" s="260" t="s">
        <v>213</v>
      </c>
      <c r="D148" s="260" t="s">
        <v>211</v>
      </c>
      <c r="E148" s="165">
        <f t="shared" si="3"/>
        <v>75610</v>
      </c>
      <c r="F148" s="255">
        <v>1</v>
      </c>
      <c r="G148" s="165">
        <v>75.61</v>
      </c>
    </row>
    <row r="149" spans="1:7" s="159" customFormat="1" ht="66" x14ac:dyDescent="0.3">
      <c r="A149" s="256" t="s">
        <v>303</v>
      </c>
      <c r="B149" s="213" t="s">
        <v>434</v>
      </c>
      <c r="C149" s="260" t="s">
        <v>302</v>
      </c>
      <c r="D149" s="260" t="s">
        <v>211</v>
      </c>
      <c r="E149" s="165">
        <f t="shared" si="3"/>
        <v>597490</v>
      </c>
      <c r="F149" s="255">
        <v>1</v>
      </c>
      <c r="G149" s="165">
        <v>597.49</v>
      </c>
    </row>
    <row r="150" spans="1:7" s="159" customFormat="1" ht="49.5" x14ac:dyDescent="0.3">
      <c r="A150" s="256" t="s">
        <v>304</v>
      </c>
      <c r="B150" s="213" t="s">
        <v>435</v>
      </c>
      <c r="C150" s="260" t="s">
        <v>302</v>
      </c>
      <c r="D150" s="260" t="s">
        <v>211</v>
      </c>
      <c r="E150" s="165">
        <f t="shared" si="3"/>
        <v>343050</v>
      </c>
      <c r="F150" s="255">
        <v>1</v>
      </c>
      <c r="G150" s="165">
        <v>343.05</v>
      </c>
    </row>
    <row r="151" spans="1:7" s="159" customFormat="1" ht="16.5" customHeight="1" x14ac:dyDescent="0.3">
      <c r="A151" s="256" t="s">
        <v>305</v>
      </c>
      <c r="B151" s="213" t="s">
        <v>436</v>
      </c>
      <c r="C151" s="260" t="s">
        <v>302</v>
      </c>
      <c r="D151" s="260" t="s">
        <v>211</v>
      </c>
      <c r="E151" s="165">
        <f t="shared" si="3"/>
        <v>136040</v>
      </c>
      <c r="F151" s="255">
        <v>1</v>
      </c>
      <c r="G151" s="165">
        <v>136.04</v>
      </c>
    </row>
    <row r="152" spans="1:7" s="159" customFormat="1" ht="65.25" customHeight="1" x14ac:dyDescent="0.3">
      <c r="A152" s="256" t="s">
        <v>306</v>
      </c>
      <c r="B152" s="213" t="s">
        <v>437</v>
      </c>
      <c r="C152" s="260" t="s">
        <v>302</v>
      </c>
      <c r="D152" s="260" t="s">
        <v>211</v>
      </c>
      <c r="E152" s="165">
        <f t="shared" si="3"/>
        <v>140640</v>
      </c>
      <c r="F152" s="255">
        <v>1</v>
      </c>
      <c r="G152" s="165">
        <v>140.63999999999999</v>
      </c>
    </row>
    <row r="153" spans="1:7" s="159" customFormat="1" ht="22.5" customHeight="1" x14ac:dyDescent="0.3">
      <c r="A153" s="256" t="s">
        <v>307</v>
      </c>
      <c r="B153" s="213" t="s">
        <v>438</v>
      </c>
      <c r="C153" s="260" t="s">
        <v>302</v>
      </c>
      <c r="D153" s="260" t="s">
        <v>211</v>
      </c>
      <c r="E153" s="165">
        <f t="shared" si="3"/>
        <v>94430</v>
      </c>
      <c r="F153" s="255">
        <v>1</v>
      </c>
      <c r="G153" s="165">
        <v>94.43</v>
      </c>
    </row>
    <row r="154" spans="1:7" ht="66" x14ac:dyDescent="0.3">
      <c r="A154" s="256" t="s">
        <v>308</v>
      </c>
      <c r="B154" s="213" t="s">
        <v>439</v>
      </c>
      <c r="C154" s="260" t="s">
        <v>302</v>
      </c>
      <c r="D154" s="260" t="s">
        <v>211</v>
      </c>
      <c r="E154" s="165">
        <f t="shared" si="3"/>
        <v>150740</v>
      </c>
      <c r="F154" s="255">
        <v>1</v>
      </c>
      <c r="G154" s="165">
        <v>150.74</v>
      </c>
    </row>
    <row r="155" spans="1:7" ht="49.5" x14ac:dyDescent="0.3">
      <c r="A155" s="256" t="s">
        <v>309</v>
      </c>
      <c r="B155" s="213" t="s">
        <v>440</v>
      </c>
      <c r="C155" s="260" t="s">
        <v>302</v>
      </c>
      <c r="D155" s="260" t="s">
        <v>211</v>
      </c>
      <c r="E155" s="165">
        <f t="shared" si="3"/>
        <v>359140</v>
      </c>
      <c r="F155" s="255">
        <v>1</v>
      </c>
      <c r="G155" s="165">
        <v>359.14</v>
      </c>
    </row>
    <row r="156" spans="1:7" ht="49.5" x14ac:dyDescent="0.3">
      <c r="A156" s="256" t="s">
        <v>310</v>
      </c>
      <c r="B156" s="213" t="s">
        <v>441</v>
      </c>
      <c r="C156" s="260" t="s">
        <v>302</v>
      </c>
      <c r="D156" s="260" t="s">
        <v>211</v>
      </c>
      <c r="E156" s="165">
        <f t="shared" si="3"/>
        <v>45360</v>
      </c>
      <c r="F156" s="255">
        <v>1</v>
      </c>
      <c r="G156" s="165">
        <v>45.36</v>
      </c>
    </row>
    <row r="157" spans="1:7" s="159" customFormat="1" ht="16.5" x14ac:dyDescent="0.3">
      <c r="A157" s="415" t="s">
        <v>147</v>
      </c>
      <c r="B157" s="415"/>
      <c r="C157" s="415"/>
      <c r="D157" s="415"/>
      <c r="E157" s="415"/>
      <c r="F157" s="415"/>
      <c r="G157" s="415"/>
    </row>
    <row r="158" spans="1:7" s="159" customFormat="1" ht="40.5" customHeight="1" x14ac:dyDescent="0.3">
      <c r="A158" s="254" t="s">
        <v>393</v>
      </c>
      <c r="B158" s="254" t="s">
        <v>387</v>
      </c>
      <c r="C158" s="414" t="s">
        <v>390</v>
      </c>
      <c r="D158" s="414"/>
      <c r="E158" s="414" t="s">
        <v>447</v>
      </c>
      <c r="F158" s="414"/>
      <c r="G158" s="414"/>
    </row>
    <row r="159" spans="1:7" ht="33" x14ac:dyDescent="0.2">
      <c r="A159" s="259" t="s">
        <v>380</v>
      </c>
      <c r="B159" s="258" t="s">
        <v>442</v>
      </c>
      <c r="C159" s="258" t="s">
        <v>381</v>
      </c>
      <c r="D159" s="258" t="s">
        <v>211</v>
      </c>
      <c r="E159" s="257">
        <v>40000000</v>
      </c>
      <c r="F159" s="257">
        <v>1</v>
      </c>
      <c r="G159" s="257">
        <v>40000</v>
      </c>
    </row>
  </sheetData>
  <mergeCells count="18">
    <mergeCell ref="F1:G1"/>
    <mergeCell ref="F2:G2"/>
    <mergeCell ref="F3:G3"/>
    <mergeCell ref="A5:G6"/>
    <mergeCell ref="B9:B11"/>
    <mergeCell ref="A9:A11"/>
    <mergeCell ref="A13:G13"/>
    <mergeCell ref="C14:D14"/>
    <mergeCell ref="E14:G14"/>
    <mergeCell ref="C9:C11"/>
    <mergeCell ref="D9:D11"/>
    <mergeCell ref="E9:E11"/>
    <mergeCell ref="F9:G10"/>
    <mergeCell ref="C122:D122"/>
    <mergeCell ref="E122:G122"/>
    <mergeCell ref="A157:G157"/>
    <mergeCell ref="C158:D158"/>
    <mergeCell ref="E158:G158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2018-04-16T12:51:40Z</dcterms:modified>
</cp:coreProperties>
</file>