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hidePivotFieldList="1"/>
  <bookViews>
    <workbookView xWindow="0" yWindow="0" windowWidth="20730" windowHeight="11760" tabRatio="681" activeTab="7"/>
  </bookViews>
  <sheets>
    <sheet name="ՇԱՀՈՒՄՅԱՆ-2" sheetId="6" r:id="rId1"/>
    <sheet name="ԶՈՎՈՒՆԻ" sheetId="8" r:id="rId2"/>
    <sheet name="ԱՐԱՐԱՏ-2" sheetId="7" r:id="rId3"/>
    <sheet name="ՄԱՐԱՇ" sheetId="5" r:id="rId4"/>
    <sheet name="ԵՂԵԳՆԱՁՈՐ" sheetId="3" r:id="rId5"/>
    <sheet name="ԼԻՃՔ" sheetId="4" r:id="rId6"/>
    <sheet name="ՏՐԱՆՍՖՈՐՄԱՏՈՐՆԵՐ և ԱՅԼ" sheetId="9" r:id="rId7"/>
    <sheet name="TOTAL EFFECT - TARIFF" sheetId="10" r:id="rId8"/>
  </sheets>
  <externalReferences>
    <externalReference r:id="rId9"/>
  </externalReferences>
  <definedNames>
    <definedName name="_xlnm.Print_Area" localSheetId="2">'ԱՐԱՐԱՏ-2'!$A$1:$M$39</definedName>
    <definedName name="_xlnm.Print_Area" localSheetId="4">ԵՂԵԳՆԱՁՈՐ!$A$1:$M$42</definedName>
    <definedName name="_xlnm.Print_Area" localSheetId="1">ԶՈՎՈՒՆԻ!$A$1:$M$30</definedName>
    <definedName name="_xlnm.Print_Area" localSheetId="5">ԼԻՃՔ!$A$1:$M$33</definedName>
    <definedName name="_xlnm.Print_Area" localSheetId="3">ՄԱՐԱՇ!$A$1:$M$35</definedName>
    <definedName name="_xlnm.Print_Area" localSheetId="0">'ՇԱՀՈՒՄՅԱՆ-2'!$A$1:$M$31</definedName>
    <definedName name="_xlnm.Print_Area" localSheetId="6">'ՏՐԱՆՍՖՈՐՄԱՏՈՐՆԵՐ և ԱՅԼ'!$A$1:$M$24</definedName>
    <definedName name="_xlnm.Print_Titles" localSheetId="2">'ԱՐԱՐԱՏ-2'!#REF!</definedName>
    <definedName name="_xlnm.Print_Titles" localSheetId="4">ԵՂԵԳՆԱՁՈՐ!$4:$4</definedName>
    <definedName name="_xlnm.Print_Titles" localSheetId="1">ԶՈՎՈՒՆԻ!#REF!</definedName>
    <definedName name="_xlnm.Print_Titles" localSheetId="5">ԼԻՃՔ!#REF!</definedName>
    <definedName name="_xlnm.Print_Titles" localSheetId="3">ՄԱՐԱՇ!#REF!</definedName>
    <definedName name="_xlnm.Print_Titles" localSheetId="0">'ՇԱՀՈՒՄՅԱՆ-2'!#REF!</definedName>
    <definedName name="_xlnm.Print_Titles" localSheetId="6">'ՏՐԱՆՍՖՈՐՄԱՏՈՐՆԵՐ և ԱՅԼ'!#REF!</definedName>
  </definedNames>
  <calcPr calcId="114210" fullCalcOnLoad="1"/>
</workbook>
</file>

<file path=xl/calcChain.xml><?xml version="1.0" encoding="utf-8"?>
<calcChain xmlns="http://schemas.openxmlformats.org/spreadsheetml/2006/main">
  <c r="F33" i="7"/>
  <c r="K8" i="9"/>
  <c r="G8"/>
  <c r="L8"/>
  <c r="G7"/>
  <c r="K7"/>
  <c r="M6"/>
  <c r="J6"/>
  <c r="I6"/>
  <c r="H6"/>
  <c r="K6"/>
  <c r="L7"/>
  <c r="L6"/>
  <c r="G6"/>
  <c r="F27" i="4"/>
  <c r="G21" i="8"/>
  <c r="H12"/>
  <c r="K12"/>
  <c r="M12"/>
  <c r="G17"/>
  <c r="I17"/>
  <c r="H5"/>
  <c r="K5"/>
  <c r="M5"/>
  <c r="G11"/>
  <c r="J11"/>
  <c r="G27" i="6"/>
  <c r="G22"/>
  <c r="H18" i="7"/>
  <c r="K18"/>
  <c r="M18"/>
  <c r="G26"/>
  <c r="I26"/>
  <c r="H6"/>
  <c r="K6"/>
  <c r="M6"/>
  <c r="G14"/>
  <c r="J14"/>
  <c r="H13" i="6"/>
  <c r="I13"/>
  <c r="L13"/>
  <c r="G19"/>
  <c r="J19"/>
  <c r="H5"/>
  <c r="I5"/>
  <c r="L5"/>
  <c r="G10"/>
  <c r="J10"/>
  <c r="G26" i="5"/>
  <c r="H23"/>
  <c r="I23"/>
  <c r="L23"/>
  <c r="H16"/>
  <c r="I16"/>
  <c r="L16"/>
  <c r="H12"/>
  <c r="H5"/>
  <c r="I5"/>
  <c r="L5"/>
  <c r="G22"/>
  <c r="M22"/>
  <c r="G11"/>
  <c r="M11"/>
  <c r="K11"/>
  <c r="G24" i="4"/>
  <c r="H17"/>
  <c r="L17"/>
  <c r="M17"/>
  <c r="H12"/>
  <c r="L12"/>
  <c r="M12"/>
  <c r="H5"/>
  <c r="L5"/>
  <c r="M5"/>
  <c r="G23"/>
  <c r="K23"/>
  <c r="J23"/>
  <c r="G16"/>
  <c r="K16"/>
  <c r="G9"/>
  <c r="J9"/>
  <c r="G33" i="3"/>
  <c r="G32"/>
  <c r="L32"/>
  <c r="G24"/>
  <c r="L24"/>
  <c r="G11"/>
  <c r="K11"/>
  <c r="G25" i="4"/>
  <c r="K25"/>
  <c r="K9"/>
  <c r="L26" i="7"/>
  <c r="J11" i="3"/>
  <c r="K32"/>
  <c r="J24"/>
  <c r="K24"/>
  <c r="O24"/>
  <c r="J32"/>
  <c r="O32"/>
  <c r="M10" i="6"/>
  <c r="L17" i="8"/>
  <c r="L11"/>
  <c r="K19" i="6"/>
  <c r="M19"/>
  <c r="O19"/>
  <c r="J11" i="5"/>
  <c r="O11"/>
  <c r="J22"/>
  <c r="K22"/>
  <c r="I9" i="4"/>
  <c r="O9"/>
  <c r="I16"/>
  <c r="I23"/>
  <c r="O23"/>
  <c r="J16"/>
  <c r="L11" i="3"/>
  <c r="O11"/>
  <c r="J17" i="8"/>
  <c r="I11"/>
  <c r="K10" i="6"/>
  <c r="I14" i="7"/>
  <c r="L14"/>
  <c r="J26"/>
  <c r="O26"/>
  <c r="I25" i="4"/>
  <c r="J25"/>
  <c r="O25"/>
  <c r="O16"/>
  <c r="O22" i="5"/>
  <c r="O17" i="8"/>
  <c r="O10" i="6"/>
  <c r="O11" i="8"/>
  <c r="O14" i="7"/>
  <c r="G30" i="3"/>
  <c r="J30"/>
  <c r="K30"/>
  <c r="L30"/>
  <c r="H7" i="10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F6"/>
  <c r="I6"/>
  <c r="O30" i="3"/>
  <c r="G22" i="9"/>
  <c r="G20"/>
  <c r="H20"/>
  <c r="G21"/>
  <c r="H21"/>
  <c r="I19"/>
  <c r="J19"/>
  <c r="K19"/>
  <c r="L19"/>
  <c r="M19"/>
  <c r="H16"/>
  <c r="L16"/>
  <c r="M16"/>
  <c r="H14"/>
  <c r="L14"/>
  <c r="M14"/>
  <c r="H12"/>
  <c r="J12"/>
  <c r="M12"/>
  <c r="K16"/>
  <c r="K14"/>
  <c r="K12"/>
  <c r="L12"/>
  <c r="H9"/>
  <c r="L9"/>
  <c r="L24"/>
  <c r="M9"/>
  <c r="K9"/>
  <c r="G18"/>
  <c r="J18"/>
  <c r="G17"/>
  <c r="I17"/>
  <c r="G15"/>
  <c r="G14"/>
  <c r="G13"/>
  <c r="G12"/>
  <c r="G11"/>
  <c r="I11"/>
  <c r="G10"/>
  <c r="I10"/>
  <c r="H18" i="8"/>
  <c r="K18"/>
  <c r="M18"/>
  <c r="G29"/>
  <c r="G28"/>
  <c r="G27"/>
  <c r="G26"/>
  <c r="G25"/>
  <c r="G24"/>
  <c r="G23"/>
  <c r="G22"/>
  <c r="G20"/>
  <c r="G19"/>
  <c r="I21"/>
  <c r="G16"/>
  <c r="G15"/>
  <c r="G14"/>
  <c r="G13"/>
  <c r="G10"/>
  <c r="J10"/>
  <c r="G9"/>
  <c r="I9"/>
  <c r="G8"/>
  <c r="G7"/>
  <c r="J7"/>
  <c r="G6"/>
  <c r="H27" i="7"/>
  <c r="K27"/>
  <c r="M27"/>
  <c r="J15"/>
  <c r="K15"/>
  <c r="L15"/>
  <c r="M15"/>
  <c r="G38"/>
  <c r="G37"/>
  <c r="G36"/>
  <c r="G35"/>
  <c r="G34"/>
  <c r="G33"/>
  <c r="G32"/>
  <c r="G31"/>
  <c r="G29"/>
  <c r="G28"/>
  <c r="G30"/>
  <c r="G25"/>
  <c r="G24"/>
  <c r="G23"/>
  <c r="G22"/>
  <c r="G21"/>
  <c r="G20"/>
  <c r="G19"/>
  <c r="G17"/>
  <c r="G16"/>
  <c r="G13"/>
  <c r="G12"/>
  <c r="J12"/>
  <c r="G11"/>
  <c r="L11"/>
  <c r="G10"/>
  <c r="L10"/>
  <c r="G9"/>
  <c r="L9"/>
  <c r="G8"/>
  <c r="L8"/>
  <c r="G7"/>
  <c r="I7"/>
  <c r="H20" i="6"/>
  <c r="I20"/>
  <c r="L20"/>
  <c r="H11"/>
  <c r="I11"/>
  <c r="L11"/>
  <c r="K24" i="9"/>
  <c r="M24"/>
  <c r="H31" i="6"/>
  <c r="G12" i="8"/>
  <c r="I16"/>
  <c r="L19"/>
  <c r="G18"/>
  <c r="L28"/>
  <c r="I15"/>
  <c r="L23"/>
  <c r="J27"/>
  <c r="L14"/>
  <c r="J22"/>
  <c r="I26"/>
  <c r="I29"/>
  <c r="I20"/>
  <c r="I25"/>
  <c r="L24"/>
  <c r="I30" i="7"/>
  <c r="L32"/>
  <c r="I25"/>
  <c r="L35"/>
  <c r="J20"/>
  <c r="I24"/>
  <c r="L29"/>
  <c r="J34"/>
  <c r="L22"/>
  <c r="L36"/>
  <c r="I21"/>
  <c r="I31"/>
  <c r="J38"/>
  <c r="L23"/>
  <c r="J28"/>
  <c r="J33"/>
  <c r="L8" i="8"/>
  <c r="G5"/>
  <c r="I6"/>
  <c r="J13"/>
  <c r="I19" i="7"/>
  <c r="G18"/>
  <c r="J7"/>
  <c r="G6"/>
  <c r="M39"/>
  <c r="L21"/>
  <c r="J14" i="8"/>
  <c r="L20"/>
  <c r="I10"/>
  <c r="I8"/>
  <c r="J23"/>
  <c r="I22"/>
  <c r="L31" i="7"/>
  <c r="J31"/>
  <c r="J23"/>
  <c r="J21"/>
  <c r="O21"/>
  <c r="I28"/>
  <c r="I33"/>
  <c r="I12"/>
  <c r="L30"/>
  <c r="I32"/>
  <c r="H29" i="8"/>
  <c r="H30"/>
  <c r="L29"/>
  <c r="H38" i="7"/>
  <c r="L38"/>
  <c r="I38"/>
  <c r="I27" i="8"/>
  <c r="K36" i="7"/>
  <c r="J36"/>
  <c r="J35"/>
  <c r="I35"/>
  <c r="K25" i="8"/>
  <c r="J19"/>
  <c r="I28"/>
  <c r="L6"/>
  <c r="L9"/>
  <c r="I14"/>
  <c r="L15"/>
  <c r="I19"/>
  <c r="J20"/>
  <c r="J21"/>
  <c r="I23"/>
  <c r="O23"/>
  <c r="J24"/>
  <c r="J25"/>
  <c r="L26"/>
  <c r="L27"/>
  <c r="K29"/>
  <c r="J6"/>
  <c r="J9"/>
  <c r="L10"/>
  <c r="J15"/>
  <c r="L21"/>
  <c r="L22"/>
  <c r="I24"/>
  <c r="J26"/>
  <c r="K27"/>
  <c r="J29"/>
  <c r="J16"/>
  <c r="K24"/>
  <c r="L16"/>
  <c r="H17" i="7"/>
  <c r="I17"/>
  <c r="J13"/>
  <c r="I9"/>
  <c r="L24"/>
  <c r="J29"/>
  <c r="J27"/>
  <c r="I34"/>
  <c r="L13"/>
  <c r="J9"/>
  <c r="I23"/>
  <c r="J24"/>
  <c r="I29"/>
  <c r="L33"/>
  <c r="L7"/>
  <c r="L12"/>
  <c r="I11"/>
  <c r="J8"/>
  <c r="J22"/>
  <c r="J30"/>
  <c r="L28"/>
  <c r="J32"/>
  <c r="K33"/>
  <c r="K34"/>
  <c r="I36"/>
  <c r="I37"/>
  <c r="K38"/>
  <c r="I8"/>
  <c r="L37"/>
  <c r="I13"/>
  <c r="J11"/>
  <c r="I22"/>
  <c r="J25"/>
  <c r="L25"/>
  <c r="I13" i="8"/>
  <c r="L13"/>
  <c r="L20" i="7"/>
  <c r="I20"/>
  <c r="L19"/>
  <c r="J19"/>
  <c r="J8" i="8"/>
  <c r="J10" i="7"/>
  <c r="I10"/>
  <c r="L7" i="8"/>
  <c r="I7"/>
  <c r="I16" i="7"/>
  <c r="H16"/>
  <c r="H19" i="9"/>
  <c r="H24"/>
  <c r="G19"/>
  <c r="J11"/>
  <c r="I18"/>
  <c r="I16"/>
  <c r="J10"/>
  <c r="J15"/>
  <c r="J14"/>
  <c r="I15"/>
  <c r="I14"/>
  <c r="I13"/>
  <c r="I12"/>
  <c r="J17"/>
  <c r="J16"/>
  <c r="I9"/>
  <c r="G16"/>
  <c r="G9"/>
  <c r="M30" i="8"/>
  <c r="G15" i="7"/>
  <c r="G27"/>
  <c r="G30" i="6"/>
  <c r="G29"/>
  <c r="G28"/>
  <c r="G26"/>
  <c r="G25"/>
  <c r="G24"/>
  <c r="G23"/>
  <c r="G21"/>
  <c r="G18"/>
  <c r="G17"/>
  <c r="G16"/>
  <c r="G15"/>
  <c r="G14"/>
  <c r="G12"/>
  <c r="G9"/>
  <c r="G8"/>
  <c r="G7"/>
  <c r="G6"/>
  <c r="I12" i="5"/>
  <c r="L12"/>
  <c r="G34"/>
  <c r="G33"/>
  <c r="G32"/>
  <c r="G31"/>
  <c r="G30"/>
  <c r="G29"/>
  <c r="G28"/>
  <c r="G27"/>
  <c r="G25"/>
  <c r="G24"/>
  <c r="M26"/>
  <c r="G21"/>
  <c r="G20"/>
  <c r="G19"/>
  <c r="G18"/>
  <c r="G17"/>
  <c r="G15"/>
  <c r="G14"/>
  <c r="G13"/>
  <c r="G10"/>
  <c r="M10"/>
  <c r="G9"/>
  <c r="G8"/>
  <c r="K8"/>
  <c r="G7"/>
  <c r="K7"/>
  <c r="G6"/>
  <c r="K6"/>
  <c r="H10" i="4"/>
  <c r="L10"/>
  <c r="M10"/>
  <c r="G32"/>
  <c r="G31"/>
  <c r="G30"/>
  <c r="G29"/>
  <c r="G28"/>
  <c r="G27"/>
  <c r="G26"/>
  <c r="G22"/>
  <c r="G21"/>
  <c r="G20"/>
  <c r="G19"/>
  <c r="G18"/>
  <c r="I24"/>
  <c r="G15"/>
  <c r="G14"/>
  <c r="G13"/>
  <c r="G11"/>
  <c r="G8"/>
  <c r="K8"/>
  <c r="G7"/>
  <c r="K7"/>
  <c r="G6"/>
  <c r="I25" i="3"/>
  <c r="H25"/>
  <c r="M25"/>
  <c r="I17"/>
  <c r="M17"/>
  <c r="H17"/>
  <c r="I12"/>
  <c r="M12"/>
  <c r="H12"/>
  <c r="I5"/>
  <c r="M5"/>
  <c r="H5"/>
  <c r="G10"/>
  <c r="L10"/>
  <c r="G9"/>
  <c r="G8"/>
  <c r="L8"/>
  <c r="G7"/>
  <c r="K7"/>
  <c r="G6"/>
  <c r="K6"/>
  <c r="O37" i="7"/>
  <c r="O28"/>
  <c r="O32"/>
  <c r="O19"/>
  <c r="I24" i="9"/>
  <c r="G24"/>
  <c r="O16" i="7"/>
  <c r="O23"/>
  <c r="I15"/>
  <c r="O10" i="8"/>
  <c r="O34" i="7"/>
  <c r="O36"/>
  <c r="O31"/>
  <c r="O30"/>
  <c r="O20"/>
  <c r="O17"/>
  <c r="O38"/>
  <c r="O24"/>
  <c r="O22"/>
  <c r="L6"/>
  <c r="O35"/>
  <c r="O25"/>
  <c r="O33"/>
  <c r="L18" i="8"/>
  <c r="O16"/>
  <c r="O24"/>
  <c r="O21"/>
  <c r="O14"/>
  <c r="O25"/>
  <c r="I12"/>
  <c r="O28"/>
  <c r="O26"/>
  <c r="O27"/>
  <c r="I18"/>
  <c r="O22"/>
  <c r="O15"/>
  <c r="O20"/>
  <c r="O13"/>
  <c r="L12"/>
  <c r="O29"/>
  <c r="O19"/>
  <c r="J18" i="7"/>
  <c r="I6"/>
  <c r="L27"/>
  <c r="O29"/>
  <c r="M18" i="5"/>
  <c r="J28"/>
  <c r="J21"/>
  <c r="K31"/>
  <c r="J15"/>
  <c r="K25"/>
  <c r="K30"/>
  <c r="K13"/>
  <c r="G12"/>
  <c r="M32"/>
  <c r="J17"/>
  <c r="M27"/>
  <c r="K34"/>
  <c r="M14"/>
  <c r="K19"/>
  <c r="M24"/>
  <c r="G23"/>
  <c r="L29"/>
  <c r="M33"/>
  <c r="J15" i="4"/>
  <c r="I20"/>
  <c r="I31"/>
  <c r="I14"/>
  <c r="I19"/>
  <c r="I26"/>
  <c r="K30"/>
  <c r="J6"/>
  <c r="G5"/>
  <c r="I13"/>
  <c r="G12"/>
  <c r="K18"/>
  <c r="G17"/>
  <c r="J29"/>
  <c r="J32"/>
  <c r="G10"/>
  <c r="K21"/>
  <c r="J28"/>
  <c r="J27"/>
  <c r="J20" i="5"/>
  <c r="G16"/>
  <c r="J9"/>
  <c r="G5"/>
  <c r="K9" i="3"/>
  <c r="G5"/>
  <c r="J5" i="8"/>
  <c r="J12"/>
  <c r="O7"/>
  <c r="L5"/>
  <c r="L30"/>
  <c r="I5"/>
  <c r="G5" i="6"/>
  <c r="G13"/>
  <c r="J6" i="7"/>
  <c r="J39"/>
  <c r="I18"/>
  <c r="L18"/>
  <c r="K22" i="4"/>
  <c r="O8" i="8"/>
  <c r="O9"/>
  <c r="O6"/>
  <c r="O10" i="7"/>
  <c r="O12"/>
  <c r="O8"/>
  <c r="O9"/>
  <c r="O11"/>
  <c r="O13"/>
  <c r="K15" i="5"/>
  <c r="H35"/>
  <c r="M28"/>
  <c r="M20"/>
  <c r="K20"/>
  <c r="J29"/>
  <c r="J24"/>
  <c r="M8"/>
  <c r="K29"/>
  <c r="J14"/>
  <c r="J25"/>
  <c r="M15"/>
  <c r="K39" i="7"/>
  <c r="J33" i="5"/>
  <c r="O33"/>
  <c r="K32"/>
  <c r="L32"/>
  <c r="L30"/>
  <c r="J18" i="8"/>
  <c r="O7" i="7"/>
  <c r="I27"/>
  <c r="L39"/>
  <c r="K9" i="6"/>
  <c r="J9"/>
  <c r="M9"/>
  <c r="M22"/>
  <c r="J22"/>
  <c r="K22"/>
  <c r="L29"/>
  <c r="M29"/>
  <c r="J29"/>
  <c r="K29"/>
  <c r="J8"/>
  <c r="M8"/>
  <c r="K8"/>
  <c r="K28"/>
  <c r="J28"/>
  <c r="M28"/>
  <c r="M16"/>
  <c r="J16"/>
  <c r="K16"/>
  <c r="G20"/>
  <c r="K21"/>
  <c r="K20"/>
  <c r="J21"/>
  <c r="J20"/>
  <c r="M21"/>
  <c r="M20"/>
  <c r="M26"/>
  <c r="J26"/>
  <c r="K26"/>
  <c r="L26"/>
  <c r="K25"/>
  <c r="M25"/>
  <c r="J25"/>
  <c r="L25"/>
  <c r="J24"/>
  <c r="M24"/>
  <c r="K24"/>
  <c r="M12"/>
  <c r="J12"/>
  <c r="K12"/>
  <c r="J17"/>
  <c r="K17"/>
  <c r="M17"/>
  <c r="J23"/>
  <c r="K23"/>
  <c r="M23"/>
  <c r="K27"/>
  <c r="J27"/>
  <c r="K30"/>
  <c r="L30"/>
  <c r="M30"/>
  <c r="J30"/>
  <c r="I30"/>
  <c r="K27" i="5"/>
  <c r="M34"/>
  <c r="J30"/>
  <c r="J6"/>
  <c r="K21"/>
  <c r="M25"/>
  <c r="L34"/>
  <c r="J31"/>
  <c r="J27"/>
  <c r="J26"/>
  <c r="K10"/>
  <c r="K17"/>
  <c r="K24"/>
  <c r="M9"/>
  <c r="M17"/>
  <c r="K28"/>
  <c r="M29"/>
  <c r="M31"/>
  <c r="J34"/>
  <c r="J10"/>
  <c r="M6"/>
  <c r="I34"/>
  <c r="K9"/>
  <c r="K5"/>
  <c r="M21"/>
  <c r="J32"/>
  <c r="K14"/>
  <c r="K26"/>
  <c r="J18" i="4"/>
  <c r="K24"/>
  <c r="J24"/>
  <c r="J8"/>
  <c r="K13"/>
  <c r="J22"/>
  <c r="J11"/>
  <c r="I21"/>
  <c r="J21"/>
  <c r="O21"/>
  <c r="I11"/>
  <c r="I10"/>
  <c r="K11"/>
  <c r="K10"/>
  <c r="M18" i="6"/>
  <c r="J18"/>
  <c r="K18"/>
  <c r="I15" i="4"/>
  <c r="K15" i="6"/>
  <c r="M15"/>
  <c r="J15"/>
  <c r="M19" i="5"/>
  <c r="J19"/>
  <c r="J14" i="6"/>
  <c r="K14"/>
  <c r="M14"/>
  <c r="G39" i="7"/>
  <c r="K7" i="6"/>
  <c r="M7"/>
  <c r="J7"/>
  <c r="J6"/>
  <c r="K6"/>
  <c r="M6"/>
  <c r="J8" i="5"/>
  <c r="O8"/>
  <c r="G30" i="8"/>
  <c r="J7" i="5"/>
  <c r="M7"/>
  <c r="K28" i="4"/>
  <c r="I28"/>
  <c r="K31"/>
  <c r="M13" i="5"/>
  <c r="J13"/>
  <c r="H15" i="7"/>
  <c r="H39"/>
  <c r="J18" i="5"/>
  <c r="K18"/>
  <c r="I7" i="4"/>
  <c r="K19"/>
  <c r="I27"/>
  <c r="I29"/>
  <c r="J30"/>
  <c r="I32"/>
  <c r="I8"/>
  <c r="J13"/>
  <c r="K14"/>
  <c r="I18"/>
  <c r="J19"/>
  <c r="K20"/>
  <c r="I22"/>
  <c r="K26"/>
  <c r="I30"/>
  <c r="H32"/>
  <c r="H33"/>
  <c r="L33"/>
  <c r="I6"/>
  <c r="K6"/>
  <c r="K5"/>
  <c r="J7"/>
  <c r="J14"/>
  <c r="K15"/>
  <c r="J20"/>
  <c r="J26"/>
  <c r="K27"/>
  <c r="K29"/>
  <c r="K32"/>
  <c r="M33"/>
  <c r="K8" i="3"/>
  <c r="J8"/>
  <c r="K10"/>
  <c r="J10"/>
  <c r="J9" i="9"/>
  <c r="J24"/>
  <c r="G11" i="6"/>
  <c r="L9" i="3"/>
  <c r="J9"/>
  <c r="L6"/>
  <c r="L7"/>
  <c r="J6"/>
  <c r="J7"/>
  <c r="H42"/>
  <c r="M42"/>
  <c r="G41"/>
  <c r="G40"/>
  <c r="G39"/>
  <c r="G38"/>
  <c r="G37"/>
  <c r="G36"/>
  <c r="G35"/>
  <c r="G34"/>
  <c r="G31"/>
  <c r="G29"/>
  <c r="G28"/>
  <c r="G27"/>
  <c r="G26"/>
  <c r="G23"/>
  <c r="G22"/>
  <c r="G21"/>
  <c r="G20"/>
  <c r="G19"/>
  <c r="G18"/>
  <c r="G16"/>
  <c r="G15"/>
  <c r="G14"/>
  <c r="G13"/>
  <c r="O15" i="4"/>
  <c r="O13"/>
  <c r="O18"/>
  <c r="O20" i="5"/>
  <c r="O19" i="4"/>
  <c r="O15" i="5"/>
  <c r="O14" i="4"/>
  <c r="O31"/>
  <c r="O34" i="5"/>
  <c r="J5" i="4"/>
  <c r="O28"/>
  <c r="O29"/>
  <c r="O26"/>
  <c r="O32"/>
  <c r="O20"/>
  <c r="O27"/>
  <c r="O22"/>
  <c r="O30"/>
  <c r="O24"/>
  <c r="G33"/>
  <c r="K5" i="3"/>
  <c r="O18" i="5"/>
  <c r="M12"/>
  <c r="O32"/>
  <c r="O6"/>
  <c r="K23"/>
  <c r="O27"/>
  <c r="O21"/>
  <c r="O28"/>
  <c r="O30"/>
  <c r="J12"/>
  <c r="O27" i="7"/>
  <c r="O18"/>
  <c r="O12" i="8"/>
  <c r="K13" i="6"/>
  <c r="O18"/>
  <c r="O28"/>
  <c r="O29"/>
  <c r="O30"/>
  <c r="O17"/>
  <c r="O24"/>
  <c r="O25"/>
  <c r="O20"/>
  <c r="O15"/>
  <c r="O18" i="8"/>
  <c r="K30"/>
  <c r="O6" i="7"/>
  <c r="O15"/>
  <c r="O26" i="6"/>
  <c r="O12"/>
  <c r="O16"/>
  <c r="O23"/>
  <c r="O14"/>
  <c r="J5"/>
  <c r="O22"/>
  <c r="O21"/>
  <c r="J13"/>
  <c r="O27"/>
  <c r="G31"/>
  <c r="O19" i="5"/>
  <c r="O25"/>
  <c r="O31"/>
  <c r="O17"/>
  <c r="O29"/>
  <c r="O13"/>
  <c r="M5"/>
  <c r="O26"/>
  <c r="J23"/>
  <c r="J5"/>
  <c r="M16"/>
  <c r="M23"/>
  <c r="O7"/>
  <c r="K16"/>
  <c r="J16"/>
  <c r="O24"/>
  <c r="O14"/>
  <c r="I5" i="4"/>
  <c r="I17"/>
  <c r="O11"/>
  <c r="K17"/>
  <c r="J12"/>
  <c r="I12"/>
  <c r="K12"/>
  <c r="J17"/>
  <c r="G12" i="3"/>
  <c r="G25"/>
  <c r="L5"/>
  <c r="J5"/>
  <c r="G17"/>
  <c r="O5" i="8"/>
  <c r="G35" i="5"/>
  <c r="K5" i="6"/>
  <c r="M5"/>
  <c r="M13"/>
  <c r="I39" i="7"/>
  <c r="O39"/>
  <c r="O10" i="5"/>
  <c r="I30" i="8"/>
  <c r="L31" i="6"/>
  <c r="K11"/>
  <c r="O8"/>
  <c r="L35" i="5"/>
  <c r="O9"/>
  <c r="I35"/>
  <c r="J30" i="8"/>
  <c r="I31" i="6"/>
  <c r="J11"/>
  <c r="O9"/>
  <c r="O7"/>
  <c r="M11"/>
  <c r="K12" i="5"/>
  <c r="O12"/>
  <c r="O7" i="4"/>
  <c r="O8"/>
  <c r="J10"/>
  <c r="O10"/>
  <c r="O6" i="6"/>
  <c r="O7" i="3"/>
  <c r="B6" i="10"/>
  <c r="C7"/>
  <c r="E7"/>
  <c r="O6" i="4"/>
  <c r="O8" i="3"/>
  <c r="O10"/>
  <c r="K38"/>
  <c r="L38"/>
  <c r="O24" i="9"/>
  <c r="J13" i="3"/>
  <c r="L13"/>
  <c r="K13"/>
  <c r="L18"/>
  <c r="J18"/>
  <c r="K18"/>
  <c r="K22"/>
  <c r="L22"/>
  <c r="J22"/>
  <c r="K27"/>
  <c r="J27"/>
  <c r="L27"/>
  <c r="J34"/>
  <c r="K34"/>
  <c r="L34"/>
  <c r="L16"/>
  <c r="J16"/>
  <c r="K16"/>
  <c r="J21"/>
  <c r="K21"/>
  <c r="L21"/>
  <c r="K26"/>
  <c r="J26"/>
  <c r="L26"/>
  <c r="K31"/>
  <c r="J31"/>
  <c r="L31"/>
  <c r="L37"/>
  <c r="K37"/>
  <c r="J37"/>
  <c r="L40"/>
  <c r="J40"/>
  <c r="K15"/>
  <c r="L15"/>
  <c r="J15"/>
  <c r="L20"/>
  <c r="J20"/>
  <c r="K20"/>
  <c r="K33"/>
  <c r="L33"/>
  <c r="J33"/>
  <c r="K29"/>
  <c r="J29"/>
  <c r="L29"/>
  <c r="J36"/>
  <c r="K36"/>
  <c r="L36"/>
  <c r="L39"/>
  <c r="J39"/>
  <c r="K39"/>
  <c r="L14"/>
  <c r="J14"/>
  <c r="K14"/>
  <c r="L19"/>
  <c r="J19"/>
  <c r="K19"/>
  <c r="L23"/>
  <c r="J23"/>
  <c r="K23"/>
  <c r="L28"/>
  <c r="K28"/>
  <c r="J28"/>
  <c r="K35"/>
  <c r="L35"/>
  <c r="J35"/>
  <c r="J38"/>
  <c r="K41"/>
  <c r="L41"/>
  <c r="J41"/>
  <c r="I41"/>
  <c r="O6"/>
  <c r="O9"/>
  <c r="O36"/>
  <c r="O29"/>
  <c r="O26"/>
  <c r="O27"/>
  <c r="O13"/>
  <c r="O38"/>
  <c r="O17" i="4"/>
  <c r="O20" i="3"/>
  <c r="O12" i="4"/>
  <c r="G42" i="3"/>
  <c r="O15"/>
  <c r="O21"/>
  <c r="O5"/>
  <c r="O35"/>
  <c r="O19"/>
  <c r="O14"/>
  <c r="O40"/>
  <c r="O41"/>
  <c r="O39"/>
  <c r="O31"/>
  <c r="O16"/>
  <c r="O34"/>
  <c r="O18"/>
  <c r="O28"/>
  <c r="O23"/>
  <c r="O37"/>
  <c r="O30" i="8"/>
  <c r="O11" i="6"/>
  <c r="O13"/>
  <c r="O16" i="5"/>
  <c r="O23"/>
  <c r="K35"/>
  <c r="L25" i="3"/>
  <c r="L17"/>
  <c r="O33"/>
  <c r="J17"/>
  <c r="K17"/>
  <c r="O17"/>
  <c r="J12"/>
  <c r="O22"/>
  <c r="K25"/>
  <c r="J25"/>
  <c r="J31" i="6"/>
  <c r="M31"/>
  <c r="K31"/>
  <c r="M35" i="5"/>
  <c r="O5"/>
  <c r="J35"/>
  <c r="O35"/>
  <c r="J33" i="4"/>
  <c r="O5"/>
  <c r="K33"/>
  <c r="O5" i="6"/>
  <c r="G6" i="10"/>
  <c r="D7"/>
  <c r="F7"/>
  <c r="I33" i="4"/>
  <c r="I42" i="3"/>
  <c r="L12"/>
  <c r="K12"/>
  <c r="O25"/>
  <c r="O12"/>
  <c r="O31" i="6"/>
  <c r="O33" i="4"/>
  <c r="B11" i="10"/>
  <c r="B7"/>
  <c r="D8"/>
  <c r="K42" i="3"/>
  <c r="B9" i="10"/>
  <c r="L42" i="3"/>
  <c r="B10" i="10"/>
  <c r="D35"/>
  <c r="I7"/>
  <c r="J42" i="3"/>
  <c r="B8" i="10"/>
  <c r="O42" i="3"/>
  <c r="B37" i="10"/>
  <c r="G7"/>
  <c r="C8"/>
  <c r="E8"/>
  <c r="D34"/>
  <c r="D36"/>
  <c r="D33"/>
  <c r="D10"/>
  <c r="D15"/>
  <c r="D19"/>
  <c r="D16"/>
  <c r="D12"/>
  <c r="D22"/>
  <c r="D24"/>
  <c r="D18"/>
  <c r="D27"/>
  <c r="D23"/>
  <c r="D32"/>
  <c r="D20"/>
  <c r="D29"/>
  <c r="D11"/>
  <c r="D26"/>
  <c r="D30"/>
  <c r="D17"/>
  <c r="D31"/>
  <c r="D13"/>
  <c r="D21"/>
  <c r="D25"/>
  <c r="D28"/>
  <c r="D9"/>
  <c r="D14"/>
  <c r="C9"/>
  <c r="E9"/>
  <c r="F9"/>
  <c r="D37"/>
  <c r="F8"/>
  <c r="C10"/>
  <c r="E10"/>
  <c r="I9"/>
  <c r="G9"/>
  <c r="I8"/>
  <c r="G8"/>
  <c r="C11"/>
  <c r="C12"/>
  <c r="F10"/>
  <c r="E11"/>
  <c r="F11"/>
  <c r="G11"/>
  <c r="C13"/>
  <c r="E12"/>
  <c r="I10"/>
  <c r="G10"/>
  <c r="I11"/>
  <c r="E13"/>
  <c r="F13"/>
  <c r="C14"/>
  <c r="F12"/>
  <c r="I13"/>
  <c r="G13"/>
  <c r="E14"/>
  <c r="F14"/>
  <c r="C15"/>
  <c r="G12"/>
  <c r="I12"/>
  <c r="I14"/>
  <c r="G14"/>
  <c r="E15"/>
  <c r="F15"/>
  <c r="C16"/>
  <c r="I15"/>
  <c r="G15"/>
  <c r="E16"/>
  <c r="F16"/>
  <c r="C17"/>
  <c r="I16"/>
  <c r="G16"/>
  <c r="E17"/>
  <c r="F17"/>
  <c r="C18"/>
  <c r="I17"/>
  <c r="G17"/>
  <c r="E18"/>
  <c r="F18"/>
  <c r="C19"/>
  <c r="I18"/>
  <c r="G18"/>
  <c r="E19"/>
  <c r="F19"/>
  <c r="C20"/>
  <c r="I19"/>
  <c r="G19"/>
  <c r="E20"/>
  <c r="F20"/>
  <c r="C21"/>
  <c r="I20"/>
  <c r="G20"/>
  <c r="E21"/>
  <c r="F21"/>
  <c r="C22"/>
  <c r="I21"/>
  <c r="G21"/>
  <c r="E22"/>
  <c r="F22"/>
  <c r="C23"/>
  <c r="I22"/>
  <c r="G22"/>
  <c r="E23"/>
  <c r="F23"/>
  <c r="C24"/>
  <c r="G23"/>
  <c r="I23"/>
  <c r="E24"/>
  <c r="F24"/>
  <c r="C25"/>
  <c r="G24"/>
  <c r="I24"/>
  <c r="E25"/>
  <c r="F25"/>
  <c r="C26"/>
  <c r="G25"/>
  <c r="I25"/>
  <c r="E26"/>
  <c r="F26"/>
  <c r="C27"/>
  <c r="I26"/>
  <c r="G26"/>
  <c r="E27"/>
  <c r="F27"/>
  <c r="C28"/>
  <c r="G27"/>
  <c r="I27"/>
  <c r="E28"/>
  <c r="F28"/>
  <c r="C29"/>
  <c r="G28"/>
  <c r="I28"/>
  <c r="E29"/>
  <c r="F29"/>
  <c r="C30"/>
  <c r="G29"/>
  <c r="I29"/>
  <c r="E30"/>
  <c r="F30"/>
  <c r="C31"/>
  <c r="I30"/>
  <c r="G30"/>
  <c r="C32"/>
  <c r="E31"/>
  <c r="F31"/>
  <c r="E32"/>
  <c r="F32"/>
  <c r="C33"/>
  <c r="I31"/>
  <c r="G31"/>
  <c r="G32"/>
  <c r="I32"/>
  <c r="E33"/>
  <c r="F33"/>
  <c r="C34"/>
  <c r="G33"/>
  <c r="I33"/>
  <c r="E34"/>
  <c r="F34"/>
  <c r="C35"/>
  <c r="C36"/>
  <c r="E36"/>
  <c r="E35"/>
  <c r="F35"/>
  <c r="G34"/>
  <c r="I34"/>
  <c r="F36"/>
  <c r="F37"/>
  <c r="E37"/>
  <c r="I35"/>
  <c r="G35"/>
  <c r="I36"/>
  <c r="G36"/>
  <c r="G37"/>
</calcChain>
</file>

<file path=xl/sharedStrings.xml><?xml version="1.0" encoding="utf-8"?>
<sst xmlns="http://schemas.openxmlformats.org/spreadsheetml/2006/main" count="541" uniqueCount="105">
  <si>
    <t>LB-TP-CS:AF-VRUL-40000/10</t>
  </si>
  <si>
    <t>TP-OF-630/10</t>
  </si>
  <si>
    <t>TP-OF-180/35</t>
  </si>
  <si>
    <t>TP-OF-160/35</t>
  </si>
  <si>
    <t>TP-OF-400/35</t>
  </si>
  <si>
    <t>TP-OF-250/6</t>
  </si>
  <si>
    <t>LB-TP-CS:AF-VRUL-63000/35</t>
  </si>
  <si>
    <t>AT-TP-CS:AF/OF-TW-VRUL-125000/220/110/10</t>
  </si>
  <si>
    <t>միանվագ գումար</t>
  </si>
  <si>
    <t>Լարման տրանսֆորմատոր</t>
  </si>
  <si>
    <t>Պաշտպանության և ղեկավարման վահանակ</t>
  </si>
  <si>
    <t>Տրանսֆորմատորներ</t>
  </si>
  <si>
    <t>110կՎ բաշխիչ սարք</t>
  </si>
  <si>
    <t>Բաշխիչ սարք</t>
  </si>
  <si>
    <t>Քանակ</t>
  </si>
  <si>
    <t>Միավորներ</t>
  </si>
  <si>
    <t>Մասնագրեր</t>
  </si>
  <si>
    <t xml:space="preserve">  Տրանսֆորմատորներ</t>
  </si>
  <si>
    <t>Պարպիչ</t>
  </si>
  <si>
    <t>Հոսանքի տրանսֆորմատոր</t>
  </si>
  <si>
    <t xml:space="preserve">Հենարանային մեկուսիչ </t>
  </si>
  <si>
    <t>(միաբևեռ)</t>
  </si>
  <si>
    <t>հատ</t>
  </si>
  <si>
    <t>Ավտոտրանսֆորմատոր</t>
  </si>
  <si>
    <t>Կարգավորիչ տրանսֆորմատոր</t>
  </si>
  <si>
    <t>SCADA համակարգի սերվերներ և համակարգիչներ</t>
  </si>
  <si>
    <t>Անջատիչ</t>
  </si>
  <si>
    <t>Բաժանիչներ</t>
  </si>
  <si>
    <t>Պարպիչներ</t>
  </si>
  <si>
    <t>Հենարային մեկուսիչ</t>
  </si>
  <si>
    <t>35կՎ</t>
  </si>
  <si>
    <t>(3-ֆ)</t>
  </si>
  <si>
    <t>(1-ֆ)</t>
  </si>
  <si>
    <t>(կմ)</t>
  </si>
  <si>
    <t>ՓՀ/ՀՀ համակարգ</t>
  </si>
  <si>
    <t>Ղեկավարման և ուժային մալուխներ</t>
  </si>
  <si>
    <t>Բնապահպանական խնդիրներ</t>
  </si>
  <si>
    <t>Պահեստամասեր</t>
  </si>
  <si>
    <t>Անձնակազմի դասընթացներ</t>
  </si>
  <si>
    <t>10կՎ</t>
  </si>
  <si>
    <t>220կՎ բաշխիչ սարք</t>
  </si>
  <si>
    <t>Ռեակտոր</t>
  </si>
  <si>
    <t>Ֆիդերներ/բջիջներ</t>
  </si>
  <si>
    <t>ՓՀ/ՀՀ Համակարգ</t>
  </si>
  <si>
    <t>6 կՎ</t>
  </si>
  <si>
    <t>10 կՎ</t>
  </si>
  <si>
    <t>220/110/35 ԿՎ «ԵՂԵԳՆԱՁՈՐ» ԵՆԹԱԿԱՅԱՆԻ ՎԵՐԱԿԱՌՈՒՑՈՒՄ</t>
  </si>
  <si>
    <t>220/110/35 ԿՎ «ԼԻՃՔ»  ԵՆԹԱԿԱՅԱՆԻ ՎԵՐԱԿԱՌՈՒՑՈՒՄ</t>
  </si>
  <si>
    <t>220/110/10 ԿՎ «ՄԱՐԱՇ»  ԵՆԹԱԿԱՅԱՆԻ ՎԵՐԱԿԱՌՈՒՑՈՒՄ</t>
  </si>
  <si>
    <t>«220/110/10 ԿՎ «ՇԱՀՈՒՄՅԱՆ-2»  ԵՆԹԱԿԱՅԱՆԻ ՎԵՐԱԿԱՌՈՒՑՈՒՄ</t>
  </si>
  <si>
    <t>220/110/6 ԿՎ «ԱՐԱՐԱՏ-2»  ԵՆԹԱԿԱՅԱՆԻ ՎԵՐԱԿԱՌՈՒՑՈՒՄ</t>
  </si>
  <si>
    <t>220/110/10 ԿՎ «ԶՈՎՈՒՆԻ»  ԵՆԹԱԿԱՅԱՆԻ ՎԵՐԱԿԱՌՈՒՑՈՒՄ</t>
  </si>
  <si>
    <t>Գնման գործընթացի պատրաստում, խորհրդատվություն և տեխնիկական հսկողություն</t>
  </si>
  <si>
    <t>220/110/10 ԿՎ «ԳՅՈՒՄՐԻ-2»  ԵՆԹԱԿԱՅԱՆԻ ՏՐԱՆՍՖՈՐՄԱՏՈՐՆԵՐԻ ՓՈԽԱՐԻՆՈՒՄ</t>
  </si>
  <si>
    <t>TP-SW-CS:AF-VRUL-40000/220/35/10</t>
  </si>
  <si>
    <t>AT-TP-CS:AF/OF-TW-VRUL-63000/220/110/35</t>
  </si>
  <si>
    <t>110/10/6 ԿՎ «ՎԱՆԱՁՈՐ-1»  ԵՆԹԱԿԱՅԱՆԻ ՏՐԱՆՍՖՈՐՄԱՏՈՐԻ ՓՈԽԱՐԻՆՈՒՄ</t>
  </si>
  <si>
    <t>220/35/10 ԿՎ «ԿԱՄՈ»  ԵՆԹԱԿԱՅԱՆԻ ՏՐԱՆՍՖՈՐՄԱՏՈՐԻ ՓՈԽԱՐԻՆՈՒՄ</t>
  </si>
  <si>
    <t>220/110/35 ԿՎ «ԱԼԱՎԵՐԴԻ-2»  ԵՆԹԱԿԱՅԱՆԻ ՏՐԱՆՍՖՈՐՄԱՏՈՐՆԵՐԻ ՓՈԽԱՐԻՆՈՒՄ</t>
  </si>
  <si>
    <t>Սեփական կարիքների տրանսֆորմատոր</t>
  </si>
  <si>
    <t>Ներդրումների ընդհանուր գումարն ըստ տարիների</t>
  </si>
  <si>
    <t>Այլ ծախսեր</t>
  </si>
  <si>
    <t>ԸՆԴԱՄԵՆԸ</t>
  </si>
  <si>
    <t>Միավոր գին (ԱՄՆ դոլար) /առանց ԱԱՀ/</t>
  </si>
  <si>
    <t>Ընդհանուր (ԱՄՆ դոլար) /առանց ԱԱՀ/</t>
  </si>
  <si>
    <t>Վերակառուցման աշխատանքներ</t>
  </si>
  <si>
    <t>ԱՅԼ ՈՒՂՂՈՒԹՅՈՒՆՆԵՐՈՎ ՆԵՐԴՐՈՒՄՆԵՐ</t>
  </si>
  <si>
    <t>220 ԿՎ «ԷՐԵԲՈՒՆԻ» ԵՎ 220 ԿՎ «ՄՈՒՍԱԼԵՌ» ՕԴԱՅԻՆ ԳԾԵՐԻ ՎԵՐԱԿԱՌՈՒՑՈՒՄ</t>
  </si>
  <si>
    <t>220 ԿՎ «ԷՐԵԲՈՒՆԻ» ՕԴԱՅԻՆ ԳԾԻ ՎԵՐԱԿԱՌՈՒՑՈՒՄ</t>
  </si>
  <si>
    <t>221 ԿՎ «ՄՈՒՍԱԼԵՌ» ՕԴԱՅԻՆ ԳԾԻ ՎԵՐԱԿԱՌՈՒՑՈՒՄ</t>
  </si>
  <si>
    <t xml:space="preserve">ԵՆԹԱԿԱՅԱՆՆԵՐԻ, ՕԴԱՅԻՆ ԳԾԵՐԻ ՄԱՍՆԱԿԻ ՎԵՐԱԿԱՌՈՒՑՈՒՄՆԵՐ ԵՎ ԱՅԼ ՈՒՂՂՈՒԹՅՈՒՆՆԵՐՈՎ ՆԵՐԴՐՈՒՄՆԵՐ </t>
  </si>
  <si>
    <t>Տարեթիվ</t>
  </si>
  <si>
    <t>Ներդրումների գումարը /մլն դրամ/</t>
  </si>
  <si>
    <t>Ներդրումների հաշվարկման բազա /մլն դրամ/</t>
  </si>
  <si>
    <t>Ամորտիզացիա /մլն դրամ/</t>
  </si>
  <si>
    <t>Շահույթ /մլն դրամ/</t>
  </si>
  <si>
    <t>Ընդամենը /մլն դրամ/ 4+5</t>
  </si>
  <si>
    <t>Զուտ դրամական հոսքեր /մլն դրամ/</t>
  </si>
  <si>
    <t>Հաղորդվող էլեկտրաէներգիայի ծավալը /մլն կՎտԺ/</t>
  </si>
  <si>
    <t>Ազդեցությունը 1 կՎտԺ-ի վրա</t>
  </si>
  <si>
    <t>Ընդամենը</t>
  </si>
  <si>
    <t>«Բարձրավոլտ էլեկտրացանցեր» ՓԲԸ կողմից իրականացվող ներդրումների ազդեցությունը էլեկտրական էներգիայի հաղորդման ծառայության մատուցման սակագնի վրա</t>
  </si>
  <si>
    <t>կմ</t>
  </si>
  <si>
    <t>Տրանսֆորմատոր</t>
  </si>
  <si>
    <t>TP-SW-CS:AF-VRUL-40000/110/6</t>
  </si>
  <si>
    <t>Հաղորդաձողային պաշտպանություն (ներառյալ մեկուսիչները)</t>
  </si>
  <si>
    <t>35 կՎ բաշխիչ սարք</t>
  </si>
  <si>
    <t>110 կՎ բաշխիչ սարք</t>
  </si>
  <si>
    <t>220 կՎ Բաշխիչ սարք</t>
  </si>
  <si>
    <t>220 կՎ բաշխիչ սարք</t>
  </si>
  <si>
    <t>10 կՎ բաշխիչ սարք</t>
  </si>
  <si>
    <t>AT-TP-CS:AF/OF-TW-VRUL-125000/220/110/6</t>
  </si>
  <si>
    <t>LB-TP-CS:AF-VRUL-40000/6</t>
  </si>
  <si>
    <t>Առդիր 8</t>
  </si>
  <si>
    <t xml:space="preserve">Առդիր 1 </t>
  </si>
  <si>
    <t>Առդիր 2</t>
  </si>
  <si>
    <t>Առդիր 3</t>
  </si>
  <si>
    <t>Առդիր 4</t>
  </si>
  <si>
    <t>Առդիր 5</t>
  </si>
  <si>
    <t>Առդիր 6</t>
  </si>
  <si>
    <t>Առդիր 7</t>
  </si>
  <si>
    <t>Հաղորդաձողային համակարգի փոխարինում  (ներառյալ մեկուսիչները)</t>
  </si>
  <si>
    <t>Հաղորդաձողային համակարգի մասնակի փոխարինում (ներառյալ մեկուսիչները)</t>
  </si>
  <si>
    <t>Շինարարական, շինմոնտաժային և նախագծային աշխատանքներ</t>
  </si>
  <si>
    <t>220/110/10 ԿՎ «ԶՈՎՈՒՆԻ»  ԵՆԹԱԿԱՅԱՆԻ ՏՐԱՆՍՖՈՐՄԱՏՈՐՆԵՐԻ ՓՈԽԱՐԻՆՈՒՄ</t>
  </si>
</sst>
</file>

<file path=xl/styles.xml><?xml version="1.0" encoding="utf-8"?>
<styleSheet xmlns="http://schemas.openxmlformats.org/spreadsheetml/2006/main">
  <numFmts count="6">
    <numFmt numFmtId="164" formatCode="_-* #,##0.00\ _₽_-;\-* #,##0.00\ _₽_-;_-* &quot;-&quot;??\ _₽_-;_-@_-"/>
    <numFmt numFmtId="165" formatCode="_([$$-409]* #,##0_);_([$$-409]* \(#,##0\);_([$$-409]* &quot;-&quot;??_);_(@_)"/>
    <numFmt numFmtId="166" formatCode="_-[$$-409]* #,##0_ ;_-[$$-409]* \-#,##0\ ;_-[$$-409]* &quot;-&quot;??_ ;_-@_ "/>
    <numFmt numFmtId="167" formatCode="0.000"/>
    <numFmt numFmtId="168" formatCode="_-* #,##0.0\ _₽_-;\-* #,##0.0\ _₽_-;_-* &quot;-&quot;??\ _₽_-;_-@_-"/>
    <numFmt numFmtId="169" formatCode="_-[$$-409]* #,##0.00_ ;_-[$$-409]* \-#,##0.00\ ;_-[$$-409]* &quot;-&quot;??_ ;_-@_ "/>
  </numFmts>
  <fonts count="17">
    <font>
      <sz val="12"/>
      <color theme="1"/>
      <name val="Calibri"/>
      <family val="2"/>
      <scheme val="minor"/>
    </font>
    <font>
      <b/>
      <sz val="14"/>
      <color indexed="8"/>
      <name val="GHEA Grapalat"/>
      <family val="3"/>
    </font>
    <font>
      <b/>
      <sz val="11"/>
      <color indexed="8"/>
      <name val="GHEA Grapalat"/>
      <family val="3"/>
    </font>
    <font>
      <sz val="11"/>
      <color indexed="8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sz val="10"/>
      <color indexed="8"/>
      <name val="GHEA Grapalat"/>
      <family val="3"/>
    </font>
    <font>
      <b/>
      <sz val="12"/>
      <color indexed="8"/>
      <name val="GHEA Grapalat"/>
      <family val="3"/>
    </font>
    <font>
      <b/>
      <sz val="12"/>
      <name val="GHEA Grapalat"/>
      <family val="3"/>
    </font>
    <font>
      <b/>
      <sz val="16"/>
      <color indexed="8"/>
      <name val="GHEA Grapalat"/>
      <family val="3"/>
    </font>
    <font>
      <sz val="12"/>
      <color indexed="8"/>
      <name val="Calibri"/>
      <family val="2"/>
    </font>
    <font>
      <sz val="12"/>
      <color indexed="8"/>
      <name val="GHEA Grapalat"/>
      <family val="3"/>
    </font>
    <font>
      <b/>
      <sz val="16"/>
      <name val="GHEA Grapalat"/>
      <family val="3"/>
    </font>
    <font>
      <sz val="11"/>
      <name val="Segoe UI"/>
      <family val="2"/>
    </font>
    <font>
      <sz val="10"/>
      <name val="GHEA Grapalat"/>
      <family val="3"/>
    </font>
    <font>
      <sz val="10"/>
      <name val="Segoe UI"/>
      <family val="2"/>
    </font>
    <font>
      <b/>
      <sz val="14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</fills>
  <borders count="94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236">
    <xf numFmtId="0" fontId="0" fillId="0" borderId="0" xfId="0"/>
    <xf numFmtId="166" fontId="4" fillId="2" borderId="1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165" fontId="4" fillId="0" borderId="4" xfId="0" applyNumberFormat="1" applyFont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 wrapText="1"/>
    </xf>
    <xf numFmtId="165" fontId="4" fillId="0" borderId="6" xfId="0" applyNumberFormat="1" applyFont="1" applyBorder="1" applyAlignment="1">
      <alignment vertical="center"/>
    </xf>
    <xf numFmtId="166" fontId="4" fillId="2" borderId="7" xfId="0" applyNumberFormat="1" applyFont="1" applyFill="1" applyBorder="1" applyAlignment="1">
      <alignment vertical="center"/>
    </xf>
    <xf numFmtId="166" fontId="4" fillId="2" borderId="8" xfId="0" applyNumberFormat="1" applyFont="1" applyFill="1" applyBorder="1" applyAlignment="1">
      <alignment vertical="center"/>
    </xf>
    <xf numFmtId="165" fontId="4" fillId="0" borderId="9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165" fontId="5" fillId="0" borderId="10" xfId="0" applyNumberFormat="1" applyFont="1" applyBorder="1" applyAlignment="1">
      <alignment vertical="center"/>
    </xf>
    <xf numFmtId="0" fontId="3" fillId="0" borderId="11" xfId="0" applyFont="1" applyFill="1" applyBorder="1" applyAlignment="1">
      <alignment vertical="center" wrapText="1"/>
    </xf>
    <xf numFmtId="165" fontId="3" fillId="0" borderId="1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6" fontId="4" fillId="2" borderId="13" xfId="0" applyNumberFormat="1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166" fontId="4" fillId="2" borderId="15" xfId="0" applyNumberFormat="1" applyFont="1" applyFill="1" applyBorder="1" applyAlignment="1">
      <alignment vertical="center"/>
    </xf>
    <xf numFmtId="166" fontId="4" fillId="2" borderId="16" xfId="0" applyNumberFormat="1" applyFont="1" applyFill="1" applyBorder="1" applyAlignment="1">
      <alignment vertical="center"/>
    </xf>
    <xf numFmtId="166" fontId="3" fillId="0" borderId="0" xfId="0" applyNumberFormat="1" applyFont="1" applyAlignment="1">
      <alignment vertical="center"/>
    </xf>
    <xf numFmtId="166" fontId="8" fillId="2" borderId="17" xfId="0" applyNumberFormat="1" applyFont="1" applyFill="1" applyBorder="1" applyAlignment="1">
      <alignment vertical="center"/>
    </xf>
    <xf numFmtId="1" fontId="2" fillId="2" borderId="18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65" fontId="5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66" fontId="8" fillId="2" borderId="17" xfId="0" applyNumberFormat="1" applyFont="1" applyFill="1" applyBorder="1" applyAlignment="1">
      <alignment horizontal="center" vertical="center"/>
    </xf>
    <xf numFmtId="165" fontId="5" fillId="0" borderId="22" xfId="0" applyNumberFormat="1" applyFont="1" applyBorder="1" applyAlignment="1">
      <alignment vertical="center"/>
    </xf>
    <xf numFmtId="165" fontId="4" fillId="0" borderId="23" xfId="0" applyNumberFormat="1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 wrapText="1"/>
    </xf>
    <xf numFmtId="0" fontId="3" fillId="0" borderId="26" xfId="0" applyFont="1" applyBorder="1" applyAlignment="1">
      <alignment vertical="center"/>
    </xf>
    <xf numFmtId="165" fontId="5" fillId="0" borderId="24" xfId="0" applyNumberFormat="1" applyFont="1" applyBorder="1" applyAlignment="1">
      <alignment vertical="center"/>
    </xf>
    <xf numFmtId="165" fontId="4" fillId="0" borderId="8" xfId="0" applyNumberFormat="1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165" fontId="5" fillId="0" borderId="29" xfId="0" applyNumberFormat="1" applyFont="1" applyBorder="1" applyAlignment="1">
      <alignment vertical="center"/>
    </xf>
    <xf numFmtId="165" fontId="4" fillId="0" borderId="30" xfId="0" applyNumberFormat="1" applyFont="1" applyBorder="1" applyAlignment="1">
      <alignment vertical="center"/>
    </xf>
    <xf numFmtId="165" fontId="5" fillId="0" borderId="16" xfId="0" applyNumberFormat="1" applyFont="1" applyBorder="1" applyAlignment="1">
      <alignment vertical="center"/>
    </xf>
    <xf numFmtId="165" fontId="5" fillId="0" borderId="31" xfId="0" applyNumberFormat="1" applyFont="1" applyBorder="1" applyAlignment="1">
      <alignment vertical="center"/>
    </xf>
    <xf numFmtId="0" fontId="1" fillId="2" borderId="32" xfId="0" applyFont="1" applyFill="1" applyBorder="1" applyAlignment="1">
      <alignment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vertical="center"/>
    </xf>
    <xf numFmtId="166" fontId="2" fillId="2" borderId="17" xfId="0" applyNumberFormat="1" applyFont="1" applyFill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36" xfId="0" applyFont="1" applyFill="1" applyBorder="1" applyAlignment="1">
      <alignment vertical="center" wrapText="1"/>
    </xf>
    <xf numFmtId="0" fontId="3" fillId="0" borderId="36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0" xfId="0" applyFont="1"/>
    <xf numFmtId="0" fontId="11" fillId="0" borderId="0" xfId="0" applyFont="1" applyAlignment="1">
      <alignment horizontal="center" vertical="center" wrapText="1"/>
    </xf>
    <xf numFmtId="164" fontId="2" fillId="0" borderId="37" xfId="0" applyNumberFormat="1" applyFont="1" applyBorder="1" applyAlignment="1">
      <alignment horizontal="center" vertical="center"/>
    </xf>
    <xf numFmtId="164" fontId="3" fillId="0" borderId="38" xfId="0" applyNumberFormat="1" applyFont="1" applyBorder="1" applyAlignment="1">
      <alignment horizontal="center" vertical="center"/>
    </xf>
    <xf numFmtId="164" fontId="3" fillId="0" borderId="0" xfId="0" applyNumberFormat="1" applyFont="1"/>
    <xf numFmtId="168" fontId="11" fillId="0" borderId="37" xfId="1" applyNumberFormat="1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164" fontId="11" fillId="0" borderId="37" xfId="0" applyNumberFormat="1" applyFont="1" applyBorder="1" applyAlignment="1">
      <alignment horizontal="center" vertical="center" wrapText="1"/>
    </xf>
    <xf numFmtId="164" fontId="11" fillId="0" borderId="37" xfId="1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" fontId="4" fillId="2" borderId="18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42" xfId="0" applyFont="1" applyFill="1" applyBorder="1" applyAlignment="1">
      <alignment vertical="center"/>
    </xf>
    <xf numFmtId="0" fontId="5" fillId="2" borderId="43" xfId="0" applyFont="1" applyFill="1" applyBorder="1" applyAlignment="1">
      <alignment vertical="center"/>
    </xf>
    <xf numFmtId="0" fontId="5" fillId="2" borderId="43" xfId="0" applyFont="1" applyFill="1" applyBorder="1" applyAlignment="1">
      <alignment vertical="center" wrapText="1"/>
    </xf>
    <xf numFmtId="0" fontId="5" fillId="2" borderId="44" xfId="0" applyFont="1" applyFill="1" applyBorder="1" applyAlignment="1">
      <alignment vertical="center"/>
    </xf>
    <xf numFmtId="166" fontId="4" fillId="2" borderId="45" xfId="0" applyNumberFormat="1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165" fontId="5" fillId="0" borderId="47" xfId="0" applyNumberFormat="1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5" fillId="0" borderId="50" xfId="0" applyFont="1" applyBorder="1" applyAlignment="1">
      <alignment vertical="center" wrapText="1"/>
    </xf>
    <xf numFmtId="0" fontId="5" fillId="0" borderId="50" xfId="0" applyFont="1" applyBorder="1" applyAlignment="1">
      <alignment vertical="center"/>
    </xf>
    <xf numFmtId="0" fontId="4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 wrapText="1"/>
    </xf>
    <xf numFmtId="0" fontId="5" fillId="2" borderId="53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0" borderId="54" xfId="0" applyFont="1" applyFill="1" applyBorder="1" applyAlignment="1">
      <alignment vertical="center" wrapText="1"/>
    </xf>
    <xf numFmtId="0" fontId="5" fillId="0" borderId="54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165" fontId="5" fillId="0" borderId="56" xfId="0" applyNumberFormat="1" applyFont="1" applyBorder="1" applyAlignment="1">
      <alignment vertical="center"/>
    </xf>
    <xf numFmtId="165" fontId="5" fillId="0" borderId="57" xfId="0" applyNumberFormat="1" applyFont="1" applyBorder="1" applyAlignment="1">
      <alignment vertical="center"/>
    </xf>
    <xf numFmtId="0" fontId="4" fillId="0" borderId="58" xfId="0" applyFont="1" applyBorder="1" applyAlignment="1">
      <alignment vertical="center"/>
    </xf>
    <xf numFmtId="0" fontId="5" fillId="0" borderId="59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165" fontId="5" fillId="0" borderId="60" xfId="0" applyNumberFormat="1" applyFont="1" applyBorder="1" applyAlignment="1">
      <alignment vertical="center"/>
    </xf>
    <xf numFmtId="0" fontId="4" fillId="2" borderId="61" xfId="0" applyFont="1" applyFill="1" applyBorder="1" applyAlignment="1">
      <alignment vertical="center"/>
    </xf>
    <xf numFmtId="0" fontId="5" fillId="2" borderId="62" xfId="0" applyFont="1" applyFill="1" applyBorder="1" applyAlignment="1">
      <alignment vertical="center"/>
    </xf>
    <xf numFmtId="0" fontId="5" fillId="2" borderId="63" xfId="0" applyFont="1" applyFill="1" applyBorder="1" applyAlignment="1">
      <alignment vertical="center" wrapText="1"/>
    </xf>
    <xf numFmtId="0" fontId="5" fillId="2" borderId="64" xfId="0" applyFont="1" applyFill="1" applyBorder="1" applyAlignment="1">
      <alignment vertical="center"/>
    </xf>
    <xf numFmtId="165" fontId="5" fillId="2" borderId="65" xfId="0" applyNumberFormat="1" applyFont="1" applyFill="1" applyBorder="1" applyAlignment="1">
      <alignment vertical="center"/>
    </xf>
    <xf numFmtId="165" fontId="4" fillId="2" borderId="7" xfId="0" applyNumberFormat="1" applyFont="1" applyFill="1" applyBorder="1" applyAlignment="1">
      <alignment vertical="center"/>
    </xf>
    <xf numFmtId="165" fontId="4" fillId="2" borderId="66" xfId="0" applyNumberFormat="1" applyFont="1" applyFill="1" applyBorder="1" applyAlignment="1">
      <alignment vertical="center"/>
    </xf>
    <xf numFmtId="0" fontId="4" fillId="2" borderId="67" xfId="0" applyFont="1" applyFill="1" applyBorder="1" applyAlignment="1">
      <alignment vertical="center"/>
    </xf>
    <xf numFmtId="0" fontId="5" fillId="2" borderId="68" xfId="0" applyFont="1" applyFill="1" applyBorder="1" applyAlignment="1">
      <alignment vertical="center" wrapText="1"/>
    </xf>
    <xf numFmtId="165" fontId="4" fillId="2" borderId="65" xfId="0" applyNumberFormat="1" applyFont="1" applyFill="1" applyBorder="1" applyAlignment="1">
      <alignment vertical="center"/>
    </xf>
    <xf numFmtId="0" fontId="5" fillId="2" borderId="69" xfId="0" applyFont="1" applyFill="1" applyBorder="1" applyAlignment="1">
      <alignment vertical="center" wrapText="1"/>
    </xf>
    <xf numFmtId="0" fontId="5" fillId="2" borderId="70" xfId="0" applyFont="1" applyFill="1" applyBorder="1" applyAlignment="1">
      <alignment vertical="center"/>
    </xf>
    <xf numFmtId="0" fontId="5" fillId="2" borderId="71" xfId="0" applyFont="1" applyFill="1" applyBorder="1" applyAlignment="1">
      <alignment vertical="center"/>
    </xf>
    <xf numFmtId="165" fontId="4" fillId="2" borderId="72" xfId="0" applyNumberFormat="1" applyFont="1" applyFill="1" applyBorder="1" applyAlignment="1">
      <alignment vertical="center"/>
    </xf>
    <xf numFmtId="165" fontId="4" fillId="2" borderId="21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2" borderId="49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 wrapText="1"/>
    </xf>
    <xf numFmtId="0" fontId="5" fillId="2" borderId="28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165" fontId="5" fillId="0" borderId="14" xfId="0" applyNumberFormat="1" applyFont="1" applyBorder="1" applyAlignment="1">
      <alignment vertical="center"/>
    </xf>
    <xf numFmtId="165" fontId="5" fillId="0" borderId="73" xfId="0" applyNumberFormat="1" applyFont="1" applyBorder="1" applyAlignment="1">
      <alignment vertical="center"/>
    </xf>
    <xf numFmtId="165" fontId="5" fillId="0" borderId="28" xfId="0" applyNumberFormat="1" applyFont="1" applyBorder="1" applyAlignment="1">
      <alignment vertical="center"/>
    </xf>
    <xf numFmtId="0" fontId="5" fillId="2" borderId="74" xfId="0" applyFont="1" applyFill="1" applyBorder="1" applyAlignment="1">
      <alignment vertical="center"/>
    </xf>
    <xf numFmtId="0" fontId="5" fillId="0" borderId="48" xfId="0" applyFont="1" applyFill="1" applyBorder="1" applyAlignment="1">
      <alignment vertical="center"/>
    </xf>
    <xf numFmtId="0" fontId="5" fillId="0" borderId="75" xfId="0" applyFont="1" applyBorder="1" applyAlignment="1">
      <alignment vertical="center"/>
    </xf>
    <xf numFmtId="165" fontId="5" fillId="0" borderId="75" xfId="0" applyNumberFormat="1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0" fontId="5" fillId="0" borderId="5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59" xfId="0" applyFont="1" applyBorder="1" applyAlignment="1">
      <alignment vertical="center"/>
    </xf>
    <xf numFmtId="0" fontId="5" fillId="0" borderId="76" xfId="0" applyFont="1" applyBorder="1" applyAlignment="1">
      <alignment vertical="center"/>
    </xf>
    <xf numFmtId="165" fontId="5" fillId="0" borderId="77" xfId="0" applyNumberFormat="1" applyFont="1" applyBorder="1" applyAlignment="1">
      <alignment vertical="center"/>
    </xf>
    <xf numFmtId="165" fontId="5" fillId="0" borderId="78" xfId="0" applyNumberFormat="1" applyFont="1" applyBorder="1" applyAlignment="1">
      <alignment vertical="center"/>
    </xf>
    <xf numFmtId="165" fontId="5" fillId="0" borderId="79" xfId="0" applyNumberFormat="1" applyFont="1" applyBorder="1" applyAlignment="1">
      <alignment vertical="center"/>
    </xf>
    <xf numFmtId="165" fontId="5" fillId="0" borderId="76" xfId="0" applyNumberFormat="1" applyFont="1" applyBorder="1" applyAlignment="1">
      <alignment vertical="center"/>
    </xf>
    <xf numFmtId="165" fontId="4" fillId="2" borderId="80" xfId="0" applyNumberFormat="1" applyFont="1" applyFill="1" applyBorder="1" applyAlignment="1">
      <alignment vertical="center"/>
    </xf>
    <xf numFmtId="0" fontId="4" fillId="2" borderId="81" xfId="0" applyFont="1" applyFill="1" applyBorder="1" applyAlignment="1">
      <alignment vertical="center"/>
    </xf>
    <xf numFmtId="0" fontId="5" fillId="2" borderId="82" xfId="0" applyFont="1" applyFill="1" applyBorder="1" applyAlignment="1">
      <alignment vertical="center"/>
    </xf>
    <xf numFmtId="0" fontId="5" fillId="2" borderId="83" xfId="0" applyFont="1" applyFill="1" applyBorder="1" applyAlignment="1">
      <alignment vertical="center" wrapText="1"/>
    </xf>
    <xf numFmtId="0" fontId="5" fillId="2" borderId="84" xfId="0" applyFont="1" applyFill="1" applyBorder="1" applyAlignment="1">
      <alignment vertical="center"/>
    </xf>
    <xf numFmtId="0" fontId="5" fillId="2" borderId="85" xfId="0" applyFont="1" applyFill="1" applyBorder="1" applyAlignment="1">
      <alignment vertical="center"/>
    </xf>
    <xf numFmtId="165" fontId="5" fillId="2" borderId="72" xfId="0" applyNumberFormat="1" applyFont="1" applyFill="1" applyBorder="1" applyAlignment="1">
      <alignment vertical="center"/>
    </xf>
    <xf numFmtId="165" fontId="4" fillId="2" borderId="85" xfId="0" applyNumberFormat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165" fontId="5" fillId="0" borderId="49" xfId="0" applyNumberFormat="1" applyFont="1" applyBorder="1" applyAlignment="1">
      <alignment vertical="center"/>
    </xf>
    <xf numFmtId="167" fontId="13" fillId="0" borderId="78" xfId="0" applyNumberFormat="1" applyFont="1" applyFill="1" applyBorder="1" applyAlignment="1">
      <alignment vertical="center"/>
    </xf>
    <xf numFmtId="0" fontId="13" fillId="0" borderId="78" xfId="0" applyFont="1" applyBorder="1" applyAlignment="1">
      <alignment vertical="center"/>
    </xf>
    <xf numFmtId="167" fontId="13" fillId="0" borderId="47" xfId="0" applyNumberFormat="1" applyFont="1" applyFill="1" applyBorder="1" applyAlignment="1">
      <alignment vertical="center"/>
    </xf>
    <xf numFmtId="0" fontId="13" fillId="0" borderId="47" xfId="0" applyFont="1" applyBorder="1" applyAlignment="1">
      <alignment vertical="center"/>
    </xf>
    <xf numFmtId="167" fontId="13" fillId="0" borderId="79" xfId="0" applyNumberFormat="1" applyFont="1" applyFill="1" applyBorder="1" applyAlignment="1">
      <alignment vertical="center"/>
    </xf>
    <xf numFmtId="0" fontId="13" fillId="0" borderId="79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86" xfId="0" applyFont="1" applyBorder="1" applyAlignment="1">
      <alignment vertical="center"/>
    </xf>
    <xf numFmtId="0" fontId="5" fillId="2" borderId="62" xfId="0" applyFont="1" applyFill="1" applyBorder="1" applyAlignment="1">
      <alignment vertical="center" wrapText="1"/>
    </xf>
    <xf numFmtId="166" fontId="13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1" fontId="4" fillId="2" borderId="20" xfId="0" applyNumberFormat="1" applyFont="1" applyFill="1" applyBorder="1" applyAlignment="1">
      <alignment horizontal="center" vertical="center"/>
    </xf>
    <xf numFmtId="165" fontId="5" fillId="2" borderId="66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9" fontId="3" fillId="0" borderId="0" xfId="0" applyNumberFormat="1" applyFont="1" applyAlignment="1">
      <alignment vertical="center"/>
    </xf>
    <xf numFmtId="49" fontId="4" fillId="2" borderId="88" xfId="0" applyNumberFormat="1" applyFont="1" applyFill="1" applyBorder="1" applyAlignment="1">
      <alignment horizontal="center" vertical="center" wrapText="1"/>
    </xf>
    <xf numFmtId="49" fontId="4" fillId="2" borderId="23" xfId="0" applyNumberFormat="1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/>
    </xf>
    <xf numFmtId="0" fontId="8" fillId="2" borderId="87" xfId="0" applyFont="1" applyFill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top"/>
    </xf>
    <xf numFmtId="0" fontId="4" fillId="2" borderId="9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9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92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92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88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49" fontId="4" fillId="2" borderId="90" xfId="0" applyNumberFormat="1" applyFont="1" applyFill="1" applyBorder="1" applyAlignment="1">
      <alignment horizontal="center" vertical="center" wrapText="1"/>
    </xf>
    <xf numFmtId="49" fontId="4" fillId="2" borderId="22" xfId="0" applyNumberFormat="1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top"/>
    </xf>
    <xf numFmtId="49" fontId="2" fillId="2" borderId="88" xfId="0" applyNumberFormat="1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87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2" borderId="9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92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9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88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49" fontId="2" fillId="2" borderId="90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he.martirosyan/Desktop/&#1333;&#1398;&#1385;&#1377;&#1391;&#1377;&#1397;&#1377;&#1398;&#1398;&#1381;&#1408;%20-%20&#1359;&#1377;&#1408;&#1378;&#1381;&#1408;&#1377;&#1391;%201%20(&#1377;&#1404;&#1377;&#1398;&#1409;%20&#1407;&#1408;&#1377;&#1398;&#1405;&#1414;&#1400;&#1408;&#1396;&#1377;&#1407;&#1400;&#1408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ՇԱՀՈՒՄՅԱՆ-2"/>
      <sheetName val="ԶՈՎՈՒՆԻ"/>
      <sheetName val="ԱՐԱՐԱՏ-2"/>
      <sheetName val="ՄԱՐԱՇ"/>
      <sheetName val="ԵՂԵԳՆԱՁՈՐ"/>
      <sheetName val="ԼԻՃՔ"/>
      <sheetName val="ՏՐԱՆՍՖՈՐՄԱՏՈՐՆԵՐ և ԱՅԼ"/>
      <sheetName val="TOTAL EFFECT - TARIFF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D7">
            <v>2</v>
          </cell>
        </row>
        <row r="8">
          <cell r="D8">
            <v>2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U37"/>
  <sheetViews>
    <sheetView showGridLines="0" view="pageBreakPreview" zoomScale="70" zoomScaleNormal="70" zoomScaleSheetLayoutView="70" zoomScalePageLayoutView="120" workbookViewId="0">
      <selection activeCell="S29" sqref="S29"/>
    </sheetView>
  </sheetViews>
  <sheetFormatPr defaultColWidth="10.875" defaultRowHeight="18" customHeight="1"/>
  <cols>
    <col min="1" max="1" width="20.625" style="82" customWidth="1"/>
    <col min="2" max="2" width="37.375" style="82" customWidth="1"/>
    <col min="3" max="3" width="23.75" style="169" customWidth="1"/>
    <col min="4" max="4" width="11" style="82" customWidth="1"/>
    <col min="5" max="5" width="18.375" style="82" customWidth="1"/>
    <col min="6" max="6" width="17.75" style="82" customWidth="1"/>
    <col min="7" max="8" width="18.375" style="82" customWidth="1"/>
    <col min="9" max="9" width="18.125" style="82" customWidth="1"/>
    <col min="10" max="10" width="16.875" style="82" customWidth="1"/>
    <col min="11" max="11" width="17.875" style="82" customWidth="1"/>
    <col min="12" max="12" width="16.5" style="82" customWidth="1"/>
    <col min="13" max="13" width="17" style="82" customWidth="1"/>
    <col min="14" max="14" width="10.875" style="82"/>
    <col min="15" max="15" width="16" style="82" customWidth="1"/>
    <col min="16" max="19" width="10.875" style="82"/>
    <col min="20" max="21" width="10.875" style="136"/>
    <col min="22" max="16384" width="10.875" style="82"/>
  </cols>
  <sheetData>
    <row r="1" spans="1:21" ht="29.25" customHeight="1">
      <c r="M1" s="184" t="s">
        <v>94</v>
      </c>
      <c r="S1" s="136"/>
      <c r="U1" s="82"/>
    </row>
    <row r="2" spans="1:21" ht="43.5" customHeight="1" thickBot="1">
      <c r="A2" s="198" t="s">
        <v>49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T2" s="82"/>
      <c r="U2" s="82"/>
    </row>
    <row r="3" spans="1:21" ht="31.5" customHeight="1">
      <c r="A3" s="199" t="s">
        <v>13</v>
      </c>
      <c r="B3" s="201" t="s">
        <v>65</v>
      </c>
      <c r="C3" s="203" t="s">
        <v>16</v>
      </c>
      <c r="D3" s="205" t="s">
        <v>14</v>
      </c>
      <c r="E3" s="207" t="s">
        <v>15</v>
      </c>
      <c r="F3" s="209" t="s">
        <v>63</v>
      </c>
      <c r="G3" s="192" t="s">
        <v>64</v>
      </c>
      <c r="H3" s="194" t="s">
        <v>60</v>
      </c>
      <c r="I3" s="194"/>
      <c r="J3" s="194"/>
      <c r="K3" s="194"/>
      <c r="L3" s="194"/>
      <c r="M3" s="195"/>
      <c r="T3" s="82"/>
      <c r="U3" s="82"/>
    </row>
    <row r="4" spans="1:21" s="88" customFormat="1" ht="33" customHeight="1" thickBot="1">
      <c r="A4" s="200"/>
      <c r="B4" s="202"/>
      <c r="C4" s="204"/>
      <c r="D4" s="206"/>
      <c r="E4" s="208"/>
      <c r="F4" s="210"/>
      <c r="G4" s="193"/>
      <c r="H4" s="182">
        <v>2018</v>
      </c>
      <c r="I4" s="84">
        <v>2019</v>
      </c>
      <c r="J4" s="84">
        <v>2020</v>
      </c>
      <c r="K4" s="85">
        <v>2021</v>
      </c>
      <c r="L4" s="86">
        <v>2022</v>
      </c>
      <c r="M4" s="87">
        <v>2023</v>
      </c>
    </row>
    <row r="5" spans="1:21" ht="30.75" customHeight="1">
      <c r="A5" s="89" t="s">
        <v>40</v>
      </c>
      <c r="B5" s="90"/>
      <c r="C5" s="91"/>
      <c r="D5" s="90"/>
      <c r="E5" s="90"/>
      <c r="F5" s="92"/>
      <c r="G5" s="93">
        <f>SUBTOTAL(9,G6:G10)</f>
        <v>1392225</v>
      </c>
      <c r="H5" s="93">
        <f t="shared" ref="H5:M5" si="0">SUBTOTAL(9,H6:H10)</f>
        <v>0</v>
      </c>
      <c r="I5" s="93">
        <f t="shared" si="0"/>
        <v>0</v>
      </c>
      <c r="J5" s="93">
        <f t="shared" si="0"/>
        <v>278445</v>
      </c>
      <c r="K5" s="93">
        <f t="shared" si="0"/>
        <v>835335</v>
      </c>
      <c r="L5" s="93">
        <f t="shared" si="0"/>
        <v>0</v>
      </c>
      <c r="M5" s="93">
        <f t="shared" si="0"/>
        <v>278445</v>
      </c>
      <c r="O5" s="94">
        <f t="shared" ref="O5:O31" si="1">SUM(H5:M5)-G5</f>
        <v>0</v>
      </c>
      <c r="T5" s="82"/>
      <c r="U5" s="82"/>
    </row>
    <row r="6" spans="1:21" ht="27.75" customHeight="1">
      <c r="A6" s="95"/>
      <c r="B6" s="96" t="s">
        <v>9</v>
      </c>
      <c r="C6" s="97" t="s">
        <v>32</v>
      </c>
      <c r="D6" s="98">
        <v>19</v>
      </c>
      <c r="E6" s="99" t="s">
        <v>22</v>
      </c>
      <c r="F6" s="12">
        <v>8475</v>
      </c>
      <c r="G6" s="5">
        <f ca="1">PRODUCT(F6,'ՇԱՀՈՒՄՅԱՆ-2'!$D6)</f>
        <v>161025</v>
      </c>
      <c r="H6" s="12"/>
      <c r="I6" s="12"/>
      <c r="J6" s="12">
        <f>+G6*0.2</f>
        <v>32205</v>
      </c>
      <c r="K6" s="12">
        <f>+G6*0.6</f>
        <v>96615</v>
      </c>
      <c r="L6" s="12"/>
      <c r="M6" s="100">
        <f>+G6*0.2</f>
        <v>32205</v>
      </c>
      <c r="O6" s="94">
        <f t="shared" si="1"/>
        <v>0</v>
      </c>
      <c r="T6" s="82"/>
      <c r="U6" s="82"/>
    </row>
    <row r="7" spans="1:21" ht="33" customHeight="1">
      <c r="A7" s="95"/>
      <c r="B7" s="96" t="s">
        <v>19</v>
      </c>
      <c r="C7" s="97" t="s">
        <v>32</v>
      </c>
      <c r="D7" s="98">
        <v>24</v>
      </c>
      <c r="E7" s="99" t="s">
        <v>22</v>
      </c>
      <c r="F7" s="12">
        <v>10175</v>
      </c>
      <c r="G7" s="5">
        <f ca="1">PRODUCT(F7,'ՇԱՀՈՒՄՅԱՆ-2'!$D7)</f>
        <v>244200</v>
      </c>
      <c r="H7" s="100"/>
      <c r="I7" s="100"/>
      <c r="J7" s="12">
        <f>+G7*0.2</f>
        <v>48840</v>
      </c>
      <c r="K7" s="12">
        <f>+G7*0.6</f>
        <v>146520</v>
      </c>
      <c r="L7" s="12"/>
      <c r="M7" s="100">
        <f>+G7*0.2</f>
        <v>48840</v>
      </c>
      <c r="O7" s="94">
        <f t="shared" si="1"/>
        <v>0</v>
      </c>
      <c r="T7" s="82"/>
      <c r="U7" s="82"/>
    </row>
    <row r="8" spans="1:21" ht="27" customHeight="1">
      <c r="A8" s="95"/>
      <c r="B8" s="96" t="s">
        <v>29</v>
      </c>
      <c r="C8" s="97" t="s">
        <v>32</v>
      </c>
      <c r="D8" s="98">
        <v>44</v>
      </c>
      <c r="E8" s="99" t="s">
        <v>22</v>
      </c>
      <c r="F8" s="12">
        <v>2147.727272727273</v>
      </c>
      <c r="G8" s="5">
        <f ca="1">PRODUCT(F8,'ՇԱՀՈՒՄՅԱՆ-2'!$D8)</f>
        <v>94500.000000000015</v>
      </c>
      <c r="H8" s="100"/>
      <c r="I8" s="100"/>
      <c r="J8" s="12">
        <f>+G8*0.2</f>
        <v>18900.000000000004</v>
      </c>
      <c r="K8" s="12">
        <f>+G8*0.6</f>
        <v>56700.000000000007</v>
      </c>
      <c r="L8" s="12"/>
      <c r="M8" s="100">
        <f>+G8*0.2</f>
        <v>18900.000000000004</v>
      </c>
      <c r="O8" s="94">
        <f t="shared" si="1"/>
        <v>0</v>
      </c>
      <c r="T8" s="82"/>
      <c r="U8" s="82"/>
    </row>
    <row r="9" spans="1:21" ht="29.25" customHeight="1">
      <c r="A9" s="95"/>
      <c r="B9" s="96" t="s">
        <v>10</v>
      </c>
      <c r="C9" s="97"/>
      <c r="D9" s="98">
        <v>10</v>
      </c>
      <c r="E9" s="99" t="s">
        <v>22</v>
      </c>
      <c r="F9" s="12">
        <v>74250</v>
      </c>
      <c r="G9" s="5">
        <f ca="1">PRODUCT(F9,'ՇԱՀՈՒՄՅԱՆ-2'!$D9)</f>
        <v>742500</v>
      </c>
      <c r="H9" s="100"/>
      <c r="I9" s="100"/>
      <c r="J9" s="12">
        <f>+G9*0.2</f>
        <v>148500</v>
      </c>
      <c r="K9" s="12">
        <f>+G9*0.6</f>
        <v>445500</v>
      </c>
      <c r="L9" s="12"/>
      <c r="M9" s="100">
        <f>+G9*0.2</f>
        <v>148500</v>
      </c>
      <c r="O9" s="94">
        <f t="shared" si="1"/>
        <v>0</v>
      </c>
      <c r="T9" s="82"/>
      <c r="U9" s="82"/>
    </row>
    <row r="10" spans="1:21" ht="29.25" customHeight="1">
      <c r="A10" s="102"/>
      <c r="B10" s="96" t="s">
        <v>101</v>
      </c>
      <c r="C10" s="103"/>
      <c r="D10" s="104">
        <v>1</v>
      </c>
      <c r="E10" s="104" t="s">
        <v>22</v>
      </c>
      <c r="F10" s="46">
        <v>150000</v>
      </c>
      <c r="G10" s="5">
        <f ca="1">PRODUCT(F10,'ՇԱՀՈՒՄՅԱՆ-2'!$D10)</f>
        <v>150000</v>
      </c>
      <c r="H10" s="100"/>
      <c r="I10" s="100"/>
      <c r="J10" s="12">
        <f>+G10*0.2</f>
        <v>30000</v>
      </c>
      <c r="K10" s="12">
        <f>+G10*0.6</f>
        <v>90000</v>
      </c>
      <c r="L10" s="12"/>
      <c r="M10" s="100">
        <f>+G10*0.2</f>
        <v>30000</v>
      </c>
      <c r="O10" s="94">
        <f t="shared" si="1"/>
        <v>0</v>
      </c>
      <c r="T10" s="82"/>
      <c r="U10" s="82"/>
    </row>
    <row r="11" spans="1:21" ht="31.5" customHeight="1">
      <c r="A11" s="105" t="s">
        <v>11</v>
      </c>
      <c r="B11" s="106"/>
      <c r="C11" s="107"/>
      <c r="D11" s="106"/>
      <c r="E11" s="106"/>
      <c r="F11" s="108"/>
      <c r="G11" s="1">
        <f t="shared" ref="G11:M11" si="2">SUBTOTAL(9,G12:G12)</f>
        <v>17550</v>
      </c>
      <c r="H11" s="25">
        <f t="shared" si="2"/>
        <v>0</v>
      </c>
      <c r="I11" s="25">
        <f t="shared" si="2"/>
        <v>0</v>
      </c>
      <c r="J11" s="25">
        <f t="shared" si="2"/>
        <v>3510</v>
      </c>
      <c r="K11" s="25">
        <f t="shared" si="2"/>
        <v>10530</v>
      </c>
      <c r="L11" s="25">
        <f t="shared" si="2"/>
        <v>0</v>
      </c>
      <c r="M11" s="25">
        <f t="shared" si="2"/>
        <v>3510</v>
      </c>
      <c r="O11" s="94">
        <f t="shared" si="1"/>
        <v>0</v>
      </c>
      <c r="T11" s="82"/>
      <c r="U11" s="82"/>
    </row>
    <row r="12" spans="1:21" ht="27.75" customHeight="1">
      <c r="A12" s="95"/>
      <c r="B12" s="109" t="s">
        <v>59</v>
      </c>
      <c r="C12" s="110" t="s">
        <v>5</v>
      </c>
      <c r="D12" s="98">
        <v>1</v>
      </c>
      <c r="E12" s="99" t="s">
        <v>22</v>
      </c>
      <c r="F12" s="12">
        <v>17550</v>
      </c>
      <c r="G12" s="5">
        <f ca="1">PRODUCT(F12,'ՇԱՀՈՒՄՅԱՆ-2'!$D12)</f>
        <v>17550</v>
      </c>
      <c r="H12" s="100"/>
      <c r="I12" s="100"/>
      <c r="J12" s="12">
        <f>+G12*0.2</f>
        <v>3510</v>
      </c>
      <c r="K12" s="12">
        <f>+G12*0.6</f>
        <v>10530</v>
      </c>
      <c r="L12" s="12"/>
      <c r="M12" s="100">
        <f>+G12*0.2</f>
        <v>3510</v>
      </c>
      <c r="O12" s="94">
        <f t="shared" si="1"/>
        <v>0</v>
      </c>
      <c r="T12" s="82"/>
      <c r="U12" s="82"/>
    </row>
    <row r="13" spans="1:21" ht="29.25" customHeight="1">
      <c r="A13" s="105" t="s">
        <v>12</v>
      </c>
      <c r="B13" s="106"/>
      <c r="C13" s="107"/>
      <c r="D13" s="106"/>
      <c r="E13" s="106"/>
      <c r="F13" s="108"/>
      <c r="G13" s="1">
        <f ca="1">SUBTOTAL(9,G14:G19)</f>
        <v>1620232</v>
      </c>
      <c r="H13" s="1">
        <f t="shared" ref="H13:M13" si="3">SUBTOTAL(9,H14:H19)</f>
        <v>0</v>
      </c>
      <c r="I13" s="1">
        <f t="shared" si="3"/>
        <v>0</v>
      </c>
      <c r="J13" s="1">
        <f t="shared" si="3"/>
        <v>324046.40000000002</v>
      </c>
      <c r="K13" s="1">
        <f t="shared" si="3"/>
        <v>972139.2</v>
      </c>
      <c r="L13" s="1">
        <f t="shared" si="3"/>
        <v>0</v>
      </c>
      <c r="M13" s="1">
        <f t="shared" si="3"/>
        <v>324046.40000000002</v>
      </c>
      <c r="O13" s="94">
        <f t="shared" si="1"/>
        <v>0</v>
      </c>
      <c r="T13" s="82"/>
      <c r="U13" s="82"/>
    </row>
    <row r="14" spans="1:21" ht="29.25" customHeight="1">
      <c r="A14" s="95"/>
      <c r="B14" s="96" t="s">
        <v>26</v>
      </c>
      <c r="C14" s="97" t="s">
        <v>31</v>
      </c>
      <c r="D14" s="98">
        <v>6</v>
      </c>
      <c r="E14" s="99" t="s">
        <v>22</v>
      </c>
      <c r="F14" s="12">
        <v>27457</v>
      </c>
      <c r="G14" s="5">
        <f ca="1">PRODUCT(F14,'ՇԱՀՈՒՄՅԱՆ-2'!$D14)</f>
        <v>164742</v>
      </c>
      <c r="H14" s="100"/>
      <c r="I14" s="100"/>
      <c r="J14" s="12">
        <f t="shared" ref="J14:J19" si="4">+G14*0.2</f>
        <v>32948.400000000001</v>
      </c>
      <c r="K14" s="12">
        <f t="shared" ref="K14:K19" si="5">+G14*0.6</f>
        <v>98845.2</v>
      </c>
      <c r="L14" s="12"/>
      <c r="M14" s="100">
        <f t="shared" ref="M14:M19" si="6">+G14*0.2</f>
        <v>32948.400000000001</v>
      </c>
      <c r="O14" s="94">
        <f t="shared" si="1"/>
        <v>0</v>
      </c>
      <c r="T14" s="82"/>
      <c r="U14" s="82"/>
    </row>
    <row r="15" spans="1:21" ht="27" customHeight="1">
      <c r="A15" s="95"/>
      <c r="B15" s="96" t="s">
        <v>9</v>
      </c>
      <c r="C15" s="97" t="s">
        <v>32</v>
      </c>
      <c r="D15" s="98">
        <v>24</v>
      </c>
      <c r="E15" s="99" t="s">
        <v>22</v>
      </c>
      <c r="F15" s="12">
        <v>4585</v>
      </c>
      <c r="G15" s="5">
        <f ca="1">PRODUCT(F15,'ՇԱՀՈՒՄՅԱՆ-2'!$D15)</f>
        <v>110040</v>
      </c>
      <c r="H15" s="100"/>
      <c r="I15" s="100"/>
      <c r="J15" s="12">
        <f t="shared" si="4"/>
        <v>22008</v>
      </c>
      <c r="K15" s="12">
        <f t="shared" si="5"/>
        <v>66024</v>
      </c>
      <c r="L15" s="12"/>
      <c r="M15" s="100">
        <f t="shared" si="6"/>
        <v>22008</v>
      </c>
      <c r="O15" s="94">
        <f t="shared" si="1"/>
        <v>0</v>
      </c>
      <c r="T15" s="82"/>
      <c r="U15" s="82"/>
    </row>
    <row r="16" spans="1:21" ht="25.5" customHeight="1">
      <c r="A16" s="95"/>
      <c r="B16" s="96" t="s">
        <v>19</v>
      </c>
      <c r="C16" s="97" t="s">
        <v>32</v>
      </c>
      <c r="D16" s="98">
        <v>18</v>
      </c>
      <c r="E16" s="99" t="s">
        <v>22</v>
      </c>
      <c r="F16" s="12">
        <v>8775</v>
      </c>
      <c r="G16" s="5">
        <f ca="1">PRODUCT(F16,'ՇԱՀՈՒՄՅԱՆ-2'!$D16)</f>
        <v>157950</v>
      </c>
      <c r="H16" s="100"/>
      <c r="I16" s="100"/>
      <c r="J16" s="12">
        <f t="shared" si="4"/>
        <v>31590</v>
      </c>
      <c r="K16" s="12">
        <f t="shared" si="5"/>
        <v>94770</v>
      </c>
      <c r="L16" s="12"/>
      <c r="M16" s="100">
        <f t="shared" si="6"/>
        <v>31590</v>
      </c>
      <c r="O16" s="94">
        <f t="shared" si="1"/>
        <v>0</v>
      </c>
      <c r="T16" s="82"/>
      <c r="U16" s="82"/>
    </row>
    <row r="17" spans="1:21" ht="27.75" customHeight="1">
      <c r="A17" s="95"/>
      <c r="B17" s="96" t="s">
        <v>29</v>
      </c>
      <c r="C17" s="97" t="s">
        <v>32</v>
      </c>
      <c r="D17" s="98">
        <v>62</v>
      </c>
      <c r="E17" s="99" t="s">
        <v>22</v>
      </c>
      <c r="F17" s="12">
        <v>1306.4516129032259</v>
      </c>
      <c r="G17" s="5">
        <f ca="1">PRODUCT(F17,'ՇԱՀՈՒՄՅԱՆ-2'!$D17)</f>
        <v>81000</v>
      </c>
      <c r="H17" s="100"/>
      <c r="I17" s="100"/>
      <c r="J17" s="12">
        <f t="shared" si="4"/>
        <v>16200</v>
      </c>
      <c r="K17" s="12">
        <f t="shared" si="5"/>
        <v>48600</v>
      </c>
      <c r="L17" s="12"/>
      <c r="M17" s="100">
        <f t="shared" si="6"/>
        <v>16200</v>
      </c>
      <c r="O17" s="94">
        <f t="shared" si="1"/>
        <v>0</v>
      </c>
      <c r="T17" s="82"/>
      <c r="U17" s="82"/>
    </row>
    <row r="18" spans="1:21" ht="31.5" customHeight="1">
      <c r="A18" s="95"/>
      <c r="B18" s="96" t="s">
        <v>10</v>
      </c>
      <c r="C18" s="97"/>
      <c r="D18" s="98">
        <v>18</v>
      </c>
      <c r="E18" s="99" t="s">
        <v>22</v>
      </c>
      <c r="F18" s="12">
        <v>54250</v>
      </c>
      <c r="G18" s="5">
        <f ca="1">PRODUCT(F18,'ՇԱՀՈՒՄՅԱՆ-2'!$D18)</f>
        <v>976500</v>
      </c>
      <c r="H18" s="100"/>
      <c r="I18" s="100"/>
      <c r="J18" s="12">
        <f t="shared" si="4"/>
        <v>195300</v>
      </c>
      <c r="K18" s="12">
        <f t="shared" si="5"/>
        <v>585900</v>
      </c>
      <c r="L18" s="12"/>
      <c r="M18" s="100">
        <f t="shared" si="6"/>
        <v>195300</v>
      </c>
      <c r="O18" s="94">
        <f t="shared" si="1"/>
        <v>0</v>
      </c>
      <c r="T18" s="82"/>
      <c r="U18" s="82"/>
    </row>
    <row r="19" spans="1:21" ht="31.5" customHeight="1">
      <c r="A19" s="117"/>
      <c r="B19" s="96" t="s">
        <v>101</v>
      </c>
      <c r="C19" s="118"/>
      <c r="D19" s="119">
        <v>1</v>
      </c>
      <c r="E19" s="119" t="s">
        <v>22</v>
      </c>
      <c r="F19" s="120">
        <v>130000</v>
      </c>
      <c r="G19" s="5">
        <f ca="1">PRODUCT(F19,'ՇԱՀՈՒՄՅԱՆ-2'!$D19)</f>
        <v>130000</v>
      </c>
      <c r="H19" s="100"/>
      <c r="I19" s="100"/>
      <c r="J19" s="12">
        <f t="shared" si="4"/>
        <v>26000</v>
      </c>
      <c r="K19" s="12">
        <f t="shared" si="5"/>
        <v>78000</v>
      </c>
      <c r="L19" s="12"/>
      <c r="M19" s="100">
        <f t="shared" si="6"/>
        <v>26000</v>
      </c>
      <c r="O19" s="94">
        <f t="shared" si="1"/>
        <v>0</v>
      </c>
      <c r="T19" s="82"/>
      <c r="U19" s="82"/>
    </row>
    <row r="20" spans="1:21" ht="29.25" customHeight="1">
      <c r="A20" s="105" t="s">
        <v>90</v>
      </c>
      <c r="B20" s="106"/>
      <c r="C20" s="107"/>
      <c r="D20" s="106"/>
      <c r="E20" s="106"/>
      <c r="F20" s="108"/>
      <c r="G20" s="1">
        <f ca="1">SUBTOTAL(9,G21:G21)</f>
        <v>81000</v>
      </c>
      <c r="H20" s="25">
        <f t="shared" ref="H20:M20" si="7">SUBTOTAL(9,H21:H21)</f>
        <v>0</v>
      </c>
      <c r="I20" s="25">
        <f t="shared" si="7"/>
        <v>0</v>
      </c>
      <c r="J20" s="25">
        <f t="shared" si="7"/>
        <v>16200</v>
      </c>
      <c r="K20" s="25">
        <f t="shared" si="7"/>
        <v>48600</v>
      </c>
      <c r="L20" s="25">
        <f t="shared" si="7"/>
        <v>0</v>
      </c>
      <c r="M20" s="25">
        <f t="shared" si="7"/>
        <v>16200</v>
      </c>
      <c r="O20" s="94">
        <f t="shared" si="1"/>
        <v>0</v>
      </c>
      <c r="T20" s="82"/>
      <c r="U20" s="82"/>
    </row>
    <row r="21" spans="1:21" ht="34.5" customHeight="1">
      <c r="A21" s="152"/>
      <c r="B21" s="101" t="s">
        <v>41</v>
      </c>
      <c r="C21" s="153" t="s">
        <v>39</v>
      </c>
      <c r="D21" s="113">
        <v>2</v>
      </c>
      <c r="E21" s="114" t="s">
        <v>22</v>
      </c>
      <c r="F21" s="115">
        <v>40500</v>
      </c>
      <c r="G21" s="8">
        <f ca="1">PRODUCT(F21,'ՇԱՀՈՒՄՅԱՆ-2'!$D21)</f>
        <v>81000</v>
      </c>
      <c r="H21" s="116"/>
      <c r="I21" s="116"/>
      <c r="J21" s="12">
        <f t="shared" ref="J21:J30" si="8">+G21*0.2</f>
        <v>16200</v>
      </c>
      <c r="K21" s="12">
        <f>+G21*0.6</f>
        <v>48600</v>
      </c>
      <c r="L21" s="12"/>
      <c r="M21" s="100">
        <f t="shared" ref="M21:M26" si="9">+G21*0.2</f>
        <v>16200</v>
      </c>
      <c r="O21" s="94">
        <f t="shared" si="1"/>
        <v>0</v>
      </c>
      <c r="T21" s="82"/>
      <c r="U21" s="82"/>
    </row>
    <row r="22" spans="1:21" ht="29.25" customHeight="1">
      <c r="A22" s="121" t="s">
        <v>25</v>
      </c>
      <c r="B22" s="122"/>
      <c r="C22" s="123"/>
      <c r="D22" s="124"/>
      <c r="E22" s="124" t="s">
        <v>8</v>
      </c>
      <c r="F22" s="125">
        <v>168750</v>
      </c>
      <c r="G22" s="126">
        <f ca="1">PRODUCT(F22,'ՇԱՀՈՒՄՅԱՆ-2'!$D22)</f>
        <v>168750</v>
      </c>
      <c r="H22" s="183"/>
      <c r="I22" s="183"/>
      <c r="J22" s="126">
        <f t="shared" si="8"/>
        <v>33750</v>
      </c>
      <c r="K22" s="126">
        <f>+G22*0.6</f>
        <v>101250</v>
      </c>
      <c r="L22" s="126"/>
      <c r="M22" s="127">
        <f t="shared" si="9"/>
        <v>33750</v>
      </c>
      <c r="O22" s="94">
        <f t="shared" si="1"/>
        <v>0</v>
      </c>
      <c r="T22" s="82"/>
      <c r="U22" s="82"/>
    </row>
    <row r="23" spans="1:21" ht="35.25" customHeight="1">
      <c r="A23" s="128" t="s">
        <v>43</v>
      </c>
      <c r="B23" s="124"/>
      <c r="C23" s="129"/>
      <c r="D23" s="124"/>
      <c r="E23" s="124" t="s">
        <v>8</v>
      </c>
      <c r="F23" s="125">
        <v>243000.00000000003</v>
      </c>
      <c r="G23" s="126">
        <f ca="1">PRODUCT(F23,'ՇԱՀՈՒՄՅԱՆ-2'!$D23)</f>
        <v>243000.00000000003</v>
      </c>
      <c r="H23" s="126"/>
      <c r="I23" s="126"/>
      <c r="J23" s="126">
        <f t="shared" si="8"/>
        <v>48600.000000000007</v>
      </c>
      <c r="K23" s="126">
        <f>+G23*0.6</f>
        <v>145800</v>
      </c>
      <c r="L23" s="126"/>
      <c r="M23" s="126">
        <f t="shared" si="9"/>
        <v>48600.000000000007</v>
      </c>
      <c r="O23" s="94">
        <f t="shared" si="1"/>
        <v>0</v>
      </c>
      <c r="T23" s="82"/>
      <c r="U23" s="82"/>
    </row>
    <row r="24" spans="1:21" ht="27.75" customHeight="1">
      <c r="A24" s="105" t="s">
        <v>35</v>
      </c>
      <c r="B24" s="124"/>
      <c r="C24" s="129" t="s">
        <v>33</v>
      </c>
      <c r="D24" s="124">
        <v>30</v>
      </c>
      <c r="E24" s="124" t="s">
        <v>82</v>
      </c>
      <c r="F24" s="125">
        <v>10800</v>
      </c>
      <c r="G24" s="126">
        <f ca="1">PRODUCT(F24,'ՇԱՀՈՒՄՅԱՆ-2'!$D24)</f>
        <v>324000</v>
      </c>
      <c r="H24" s="127"/>
      <c r="I24" s="126"/>
      <c r="J24" s="126">
        <f t="shared" si="8"/>
        <v>64800</v>
      </c>
      <c r="K24" s="126">
        <f>+G24*0.6</f>
        <v>194400</v>
      </c>
      <c r="L24" s="126"/>
      <c r="M24" s="127">
        <f t="shared" si="9"/>
        <v>64800</v>
      </c>
      <c r="O24" s="94">
        <f t="shared" si="1"/>
        <v>0</v>
      </c>
      <c r="T24" s="82"/>
      <c r="U24" s="82"/>
    </row>
    <row r="25" spans="1:21" ht="31.5" customHeight="1">
      <c r="A25" s="105" t="s">
        <v>103</v>
      </c>
      <c r="B25" s="124"/>
      <c r="C25" s="129"/>
      <c r="D25" s="124"/>
      <c r="E25" s="124" t="s">
        <v>8</v>
      </c>
      <c r="F25" s="125">
        <v>2720000</v>
      </c>
      <c r="G25" s="126">
        <f ca="1">PRODUCT(F25,'ՇԱՀՈՒՄՅԱՆ-2'!$D25)</f>
        <v>2720000</v>
      </c>
      <c r="H25" s="127"/>
      <c r="I25" s="126"/>
      <c r="J25" s="126">
        <f t="shared" si="8"/>
        <v>544000</v>
      </c>
      <c r="K25" s="126">
        <f>+G25*0.3</f>
        <v>816000</v>
      </c>
      <c r="L25" s="126">
        <f>+G25*0.3</f>
        <v>816000</v>
      </c>
      <c r="M25" s="127">
        <f t="shared" si="9"/>
        <v>544000</v>
      </c>
      <c r="O25" s="94">
        <f t="shared" si="1"/>
        <v>0</v>
      </c>
      <c r="T25" s="82"/>
      <c r="U25" s="82"/>
    </row>
    <row r="26" spans="1:21" ht="30.75" customHeight="1">
      <c r="A26" s="105" t="s">
        <v>36</v>
      </c>
      <c r="B26" s="124"/>
      <c r="C26" s="129"/>
      <c r="D26" s="124"/>
      <c r="E26" s="124" t="s">
        <v>8</v>
      </c>
      <c r="F26" s="125">
        <v>10000</v>
      </c>
      <c r="G26" s="126">
        <f ca="1">PRODUCT(F26,'ՇԱՀՈՒՄՅԱՆ-2'!$D26)</f>
        <v>10000</v>
      </c>
      <c r="H26" s="127"/>
      <c r="I26" s="126"/>
      <c r="J26" s="126">
        <f t="shared" si="8"/>
        <v>2000</v>
      </c>
      <c r="K26" s="126">
        <f>+G26*0.2</f>
        <v>2000</v>
      </c>
      <c r="L26" s="126">
        <f>+G26*0.4</f>
        <v>4000</v>
      </c>
      <c r="M26" s="127">
        <f t="shared" si="9"/>
        <v>2000</v>
      </c>
      <c r="O26" s="94">
        <f t="shared" si="1"/>
        <v>0</v>
      </c>
      <c r="T26" s="82"/>
      <c r="U26" s="82"/>
    </row>
    <row r="27" spans="1:21" ht="30.75" customHeight="1">
      <c r="A27" s="105" t="s">
        <v>37</v>
      </c>
      <c r="B27" s="124"/>
      <c r="C27" s="129"/>
      <c r="D27" s="124"/>
      <c r="E27" s="124" t="s">
        <v>8</v>
      </c>
      <c r="F27" s="125">
        <v>100000</v>
      </c>
      <c r="G27" s="126">
        <f ca="1">PRODUCT(F27,'ՇԱՀՈՒՄՅԱՆ-2'!$D27)</f>
        <v>100000</v>
      </c>
      <c r="H27" s="127"/>
      <c r="I27" s="126"/>
      <c r="J27" s="126">
        <f t="shared" si="8"/>
        <v>20000</v>
      </c>
      <c r="K27" s="126">
        <f>+G27*0.8</f>
        <v>80000</v>
      </c>
      <c r="L27" s="126"/>
      <c r="M27" s="127"/>
      <c r="O27" s="94">
        <f t="shared" si="1"/>
        <v>0</v>
      </c>
      <c r="T27" s="82"/>
      <c r="U27" s="82"/>
    </row>
    <row r="28" spans="1:21" ht="31.5" customHeight="1">
      <c r="A28" s="105" t="s">
        <v>61</v>
      </c>
      <c r="B28" s="124"/>
      <c r="C28" s="129"/>
      <c r="D28" s="124"/>
      <c r="E28" s="124" t="s">
        <v>8</v>
      </c>
      <c r="F28" s="125">
        <v>50000</v>
      </c>
      <c r="G28" s="126">
        <f ca="1">PRODUCT(F28,'ՇԱՀՈՒՄՅԱՆ-2'!$D28)</f>
        <v>50000</v>
      </c>
      <c r="H28" s="127"/>
      <c r="I28" s="126"/>
      <c r="J28" s="126">
        <f t="shared" si="8"/>
        <v>10000</v>
      </c>
      <c r="K28" s="126">
        <f>+G28*0.6</f>
        <v>30000</v>
      </c>
      <c r="L28" s="126"/>
      <c r="M28" s="127">
        <f>+G28*0.2</f>
        <v>10000</v>
      </c>
      <c r="O28" s="94">
        <f t="shared" si="1"/>
        <v>0</v>
      </c>
      <c r="T28" s="82"/>
      <c r="U28" s="82"/>
    </row>
    <row r="29" spans="1:21" ht="30.75" customHeight="1">
      <c r="A29" s="105" t="s">
        <v>38</v>
      </c>
      <c r="B29" s="106"/>
      <c r="C29" s="131"/>
      <c r="D29" s="106"/>
      <c r="E29" s="106" t="s">
        <v>8</v>
      </c>
      <c r="F29" s="125">
        <v>32000</v>
      </c>
      <c r="G29" s="126">
        <f ca="1">PRODUCT(F29,'ՇԱՀՈՒՄՅԱՆ-2'!$D29)</f>
        <v>32000</v>
      </c>
      <c r="H29" s="127"/>
      <c r="I29" s="126"/>
      <c r="J29" s="126">
        <f t="shared" si="8"/>
        <v>6400</v>
      </c>
      <c r="K29" s="126">
        <f>+G29*0.3</f>
        <v>9600</v>
      </c>
      <c r="L29" s="126">
        <f>+G29*0.3</f>
        <v>9600</v>
      </c>
      <c r="M29" s="127">
        <f>+G29*0.2</f>
        <v>6400</v>
      </c>
      <c r="O29" s="94">
        <f t="shared" si="1"/>
        <v>0</v>
      </c>
      <c r="T29" s="82"/>
      <c r="U29" s="82"/>
    </row>
    <row r="30" spans="1:21" ht="36.75" customHeight="1" thickBot="1">
      <c r="A30" s="121" t="s">
        <v>52</v>
      </c>
      <c r="B30" s="124"/>
      <c r="C30" s="129"/>
      <c r="D30" s="133"/>
      <c r="E30" s="124" t="s">
        <v>8</v>
      </c>
      <c r="F30" s="167">
        <v>400000</v>
      </c>
      <c r="G30" s="23">
        <f ca="1">PRODUCT(F30,'ՇԱՀՈՒՄՅԱՆ-2'!$D30)</f>
        <v>400000</v>
      </c>
      <c r="H30" s="32"/>
      <c r="I30" s="23">
        <f>+G30*0.4</f>
        <v>160000</v>
      </c>
      <c r="J30" s="23">
        <f t="shared" si="8"/>
        <v>80000</v>
      </c>
      <c r="K30" s="23">
        <f>+G30*0.2</f>
        <v>80000</v>
      </c>
      <c r="L30" s="23">
        <f>+G30*0.1</f>
        <v>40000</v>
      </c>
      <c r="M30" s="32">
        <f>+G30*0.1</f>
        <v>40000</v>
      </c>
      <c r="O30" s="94">
        <f t="shared" si="1"/>
        <v>0</v>
      </c>
      <c r="T30" s="82"/>
      <c r="U30" s="82"/>
    </row>
    <row r="31" spans="1:21" ht="42" customHeight="1" thickBot="1">
      <c r="A31" s="196" t="s">
        <v>62</v>
      </c>
      <c r="B31" s="197"/>
      <c r="C31" s="197"/>
      <c r="D31" s="197"/>
      <c r="E31" s="197"/>
      <c r="F31" s="197"/>
      <c r="G31" s="28">
        <f t="shared" ref="G31:M31" si="10">SUBTOTAL(9,G5:G30)</f>
        <v>7158757</v>
      </c>
      <c r="H31" s="28">
        <f t="shared" si="10"/>
        <v>0</v>
      </c>
      <c r="I31" s="28">
        <f t="shared" si="10"/>
        <v>160000</v>
      </c>
      <c r="J31" s="28">
        <f t="shared" si="10"/>
        <v>1431751.4</v>
      </c>
      <c r="K31" s="28">
        <f t="shared" si="10"/>
        <v>3325654.2</v>
      </c>
      <c r="L31" s="28">
        <f t="shared" si="10"/>
        <v>869600</v>
      </c>
      <c r="M31" s="28">
        <f t="shared" si="10"/>
        <v>1371751.4</v>
      </c>
      <c r="O31" s="94">
        <f t="shared" si="1"/>
        <v>0</v>
      </c>
      <c r="S31" s="136"/>
      <c r="U31" s="82"/>
    </row>
    <row r="35" spans="6:6" ht="18" customHeight="1">
      <c r="F35" s="185"/>
    </row>
    <row r="37" spans="6:6" ht="18" customHeight="1">
      <c r="F37" s="185"/>
    </row>
  </sheetData>
  <mergeCells count="10">
    <mergeCell ref="G3:G4"/>
    <mergeCell ref="H3:M3"/>
    <mergeCell ref="A31:F31"/>
    <mergeCell ref="A2:M2"/>
    <mergeCell ref="A3:A4"/>
    <mergeCell ref="B3:B4"/>
    <mergeCell ref="C3:C4"/>
    <mergeCell ref="D3:D4"/>
    <mergeCell ref="E3:E4"/>
    <mergeCell ref="F3:F4"/>
  </mergeCells>
  <phoneticPr fontId="0" type="noConversion"/>
  <pageMargins left="0.23622047244094491" right="0.23622047244094491" top="0.47244094488188981" bottom="0" header="0.11811023622047245" footer="0.11811023622047245"/>
  <pageSetup paperSize="9" scale="52" fitToWidth="2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U41"/>
  <sheetViews>
    <sheetView showGridLines="0" view="pageBreakPreview" zoomScale="60" zoomScaleNormal="70" zoomScalePageLayoutView="120" workbookViewId="0">
      <selection sqref="A1:IV65536"/>
    </sheetView>
  </sheetViews>
  <sheetFormatPr defaultColWidth="10.875" defaultRowHeight="18" customHeight="1"/>
  <cols>
    <col min="1" max="1" width="20.625" style="80" customWidth="1"/>
    <col min="2" max="2" width="35.5" style="80" customWidth="1"/>
    <col min="3" max="3" width="32.25" style="81" customWidth="1"/>
    <col min="4" max="4" width="11" style="80" customWidth="1"/>
    <col min="5" max="5" width="18.375" style="80" customWidth="1"/>
    <col min="6" max="6" width="16.125" style="80" customWidth="1"/>
    <col min="7" max="7" width="17.125" style="80" customWidth="1"/>
    <col min="8" max="8" width="16.375" style="80" customWidth="1"/>
    <col min="9" max="9" width="17.875" style="80" customWidth="1"/>
    <col min="10" max="10" width="19" style="80" customWidth="1"/>
    <col min="11" max="11" width="15.375" style="80" customWidth="1"/>
    <col min="12" max="12" width="16.75" style="80" customWidth="1"/>
    <col min="13" max="13" width="14.5" style="80" customWidth="1"/>
    <col min="14" max="14" width="10.875" style="80"/>
    <col min="15" max="15" width="18.625" style="80" customWidth="1"/>
    <col min="16" max="19" width="10.875" style="80"/>
    <col min="20" max="21" width="10.875" style="137"/>
    <col min="22" max="16384" width="10.875" style="80"/>
  </cols>
  <sheetData>
    <row r="1" spans="1:21" s="82" customFormat="1" ht="29.25" customHeight="1">
      <c r="C1" s="169"/>
      <c r="M1" s="184" t="s">
        <v>95</v>
      </c>
      <c r="S1" s="136"/>
      <c r="T1" s="136"/>
    </row>
    <row r="2" spans="1:21" ht="42" customHeight="1" thickBot="1">
      <c r="A2" s="198" t="s">
        <v>51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T2" s="80"/>
      <c r="U2" s="80"/>
    </row>
    <row r="3" spans="1:21" s="82" customFormat="1" ht="31.5" customHeight="1">
      <c r="A3" s="199" t="s">
        <v>13</v>
      </c>
      <c r="B3" s="201" t="s">
        <v>65</v>
      </c>
      <c r="C3" s="203" t="s">
        <v>16</v>
      </c>
      <c r="D3" s="205" t="s">
        <v>14</v>
      </c>
      <c r="E3" s="207" t="s">
        <v>15</v>
      </c>
      <c r="F3" s="209" t="s">
        <v>63</v>
      </c>
      <c r="G3" s="192" t="s">
        <v>64</v>
      </c>
      <c r="H3" s="211" t="s">
        <v>60</v>
      </c>
      <c r="I3" s="194"/>
      <c r="J3" s="194"/>
      <c r="K3" s="194"/>
      <c r="L3" s="194"/>
      <c r="M3" s="195"/>
    </row>
    <row r="4" spans="1:21" s="88" customFormat="1" ht="33" customHeight="1" thickBot="1">
      <c r="A4" s="200"/>
      <c r="B4" s="202"/>
      <c r="C4" s="204"/>
      <c r="D4" s="206"/>
      <c r="E4" s="208"/>
      <c r="F4" s="210"/>
      <c r="G4" s="193"/>
      <c r="H4" s="83">
        <v>2018</v>
      </c>
      <c r="I4" s="84">
        <v>2019</v>
      </c>
      <c r="J4" s="84">
        <v>2020</v>
      </c>
      <c r="K4" s="85">
        <v>2021</v>
      </c>
      <c r="L4" s="86">
        <v>2022</v>
      </c>
      <c r="M4" s="87">
        <v>2023</v>
      </c>
    </row>
    <row r="5" spans="1:21" ht="27.75" customHeight="1">
      <c r="A5" s="89" t="s">
        <v>40</v>
      </c>
      <c r="B5" s="90"/>
      <c r="C5" s="91"/>
      <c r="D5" s="90"/>
      <c r="E5" s="90"/>
      <c r="F5" s="92"/>
      <c r="G5" s="93">
        <f>SUBTOTAL(9,G6:G11)</f>
        <v>935209.09090909094</v>
      </c>
      <c r="H5" s="93">
        <f t="shared" ref="H5:M5" si="0">SUBTOTAL(9,H6:H11)</f>
        <v>0</v>
      </c>
      <c r="I5" s="93">
        <f t="shared" si="0"/>
        <v>187041.81818181818</v>
      </c>
      <c r="J5" s="93">
        <f t="shared" si="0"/>
        <v>561125.45454545459</v>
      </c>
      <c r="K5" s="93">
        <f t="shared" si="0"/>
        <v>0</v>
      </c>
      <c r="L5" s="93">
        <f t="shared" si="0"/>
        <v>187041.81818181818</v>
      </c>
      <c r="M5" s="93">
        <f t="shared" si="0"/>
        <v>0</v>
      </c>
      <c r="O5" s="94">
        <f t="shared" ref="O5:O30" si="1">SUM(H5:M5)-G5</f>
        <v>0</v>
      </c>
      <c r="T5" s="80"/>
      <c r="U5" s="80"/>
    </row>
    <row r="6" spans="1:21" ht="27" customHeight="1">
      <c r="A6" s="95"/>
      <c r="B6" s="96" t="s">
        <v>27</v>
      </c>
      <c r="C6" s="97" t="s">
        <v>31</v>
      </c>
      <c r="D6" s="98">
        <v>12</v>
      </c>
      <c r="E6" s="99" t="s">
        <v>22</v>
      </c>
      <c r="F6" s="12">
        <v>20925</v>
      </c>
      <c r="G6" s="5">
        <f ca="1">PRODUCT(F6,ԶՈՎՈՒՆԻ!$D6)</f>
        <v>251100</v>
      </c>
      <c r="H6" s="12"/>
      <c r="I6" s="12">
        <f t="shared" ref="I6:I11" si="2">+G6*0.2</f>
        <v>50220</v>
      </c>
      <c r="J6" s="12">
        <f t="shared" ref="J6:J11" si="3">+G6*0.6</f>
        <v>150660</v>
      </c>
      <c r="K6" s="12"/>
      <c r="L6" s="12">
        <f t="shared" ref="L6:L11" si="4">+G6*0.2</f>
        <v>50220</v>
      </c>
      <c r="M6" s="100"/>
      <c r="O6" s="94">
        <f t="shared" si="1"/>
        <v>0</v>
      </c>
      <c r="T6" s="80"/>
      <c r="U6" s="80"/>
    </row>
    <row r="7" spans="1:21" ht="27.75" customHeight="1">
      <c r="A7" s="95"/>
      <c r="B7" s="101" t="s">
        <v>28</v>
      </c>
      <c r="C7" s="97" t="s">
        <v>32</v>
      </c>
      <c r="D7" s="98">
        <v>12</v>
      </c>
      <c r="E7" s="99" t="s">
        <v>22</v>
      </c>
      <c r="F7" s="12">
        <v>4425</v>
      </c>
      <c r="G7" s="5">
        <f ca="1">PRODUCT(F7,ԶՈՎՈՒՆԻ!$D7)</f>
        <v>53100</v>
      </c>
      <c r="H7" s="12"/>
      <c r="I7" s="12">
        <f t="shared" si="2"/>
        <v>10620</v>
      </c>
      <c r="J7" s="12">
        <f t="shared" si="3"/>
        <v>31860</v>
      </c>
      <c r="K7" s="12"/>
      <c r="L7" s="12">
        <f t="shared" si="4"/>
        <v>10620</v>
      </c>
      <c r="M7" s="100"/>
      <c r="O7" s="94">
        <f t="shared" si="1"/>
        <v>0</v>
      </c>
      <c r="T7" s="80"/>
      <c r="U7" s="80"/>
    </row>
    <row r="8" spans="1:21" ht="27.75" customHeight="1">
      <c r="A8" s="95"/>
      <c r="B8" s="96" t="s">
        <v>9</v>
      </c>
      <c r="C8" s="97" t="s">
        <v>32</v>
      </c>
      <c r="D8" s="98">
        <v>6</v>
      </c>
      <c r="E8" s="99" t="s">
        <v>22</v>
      </c>
      <c r="F8" s="12">
        <v>8475</v>
      </c>
      <c r="G8" s="5">
        <f ca="1">PRODUCT(F8,ԶՈՎՈՒՆԻ!$D8)</f>
        <v>50850</v>
      </c>
      <c r="H8" s="12"/>
      <c r="I8" s="12">
        <f t="shared" si="2"/>
        <v>10170</v>
      </c>
      <c r="J8" s="12">
        <f t="shared" si="3"/>
        <v>30510</v>
      </c>
      <c r="K8" s="12"/>
      <c r="L8" s="12">
        <f t="shared" si="4"/>
        <v>10170</v>
      </c>
      <c r="M8" s="100"/>
      <c r="O8" s="94">
        <f t="shared" si="1"/>
        <v>0</v>
      </c>
      <c r="T8" s="80"/>
      <c r="U8" s="80"/>
    </row>
    <row r="9" spans="1:21" ht="31.5" customHeight="1">
      <c r="A9" s="95"/>
      <c r="B9" s="96" t="s">
        <v>29</v>
      </c>
      <c r="C9" s="97" t="s">
        <v>32</v>
      </c>
      <c r="D9" s="98">
        <v>62</v>
      </c>
      <c r="E9" s="99" t="s">
        <v>22</v>
      </c>
      <c r="F9" s="12">
        <v>2147.727272727273</v>
      </c>
      <c r="G9" s="5">
        <f ca="1">PRODUCT(F9,ԶՈՎՈՒՆԻ!$D9)</f>
        <v>133159.09090909091</v>
      </c>
      <c r="H9" s="12"/>
      <c r="I9" s="12">
        <f t="shared" si="2"/>
        <v>26631.818181818184</v>
      </c>
      <c r="J9" s="12">
        <f t="shared" si="3"/>
        <v>79895.454545454544</v>
      </c>
      <c r="K9" s="12"/>
      <c r="L9" s="12">
        <f t="shared" si="4"/>
        <v>26631.818181818184</v>
      </c>
      <c r="M9" s="100"/>
      <c r="O9" s="94">
        <f t="shared" si="1"/>
        <v>0</v>
      </c>
      <c r="T9" s="80"/>
      <c r="U9" s="80"/>
    </row>
    <row r="10" spans="1:21" ht="27.75" customHeight="1">
      <c r="A10" s="95"/>
      <c r="B10" s="96" t="s">
        <v>10</v>
      </c>
      <c r="C10" s="97"/>
      <c r="D10" s="98">
        <v>4</v>
      </c>
      <c r="E10" s="99" t="s">
        <v>22</v>
      </c>
      <c r="F10" s="12">
        <v>74250</v>
      </c>
      <c r="G10" s="5">
        <f ca="1">PRODUCT(F10,ԶՈՎՈՒՆԻ!$D10)</f>
        <v>297000</v>
      </c>
      <c r="H10" s="12"/>
      <c r="I10" s="12">
        <f t="shared" si="2"/>
        <v>59400</v>
      </c>
      <c r="J10" s="12">
        <f t="shared" si="3"/>
        <v>178200</v>
      </c>
      <c r="K10" s="12"/>
      <c r="L10" s="12">
        <f t="shared" si="4"/>
        <v>59400</v>
      </c>
      <c r="M10" s="100"/>
      <c r="O10" s="94">
        <f t="shared" si="1"/>
        <v>0</v>
      </c>
      <c r="T10" s="80"/>
      <c r="U10" s="80"/>
    </row>
    <row r="11" spans="1:21" ht="27.75" customHeight="1">
      <c r="A11" s="102"/>
      <c r="B11" s="96" t="s">
        <v>101</v>
      </c>
      <c r="C11" s="103"/>
      <c r="D11" s="104">
        <v>1</v>
      </c>
      <c r="E11" s="104" t="s">
        <v>22</v>
      </c>
      <c r="F11" s="46">
        <v>150000</v>
      </c>
      <c r="G11" s="5">
        <f ca="1">PRODUCT(F11,ԶՈՎՈՒՆԻ!$D11)</f>
        <v>150000</v>
      </c>
      <c r="H11" s="12"/>
      <c r="I11" s="12">
        <f t="shared" si="2"/>
        <v>30000</v>
      </c>
      <c r="J11" s="12">
        <f t="shared" si="3"/>
        <v>90000</v>
      </c>
      <c r="K11" s="12"/>
      <c r="L11" s="12">
        <f t="shared" si="4"/>
        <v>30000</v>
      </c>
      <c r="M11" s="100"/>
      <c r="O11" s="94">
        <f t="shared" si="1"/>
        <v>0</v>
      </c>
      <c r="T11" s="80"/>
      <c r="U11" s="80"/>
    </row>
    <row r="12" spans="1:21" ht="27" customHeight="1">
      <c r="A12" s="105" t="s">
        <v>12</v>
      </c>
      <c r="B12" s="106"/>
      <c r="C12" s="107"/>
      <c r="D12" s="106"/>
      <c r="E12" s="106"/>
      <c r="F12" s="108"/>
      <c r="G12" s="1">
        <f ca="1">SUBTOTAL(9,G13:G17)</f>
        <v>1461654.8387096776</v>
      </c>
      <c r="H12" s="1">
        <f t="shared" ref="H12:M12" si="5">SUBTOTAL(9,H13:H17)</f>
        <v>0</v>
      </c>
      <c r="I12" s="1">
        <f>SUBTOTAL(9,I13:I17)</f>
        <v>292330.96774193551</v>
      </c>
      <c r="J12" s="1">
        <f t="shared" si="5"/>
        <v>876992.90322580643</v>
      </c>
      <c r="K12" s="1">
        <f t="shared" si="5"/>
        <v>0</v>
      </c>
      <c r="L12" s="1">
        <f t="shared" si="5"/>
        <v>292330.96774193551</v>
      </c>
      <c r="M12" s="1">
        <f t="shared" si="5"/>
        <v>0</v>
      </c>
      <c r="O12" s="94">
        <f t="shared" si="1"/>
        <v>0</v>
      </c>
      <c r="T12" s="80"/>
      <c r="U12" s="80"/>
    </row>
    <row r="13" spans="1:21" ht="27.75" customHeight="1">
      <c r="A13" s="95"/>
      <c r="B13" s="96" t="s">
        <v>27</v>
      </c>
      <c r="C13" s="97" t="s">
        <v>31</v>
      </c>
      <c r="D13" s="98">
        <v>7</v>
      </c>
      <c r="E13" s="99" t="s">
        <v>22</v>
      </c>
      <c r="F13" s="12">
        <v>11200</v>
      </c>
      <c r="G13" s="5">
        <f ca="1">PRODUCT(F13,ԶՈՎՈՒՆԻ!$D13)</f>
        <v>78400</v>
      </c>
      <c r="H13" s="12"/>
      <c r="I13" s="12">
        <f>+G13*0.2</f>
        <v>15680</v>
      </c>
      <c r="J13" s="12">
        <f>+G13*0.6</f>
        <v>47040</v>
      </c>
      <c r="K13" s="12"/>
      <c r="L13" s="12">
        <f>+G13*0.2</f>
        <v>15680</v>
      </c>
      <c r="M13" s="100"/>
      <c r="O13" s="94">
        <f t="shared" si="1"/>
        <v>0</v>
      </c>
      <c r="T13" s="80"/>
      <c r="U13" s="80"/>
    </row>
    <row r="14" spans="1:21" ht="27" customHeight="1">
      <c r="A14" s="95"/>
      <c r="B14" s="96" t="s">
        <v>9</v>
      </c>
      <c r="C14" s="97" t="s">
        <v>32</v>
      </c>
      <c r="D14" s="98">
        <v>18</v>
      </c>
      <c r="E14" s="99" t="s">
        <v>22</v>
      </c>
      <c r="F14" s="12">
        <v>7550</v>
      </c>
      <c r="G14" s="5">
        <f ca="1">PRODUCT(F14,ԶՈՎՈՒՆԻ!$D14)</f>
        <v>135900</v>
      </c>
      <c r="H14" s="12"/>
      <c r="I14" s="12">
        <f>+G14*0.2</f>
        <v>27180</v>
      </c>
      <c r="J14" s="12">
        <f>+G14*0.6</f>
        <v>81540</v>
      </c>
      <c r="K14" s="12"/>
      <c r="L14" s="12">
        <f>+G14*0.2</f>
        <v>27180</v>
      </c>
      <c r="M14" s="100"/>
      <c r="O14" s="94">
        <f t="shared" si="1"/>
        <v>0</v>
      </c>
      <c r="T14" s="80"/>
      <c r="U14" s="80"/>
    </row>
    <row r="15" spans="1:21" ht="29.25" customHeight="1">
      <c r="A15" s="95"/>
      <c r="B15" s="96" t="s">
        <v>29</v>
      </c>
      <c r="C15" s="97" t="s">
        <v>32</v>
      </c>
      <c r="D15" s="98">
        <v>86</v>
      </c>
      <c r="E15" s="99" t="s">
        <v>22</v>
      </c>
      <c r="F15" s="12">
        <v>1306.4516129032259</v>
      </c>
      <c r="G15" s="5">
        <f ca="1">PRODUCT(F15,ԶՈՎՈՒՆԻ!$D15)</f>
        <v>112354.83870967742</v>
      </c>
      <c r="H15" s="12"/>
      <c r="I15" s="12">
        <f>+G15*0.2</f>
        <v>22470.967741935485</v>
      </c>
      <c r="J15" s="12">
        <f>+G15*0.6</f>
        <v>67412.903225806454</v>
      </c>
      <c r="K15" s="12"/>
      <c r="L15" s="12">
        <f>+G15*0.2</f>
        <v>22470.967741935485</v>
      </c>
      <c r="M15" s="100"/>
      <c r="O15" s="94">
        <f t="shared" si="1"/>
        <v>0</v>
      </c>
      <c r="T15" s="80"/>
      <c r="U15" s="80"/>
    </row>
    <row r="16" spans="1:21" ht="27" customHeight="1">
      <c r="A16" s="95"/>
      <c r="B16" s="96" t="s">
        <v>10</v>
      </c>
      <c r="C16" s="97"/>
      <c r="D16" s="98">
        <v>20</v>
      </c>
      <c r="E16" s="99" t="s">
        <v>22</v>
      </c>
      <c r="F16" s="12">
        <v>54250</v>
      </c>
      <c r="G16" s="5">
        <f ca="1">PRODUCT(F16,ԶՈՎՈՒՆԻ!$D16)</f>
        <v>1085000</v>
      </c>
      <c r="H16" s="12"/>
      <c r="I16" s="12">
        <f>+G16*0.2</f>
        <v>217000</v>
      </c>
      <c r="J16" s="12">
        <f>+G16*0.6</f>
        <v>651000</v>
      </c>
      <c r="K16" s="12"/>
      <c r="L16" s="12">
        <f>+G16*0.2</f>
        <v>217000</v>
      </c>
      <c r="M16" s="100"/>
      <c r="O16" s="94">
        <f t="shared" si="1"/>
        <v>0</v>
      </c>
      <c r="T16" s="80"/>
      <c r="U16" s="80"/>
    </row>
    <row r="17" spans="1:21" ht="27" customHeight="1">
      <c r="A17" s="102"/>
      <c r="B17" s="96" t="s">
        <v>102</v>
      </c>
      <c r="C17" s="103"/>
      <c r="D17" s="104">
        <v>1</v>
      </c>
      <c r="E17" s="104" t="s">
        <v>22</v>
      </c>
      <c r="F17" s="46">
        <v>50000</v>
      </c>
      <c r="G17" s="5">
        <f ca="1">PRODUCT(F17,ԶՈՎՈՒՆԻ!$D17)</f>
        <v>50000</v>
      </c>
      <c r="H17" s="12"/>
      <c r="I17" s="12">
        <f>+G17*0.2</f>
        <v>10000</v>
      </c>
      <c r="J17" s="12">
        <f>+G17*0.6</f>
        <v>30000</v>
      </c>
      <c r="K17" s="12"/>
      <c r="L17" s="12">
        <f>+G17*0.2</f>
        <v>10000</v>
      </c>
      <c r="M17" s="100"/>
      <c r="O17" s="94">
        <f t="shared" si="1"/>
        <v>0</v>
      </c>
      <c r="T17" s="80"/>
      <c r="U17" s="80"/>
    </row>
    <row r="18" spans="1:21" ht="27.75" customHeight="1">
      <c r="A18" s="105" t="s">
        <v>90</v>
      </c>
      <c r="B18" s="106"/>
      <c r="C18" s="107"/>
      <c r="D18" s="106"/>
      <c r="E18" s="106"/>
      <c r="F18" s="108"/>
      <c r="G18" s="1">
        <f ca="1">SUBTOTAL(9,G19:G20)</f>
        <v>336150</v>
      </c>
      <c r="H18" s="25">
        <f t="shared" ref="H18:M18" si="6">SUBTOTAL(9,H19:H20)</f>
        <v>0</v>
      </c>
      <c r="I18" s="1">
        <f t="shared" si="6"/>
        <v>67230</v>
      </c>
      <c r="J18" s="1">
        <f t="shared" si="6"/>
        <v>201690</v>
      </c>
      <c r="K18" s="1">
        <f t="shared" si="6"/>
        <v>0</v>
      </c>
      <c r="L18" s="1">
        <f t="shared" si="6"/>
        <v>67230</v>
      </c>
      <c r="M18" s="1">
        <f t="shared" si="6"/>
        <v>0</v>
      </c>
      <c r="O18" s="94">
        <f t="shared" si="1"/>
        <v>0</v>
      </c>
      <c r="T18" s="80"/>
      <c r="U18" s="80"/>
    </row>
    <row r="19" spans="1:21" ht="29.25" customHeight="1">
      <c r="A19" s="95"/>
      <c r="B19" s="96" t="s">
        <v>42</v>
      </c>
      <c r="C19" s="97" t="s">
        <v>45</v>
      </c>
      <c r="D19" s="98">
        <v>9</v>
      </c>
      <c r="E19" s="99" t="s">
        <v>22</v>
      </c>
      <c r="F19" s="12">
        <v>28350.000000000004</v>
      </c>
      <c r="G19" s="5">
        <f ca="1">PRODUCT(F19,ԶՈՎՈՒՆԻ!$D19)</f>
        <v>255150.00000000003</v>
      </c>
      <c r="H19" s="12"/>
      <c r="I19" s="12">
        <f t="shared" ref="I19:I28" si="7">+G19*0.2</f>
        <v>51030.000000000007</v>
      </c>
      <c r="J19" s="12">
        <f>+G19*0.6</f>
        <v>153090</v>
      </c>
      <c r="K19" s="12"/>
      <c r="L19" s="12">
        <f>+G19*0.2</f>
        <v>51030.000000000007</v>
      </c>
      <c r="M19" s="100"/>
      <c r="O19" s="94">
        <f t="shared" si="1"/>
        <v>0</v>
      </c>
      <c r="T19" s="80"/>
      <c r="U19" s="80"/>
    </row>
    <row r="20" spans="1:21" ht="29.25" customHeight="1">
      <c r="A20" s="95"/>
      <c r="B20" s="101" t="s">
        <v>41</v>
      </c>
      <c r="C20" s="97" t="s">
        <v>45</v>
      </c>
      <c r="D20" s="113">
        <v>2</v>
      </c>
      <c r="E20" s="114" t="s">
        <v>22</v>
      </c>
      <c r="F20" s="115">
        <v>40500</v>
      </c>
      <c r="G20" s="8">
        <f ca="1">PRODUCT(F20,ԶՈՎՈՒՆԻ!$D20)</f>
        <v>81000</v>
      </c>
      <c r="H20" s="115"/>
      <c r="I20" s="12">
        <f t="shared" si="7"/>
        <v>16200</v>
      </c>
      <c r="J20" s="12">
        <f>+G20*0.6</f>
        <v>48600</v>
      </c>
      <c r="K20" s="12"/>
      <c r="L20" s="12">
        <f>+G20*0.2</f>
        <v>16200</v>
      </c>
      <c r="M20" s="116"/>
      <c r="O20" s="94">
        <f t="shared" si="1"/>
        <v>0</v>
      </c>
      <c r="T20" s="80"/>
      <c r="U20" s="80"/>
    </row>
    <row r="21" spans="1:21" ht="30.75" customHeight="1">
      <c r="A21" s="121" t="s">
        <v>25</v>
      </c>
      <c r="B21" s="122"/>
      <c r="C21" s="123"/>
      <c r="D21" s="124"/>
      <c r="E21" s="124" t="s">
        <v>8</v>
      </c>
      <c r="F21" s="125">
        <v>168750</v>
      </c>
      <c r="G21" s="126">
        <f ca="1">PRODUCT(F21,ԶՈՎՈՒՆԻ!$D21)</f>
        <v>168750</v>
      </c>
      <c r="H21" s="127"/>
      <c r="I21" s="126">
        <f t="shared" si="7"/>
        <v>33750</v>
      </c>
      <c r="J21" s="126">
        <f>+G21*0.6</f>
        <v>101250</v>
      </c>
      <c r="K21" s="126"/>
      <c r="L21" s="126">
        <f>+G21*0.2</f>
        <v>33750</v>
      </c>
      <c r="M21" s="126"/>
      <c r="O21" s="94">
        <f t="shared" si="1"/>
        <v>0</v>
      </c>
      <c r="T21" s="80"/>
      <c r="U21" s="80"/>
    </row>
    <row r="22" spans="1:21" ht="27" customHeight="1">
      <c r="A22" s="128" t="s">
        <v>43</v>
      </c>
      <c r="B22" s="124"/>
      <c r="C22" s="129"/>
      <c r="D22" s="124"/>
      <c r="E22" s="124" t="s">
        <v>8</v>
      </c>
      <c r="F22" s="125">
        <v>243000.00000000003</v>
      </c>
      <c r="G22" s="126">
        <f ca="1">PRODUCT(F22,ԶՈՎՈՒՆԻ!$D22)</f>
        <v>243000.00000000003</v>
      </c>
      <c r="H22" s="127"/>
      <c r="I22" s="126">
        <f t="shared" si="7"/>
        <v>48600.000000000007</v>
      </c>
      <c r="J22" s="126">
        <f>+G22*0.6</f>
        <v>145800</v>
      </c>
      <c r="K22" s="126"/>
      <c r="L22" s="126">
        <f>+G22*0.2</f>
        <v>48600.000000000007</v>
      </c>
      <c r="M22" s="126"/>
      <c r="O22" s="94">
        <f t="shared" si="1"/>
        <v>0</v>
      </c>
      <c r="T22" s="80"/>
      <c r="U22" s="80"/>
    </row>
    <row r="23" spans="1:21" ht="30" customHeight="1">
      <c r="A23" s="105" t="s">
        <v>35</v>
      </c>
      <c r="B23" s="124"/>
      <c r="C23" s="129" t="s">
        <v>33</v>
      </c>
      <c r="D23" s="124">
        <v>30</v>
      </c>
      <c r="E23" s="124" t="s">
        <v>82</v>
      </c>
      <c r="F23" s="125">
        <v>10800</v>
      </c>
      <c r="G23" s="126">
        <f ca="1">PRODUCT(F23,ԶՈՎՈՒՆԻ!$D23)</f>
        <v>324000</v>
      </c>
      <c r="H23" s="127"/>
      <c r="I23" s="126">
        <f t="shared" si="7"/>
        <v>64800</v>
      </c>
      <c r="J23" s="126">
        <f>+G23*0.6</f>
        <v>194400</v>
      </c>
      <c r="K23" s="126"/>
      <c r="L23" s="126">
        <f>+G23*0.2</f>
        <v>64800</v>
      </c>
      <c r="M23" s="126"/>
      <c r="O23" s="94">
        <f t="shared" si="1"/>
        <v>0</v>
      </c>
      <c r="T23" s="80"/>
      <c r="U23" s="80"/>
    </row>
    <row r="24" spans="1:21" ht="32.25" customHeight="1">
      <c r="A24" s="105" t="s">
        <v>103</v>
      </c>
      <c r="B24" s="124"/>
      <c r="C24" s="129"/>
      <c r="D24" s="124"/>
      <c r="E24" s="124" t="s">
        <v>8</v>
      </c>
      <c r="F24" s="125">
        <v>4027000</v>
      </c>
      <c r="G24" s="126">
        <f ca="1">PRODUCT(F24,ԶՈՎՈՒՆԻ!$D24)</f>
        <v>4027000</v>
      </c>
      <c r="H24" s="130"/>
      <c r="I24" s="130">
        <f t="shared" si="7"/>
        <v>805400</v>
      </c>
      <c r="J24" s="130">
        <f>+G24*0.2</f>
        <v>805400</v>
      </c>
      <c r="K24" s="130">
        <f>+G24*0.3</f>
        <v>1208100</v>
      </c>
      <c r="L24" s="130">
        <f>+G24*0.3</f>
        <v>1208100</v>
      </c>
      <c r="M24" s="127"/>
      <c r="O24" s="94">
        <f t="shared" si="1"/>
        <v>0</v>
      </c>
      <c r="T24" s="80"/>
      <c r="U24" s="80"/>
    </row>
    <row r="25" spans="1:21" ht="30" customHeight="1">
      <c r="A25" s="105" t="s">
        <v>36</v>
      </c>
      <c r="B25" s="124"/>
      <c r="C25" s="129"/>
      <c r="D25" s="124"/>
      <c r="E25" s="124" t="s">
        <v>8</v>
      </c>
      <c r="F25" s="125">
        <v>10000</v>
      </c>
      <c r="G25" s="126">
        <f ca="1">PRODUCT(F25,ԶՈՎՈՒՆԻ!$D25)</f>
        <v>10000</v>
      </c>
      <c r="H25" s="130"/>
      <c r="I25" s="130">
        <f t="shared" si="7"/>
        <v>2000</v>
      </c>
      <c r="J25" s="130">
        <f>+G25*0.4</f>
        <v>4000</v>
      </c>
      <c r="K25" s="130">
        <f>+G25*0.4</f>
        <v>4000</v>
      </c>
      <c r="L25" s="130"/>
      <c r="M25" s="127"/>
      <c r="O25" s="94">
        <f t="shared" si="1"/>
        <v>0</v>
      </c>
      <c r="T25" s="80"/>
      <c r="U25" s="80"/>
    </row>
    <row r="26" spans="1:21" ht="28.5" customHeight="1">
      <c r="A26" s="105" t="s">
        <v>37</v>
      </c>
      <c r="B26" s="124"/>
      <c r="C26" s="129"/>
      <c r="D26" s="124"/>
      <c r="E26" s="124" t="s">
        <v>8</v>
      </c>
      <c r="F26" s="125">
        <v>100000</v>
      </c>
      <c r="G26" s="126">
        <f ca="1">PRODUCT(F26,ԶՈՎՈՒՆԻ!$D26)</f>
        <v>100000</v>
      </c>
      <c r="H26" s="130"/>
      <c r="I26" s="130">
        <f t="shared" si="7"/>
        <v>20000</v>
      </c>
      <c r="J26" s="130">
        <f>+G26*0.6</f>
        <v>60000</v>
      </c>
      <c r="K26" s="130"/>
      <c r="L26" s="130">
        <f>+G26*0.2</f>
        <v>20000</v>
      </c>
      <c r="M26" s="127"/>
      <c r="O26" s="94">
        <f t="shared" si="1"/>
        <v>0</v>
      </c>
      <c r="T26" s="80"/>
      <c r="U26" s="80"/>
    </row>
    <row r="27" spans="1:21" ht="27.75" customHeight="1">
      <c r="A27" s="105" t="s">
        <v>61</v>
      </c>
      <c r="B27" s="124"/>
      <c r="C27" s="129"/>
      <c r="D27" s="124"/>
      <c r="E27" s="124" t="s">
        <v>8</v>
      </c>
      <c r="F27" s="125">
        <v>50000</v>
      </c>
      <c r="G27" s="126">
        <f ca="1">PRODUCT(F27,ԶՈՎՈՒՆԻ!$D27)</f>
        <v>50000</v>
      </c>
      <c r="H27" s="130"/>
      <c r="I27" s="130">
        <f t="shared" si="7"/>
        <v>10000</v>
      </c>
      <c r="J27" s="130">
        <f>+G27*0.3</f>
        <v>15000</v>
      </c>
      <c r="K27" s="130">
        <f>+G27*0.3</f>
        <v>15000</v>
      </c>
      <c r="L27" s="130">
        <f>+G27*0.2</f>
        <v>10000</v>
      </c>
      <c r="M27" s="127"/>
      <c r="O27" s="94">
        <f t="shared" si="1"/>
        <v>0</v>
      </c>
      <c r="T27" s="80"/>
      <c r="U27" s="80"/>
    </row>
    <row r="28" spans="1:21" ht="33" customHeight="1">
      <c r="A28" s="105" t="s">
        <v>38</v>
      </c>
      <c r="B28" s="106"/>
      <c r="C28" s="131"/>
      <c r="D28" s="106"/>
      <c r="E28" s="106" t="s">
        <v>8</v>
      </c>
      <c r="F28" s="125">
        <v>32000</v>
      </c>
      <c r="G28" s="126">
        <f ca="1">PRODUCT(F28,ԶՈՎՈՒՆԻ!$D28)</f>
        <v>32000</v>
      </c>
      <c r="H28" s="130"/>
      <c r="I28" s="130">
        <f t="shared" si="7"/>
        <v>6400</v>
      </c>
      <c r="J28" s="130"/>
      <c r="K28" s="130"/>
      <c r="L28" s="130">
        <f>+G28*0.8</f>
        <v>25600</v>
      </c>
      <c r="M28" s="127"/>
      <c r="O28" s="94">
        <f t="shared" si="1"/>
        <v>0</v>
      </c>
      <c r="T28" s="80"/>
      <c r="U28" s="80"/>
    </row>
    <row r="29" spans="1:21" ht="33" customHeight="1" thickBot="1">
      <c r="A29" s="128" t="s">
        <v>52</v>
      </c>
      <c r="B29" s="124"/>
      <c r="C29" s="129"/>
      <c r="D29" s="133"/>
      <c r="E29" s="124" t="s">
        <v>8</v>
      </c>
      <c r="F29" s="125">
        <v>400000</v>
      </c>
      <c r="G29" s="9">
        <f ca="1">PRODUCT(F29,ԶՈՎՈՒՆԻ!$D29)</f>
        <v>400000</v>
      </c>
      <c r="H29" s="134">
        <f>+G29*0.3</f>
        <v>120000</v>
      </c>
      <c r="I29" s="134">
        <f>+G29*0.3</f>
        <v>120000</v>
      </c>
      <c r="J29" s="134">
        <f>+G29*0.2</f>
        <v>80000</v>
      </c>
      <c r="K29" s="134">
        <f>+G29*0.1</f>
        <v>40000</v>
      </c>
      <c r="L29" s="134">
        <f>+G29*0.1</f>
        <v>40000</v>
      </c>
      <c r="M29" s="135"/>
      <c r="O29" s="94">
        <f t="shared" si="1"/>
        <v>0</v>
      </c>
      <c r="T29" s="80"/>
      <c r="U29" s="80"/>
    </row>
    <row r="30" spans="1:21" s="82" customFormat="1" ht="36" customHeight="1" thickBot="1">
      <c r="A30" s="196" t="s">
        <v>62</v>
      </c>
      <c r="B30" s="197"/>
      <c r="C30" s="197"/>
      <c r="D30" s="197"/>
      <c r="E30" s="197"/>
      <c r="F30" s="197"/>
      <c r="G30" s="28">
        <f t="shared" ref="G30:M30" si="8">SUBTOTAL(9,G5:G29)</f>
        <v>8087763.9296187684</v>
      </c>
      <c r="H30" s="28">
        <f t="shared" si="8"/>
        <v>120000</v>
      </c>
      <c r="I30" s="28">
        <f t="shared" si="8"/>
        <v>1657552.7859237536</v>
      </c>
      <c r="J30" s="28">
        <f t="shared" si="8"/>
        <v>3045658.3577712611</v>
      </c>
      <c r="K30" s="28">
        <f t="shared" si="8"/>
        <v>1267100</v>
      </c>
      <c r="L30" s="28">
        <f t="shared" si="8"/>
        <v>1997452.7859237536</v>
      </c>
      <c r="M30" s="28">
        <f t="shared" si="8"/>
        <v>0</v>
      </c>
      <c r="O30" s="94">
        <f t="shared" si="1"/>
        <v>0</v>
      </c>
      <c r="S30" s="136"/>
      <c r="T30" s="136"/>
    </row>
    <row r="31" spans="1:21" ht="18" customHeight="1">
      <c r="G31" s="180"/>
    </row>
    <row r="32" spans="1:21" ht="18" customHeight="1">
      <c r="G32" s="180"/>
      <c r="H32" s="180"/>
    </row>
    <row r="33" spans="7:8" ht="18" customHeight="1">
      <c r="G33" s="180"/>
      <c r="H33" s="180"/>
    </row>
    <row r="34" spans="7:8" ht="18" customHeight="1">
      <c r="H34" s="180"/>
    </row>
    <row r="36" spans="7:8" ht="18" customHeight="1">
      <c r="G36" s="180"/>
    </row>
    <row r="39" spans="7:8" ht="18" customHeight="1">
      <c r="G39" s="180"/>
    </row>
    <row r="40" spans="7:8" ht="18" customHeight="1">
      <c r="G40" s="180"/>
    </row>
    <row r="41" spans="7:8" ht="18" customHeight="1">
      <c r="G41" s="180"/>
    </row>
  </sheetData>
  <mergeCells count="10">
    <mergeCell ref="G3:G4"/>
    <mergeCell ref="H3:M3"/>
    <mergeCell ref="A30:F30"/>
    <mergeCell ref="A2:M2"/>
    <mergeCell ref="A3:A4"/>
    <mergeCell ref="B3:B4"/>
    <mergeCell ref="C3:C4"/>
    <mergeCell ref="D3:D4"/>
    <mergeCell ref="E3:E4"/>
    <mergeCell ref="F3:F4"/>
  </mergeCells>
  <phoneticPr fontId="0" type="noConversion"/>
  <pageMargins left="0.23622047244094491" right="0.23622047244094491" top="0.47244094488188981" bottom="0" header="0.11811023622047245" footer="0"/>
  <pageSetup paperSize="9" scale="52" fitToWidth="2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U44"/>
  <sheetViews>
    <sheetView showGridLines="0" view="pageBreakPreview" zoomScale="60" zoomScaleNormal="70" zoomScalePageLayoutView="120" workbookViewId="0">
      <selection activeCell="C22" sqref="C22"/>
    </sheetView>
  </sheetViews>
  <sheetFormatPr defaultColWidth="10.875" defaultRowHeight="18" customHeight="1"/>
  <cols>
    <col min="1" max="1" width="20.625" style="80" customWidth="1"/>
    <col min="2" max="2" width="35.5" style="80" customWidth="1"/>
    <col min="3" max="3" width="24.625" style="81" customWidth="1"/>
    <col min="4" max="4" width="11" style="80" customWidth="1"/>
    <col min="5" max="5" width="18.375" style="80" customWidth="1"/>
    <col min="6" max="6" width="16.125" style="80" customWidth="1"/>
    <col min="7" max="7" width="17.125" style="80" customWidth="1"/>
    <col min="8" max="8" width="18.875" style="80" customWidth="1"/>
    <col min="9" max="9" width="19.875" style="80" customWidth="1"/>
    <col min="10" max="10" width="18.75" style="80" customWidth="1"/>
    <col min="11" max="11" width="17.5" style="80" customWidth="1"/>
    <col min="12" max="12" width="17.125" style="80" customWidth="1"/>
    <col min="13" max="13" width="17" style="80" customWidth="1"/>
    <col min="14" max="14" width="10.875" style="80"/>
    <col min="15" max="15" width="15.5" style="80" customWidth="1"/>
    <col min="16" max="19" width="10.875" style="80"/>
    <col min="20" max="21" width="10.875" style="137"/>
    <col min="22" max="16384" width="10.875" style="80"/>
  </cols>
  <sheetData>
    <row r="1" spans="1:21" s="82" customFormat="1" ht="29.25" customHeight="1">
      <c r="C1" s="169"/>
      <c r="M1" s="184" t="s">
        <v>96</v>
      </c>
      <c r="S1" s="136"/>
      <c r="T1" s="136"/>
    </row>
    <row r="2" spans="1:21" ht="38.25" customHeight="1">
      <c r="A2" s="212" t="s">
        <v>50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T2" s="80"/>
      <c r="U2" s="80"/>
    </row>
    <row r="3" spans="1:21" ht="18" customHeight="1" thickBot="1">
      <c r="T3" s="80"/>
      <c r="U3" s="80"/>
    </row>
    <row r="4" spans="1:21" s="82" customFormat="1" ht="29.25" customHeight="1">
      <c r="A4" s="199" t="s">
        <v>13</v>
      </c>
      <c r="B4" s="201" t="s">
        <v>65</v>
      </c>
      <c r="C4" s="203" t="s">
        <v>16</v>
      </c>
      <c r="D4" s="205" t="s">
        <v>14</v>
      </c>
      <c r="E4" s="207" t="s">
        <v>15</v>
      </c>
      <c r="F4" s="209" t="s">
        <v>63</v>
      </c>
      <c r="G4" s="192" t="s">
        <v>64</v>
      </c>
      <c r="H4" s="211" t="s">
        <v>60</v>
      </c>
      <c r="I4" s="194"/>
      <c r="J4" s="194"/>
      <c r="K4" s="194"/>
      <c r="L4" s="194"/>
      <c r="M4" s="195"/>
    </row>
    <row r="5" spans="1:21" s="88" customFormat="1" ht="29.25" customHeight="1" thickBot="1">
      <c r="A5" s="200"/>
      <c r="B5" s="202"/>
      <c r="C5" s="204"/>
      <c r="D5" s="206"/>
      <c r="E5" s="208"/>
      <c r="F5" s="210"/>
      <c r="G5" s="193"/>
      <c r="H5" s="83">
        <v>2018</v>
      </c>
      <c r="I5" s="84">
        <v>2019</v>
      </c>
      <c r="J5" s="84">
        <v>2020</v>
      </c>
      <c r="K5" s="85">
        <v>2021</v>
      </c>
      <c r="L5" s="86">
        <v>2022</v>
      </c>
      <c r="M5" s="87">
        <v>2023</v>
      </c>
    </row>
    <row r="6" spans="1:21" ht="29.25" customHeight="1">
      <c r="A6" s="89" t="s">
        <v>40</v>
      </c>
      <c r="B6" s="90"/>
      <c r="C6" s="91"/>
      <c r="D6" s="90"/>
      <c r="E6" s="90"/>
      <c r="F6" s="92"/>
      <c r="G6" s="93">
        <f>SUBTOTAL(9,G7:G14)</f>
        <v>1863975</v>
      </c>
      <c r="H6" s="93">
        <f t="shared" ref="H6:M6" si="0">SUBTOTAL(9,H7:H14)</f>
        <v>0</v>
      </c>
      <c r="I6" s="93">
        <f t="shared" si="0"/>
        <v>372795</v>
      </c>
      <c r="J6" s="93">
        <f t="shared" si="0"/>
        <v>1118385</v>
      </c>
      <c r="K6" s="93">
        <f t="shared" si="0"/>
        <v>0</v>
      </c>
      <c r="L6" s="93">
        <f t="shared" si="0"/>
        <v>372795</v>
      </c>
      <c r="M6" s="93">
        <f t="shared" si="0"/>
        <v>0</v>
      </c>
      <c r="O6" s="94">
        <f t="shared" ref="O6:O39" si="1">SUM(H6:M6)-G6</f>
        <v>0</v>
      </c>
      <c r="T6" s="80"/>
      <c r="U6" s="80"/>
    </row>
    <row r="7" spans="1:21" ht="21.75" customHeight="1">
      <c r="A7" s="95"/>
      <c r="B7" s="96" t="s">
        <v>26</v>
      </c>
      <c r="C7" s="97" t="s">
        <v>31</v>
      </c>
      <c r="D7" s="98">
        <v>2</v>
      </c>
      <c r="E7" s="99" t="s">
        <v>22</v>
      </c>
      <c r="F7" s="12">
        <v>66000</v>
      </c>
      <c r="G7" s="5">
        <f ca="1">PRODUCT(F7,'ԱՐԱՐԱՏ-2'!$D7)</f>
        <v>132000</v>
      </c>
      <c r="H7" s="12"/>
      <c r="I7" s="12">
        <f>+G7*0.2</f>
        <v>26400</v>
      </c>
      <c r="J7" s="12">
        <f>+G7*0.6</f>
        <v>79200</v>
      </c>
      <c r="K7" s="12"/>
      <c r="L7" s="12">
        <f>+G7*0.2</f>
        <v>26400</v>
      </c>
      <c r="M7" s="100"/>
      <c r="O7" s="94">
        <f t="shared" si="1"/>
        <v>0</v>
      </c>
      <c r="T7" s="80"/>
      <c r="U7" s="80"/>
    </row>
    <row r="8" spans="1:21" ht="27" customHeight="1">
      <c r="A8" s="95"/>
      <c r="B8" s="96" t="s">
        <v>27</v>
      </c>
      <c r="C8" s="97" t="s">
        <v>31</v>
      </c>
      <c r="D8" s="98">
        <v>26</v>
      </c>
      <c r="E8" s="99" t="s">
        <v>22</v>
      </c>
      <c r="F8" s="12">
        <v>20925</v>
      </c>
      <c r="G8" s="5">
        <f ca="1">PRODUCT(F8,'ԱՐԱՐԱՏ-2'!$D8)</f>
        <v>544050</v>
      </c>
      <c r="H8" s="12"/>
      <c r="I8" s="12">
        <f t="shared" ref="I8:I13" si="2">+G8*0.2</f>
        <v>108810</v>
      </c>
      <c r="J8" s="12">
        <f t="shared" ref="J8:J13" si="3">+G8*0.6</f>
        <v>326430</v>
      </c>
      <c r="K8" s="12"/>
      <c r="L8" s="12">
        <f t="shared" ref="L8:L13" si="4">+G8*0.2</f>
        <v>108810</v>
      </c>
      <c r="M8" s="100"/>
      <c r="O8" s="94">
        <f t="shared" si="1"/>
        <v>0</v>
      </c>
      <c r="T8" s="80"/>
      <c r="U8" s="80"/>
    </row>
    <row r="9" spans="1:21" ht="21.75" customHeight="1">
      <c r="A9" s="95"/>
      <c r="B9" s="101" t="s">
        <v>28</v>
      </c>
      <c r="C9" s="97" t="s">
        <v>32</v>
      </c>
      <c r="D9" s="98">
        <v>12</v>
      </c>
      <c r="E9" s="99" t="s">
        <v>22</v>
      </c>
      <c r="F9" s="12">
        <v>4425</v>
      </c>
      <c r="G9" s="5">
        <f ca="1">PRODUCT(F9,'ԱՐԱՐԱՏ-2'!$D9)</f>
        <v>53100</v>
      </c>
      <c r="H9" s="12"/>
      <c r="I9" s="12">
        <f t="shared" si="2"/>
        <v>10620</v>
      </c>
      <c r="J9" s="12">
        <f t="shared" si="3"/>
        <v>31860</v>
      </c>
      <c r="K9" s="12"/>
      <c r="L9" s="12">
        <f t="shared" si="4"/>
        <v>10620</v>
      </c>
      <c r="M9" s="100"/>
      <c r="O9" s="94">
        <f t="shared" si="1"/>
        <v>0</v>
      </c>
      <c r="T9" s="80"/>
      <c r="U9" s="80"/>
    </row>
    <row r="10" spans="1:21" ht="24.75" customHeight="1">
      <c r="A10" s="95"/>
      <c r="B10" s="96" t="s">
        <v>9</v>
      </c>
      <c r="C10" s="97" t="s">
        <v>32</v>
      </c>
      <c r="D10" s="98">
        <v>19</v>
      </c>
      <c r="E10" s="99" t="s">
        <v>22</v>
      </c>
      <c r="F10" s="12">
        <v>8475</v>
      </c>
      <c r="G10" s="5">
        <f ca="1">PRODUCT(F10,'ԱՐԱՐԱՏ-2'!$D10)</f>
        <v>161025</v>
      </c>
      <c r="H10" s="12"/>
      <c r="I10" s="12">
        <f t="shared" si="2"/>
        <v>32205</v>
      </c>
      <c r="J10" s="12">
        <f t="shared" si="3"/>
        <v>96615</v>
      </c>
      <c r="K10" s="12"/>
      <c r="L10" s="12">
        <f t="shared" si="4"/>
        <v>32205</v>
      </c>
      <c r="M10" s="100"/>
      <c r="O10" s="94">
        <f t="shared" si="1"/>
        <v>0</v>
      </c>
      <c r="T10" s="80"/>
      <c r="U10" s="80"/>
    </row>
    <row r="11" spans="1:21" ht="29.25" customHeight="1">
      <c r="A11" s="95"/>
      <c r="B11" s="96" t="s">
        <v>19</v>
      </c>
      <c r="C11" s="97" t="s">
        <v>32</v>
      </c>
      <c r="D11" s="98">
        <v>6</v>
      </c>
      <c r="E11" s="99" t="s">
        <v>22</v>
      </c>
      <c r="F11" s="12">
        <v>10175</v>
      </c>
      <c r="G11" s="5">
        <f ca="1">PRODUCT(F11,'ԱՐԱՐԱՏ-2'!$D11)</f>
        <v>61050</v>
      </c>
      <c r="H11" s="12"/>
      <c r="I11" s="12">
        <f t="shared" si="2"/>
        <v>12210</v>
      </c>
      <c r="J11" s="12">
        <f t="shared" si="3"/>
        <v>36630</v>
      </c>
      <c r="K11" s="12"/>
      <c r="L11" s="12">
        <f t="shared" si="4"/>
        <v>12210</v>
      </c>
      <c r="M11" s="100"/>
      <c r="O11" s="94">
        <f t="shared" si="1"/>
        <v>0</v>
      </c>
      <c r="T11" s="80"/>
      <c r="U11" s="80"/>
    </row>
    <row r="12" spans="1:21" ht="22.5" customHeight="1">
      <c r="A12" s="95"/>
      <c r="B12" s="96" t="s">
        <v>29</v>
      </c>
      <c r="C12" s="97" t="s">
        <v>32</v>
      </c>
      <c r="D12" s="98">
        <v>44</v>
      </c>
      <c r="E12" s="99" t="s">
        <v>22</v>
      </c>
      <c r="F12" s="12">
        <v>2147.727272727273</v>
      </c>
      <c r="G12" s="5">
        <f ca="1">PRODUCT(F12,'ԱՐԱՐԱՏ-2'!$D12)</f>
        <v>94500.000000000015</v>
      </c>
      <c r="H12" s="12"/>
      <c r="I12" s="12">
        <f t="shared" si="2"/>
        <v>18900.000000000004</v>
      </c>
      <c r="J12" s="12">
        <f t="shared" si="3"/>
        <v>56700.000000000007</v>
      </c>
      <c r="K12" s="12"/>
      <c r="L12" s="12">
        <f t="shared" si="4"/>
        <v>18900.000000000004</v>
      </c>
      <c r="M12" s="100"/>
      <c r="O12" s="94">
        <f t="shared" si="1"/>
        <v>0</v>
      </c>
      <c r="T12" s="80"/>
      <c r="U12" s="80"/>
    </row>
    <row r="13" spans="1:21" ht="25.5" customHeight="1">
      <c r="A13" s="95"/>
      <c r="B13" s="96" t="s">
        <v>10</v>
      </c>
      <c r="C13" s="97"/>
      <c r="D13" s="98">
        <v>9</v>
      </c>
      <c r="E13" s="99" t="s">
        <v>22</v>
      </c>
      <c r="F13" s="12">
        <v>74250</v>
      </c>
      <c r="G13" s="5">
        <f ca="1">PRODUCT(F13,'ԱՐԱՐԱՏ-2'!$D13)</f>
        <v>668250</v>
      </c>
      <c r="H13" s="12"/>
      <c r="I13" s="12">
        <f t="shared" si="2"/>
        <v>133650</v>
      </c>
      <c r="J13" s="12">
        <f t="shared" si="3"/>
        <v>400950</v>
      </c>
      <c r="K13" s="12"/>
      <c r="L13" s="12">
        <f t="shared" si="4"/>
        <v>133650</v>
      </c>
      <c r="M13" s="100"/>
      <c r="O13" s="94">
        <f t="shared" si="1"/>
        <v>0</v>
      </c>
      <c r="T13" s="80"/>
      <c r="U13" s="80"/>
    </row>
    <row r="14" spans="1:21" ht="25.5" customHeight="1">
      <c r="A14" s="102"/>
      <c r="B14" s="96" t="s">
        <v>85</v>
      </c>
      <c r="C14" s="103"/>
      <c r="D14" s="104">
        <v>1</v>
      </c>
      <c r="E14" s="104" t="s">
        <v>22</v>
      </c>
      <c r="F14" s="46">
        <v>150000</v>
      </c>
      <c r="G14" s="5">
        <f ca="1">PRODUCT(F14,'ԱՐԱՐԱՏ-2'!$D14)</f>
        <v>150000</v>
      </c>
      <c r="H14" s="12"/>
      <c r="I14" s="12">
        <f>+G14*0.2</f>
        <v>30000</v>
      </c>
      <c r="J14" s="12">
        <f>+G14*0.6</f>
        <v>90000</v>
      </c>
      <c r="K14" s="12"/>
      <c r="L14" s="12">
        <f>+G14*0.2</f>
        <v>30000</v>
      </c>
      <c r="M14" s="100"/>
      <c r="O14" s="94">
        <f t="shared" si="1"/>
        <v>0</v>
      </c>
      <c r="T14" s="80"/>
      <c r="U14" s="80"/>
    </row>
    <row r="15" spans="1:21" ht="27.75" customHeight="1">
      <c r="A15" s="105" t="s">
        <v>11</v>
      </c>
      <c r="B15" s="106"/>
      <c r="C15" s="107"/>
      <c r="D15" s="106"/>
      <c r="E15" s="106"/>
      <c r="F15" s="108"/>
      <c r="G15" s="1">
        <f ca="1">SUBTOTAL(9,G16:G17)</f>
        <v>3929000</v>
      </c>
      <c r="H15" s="25">
        <f t="shared" ref="H15:M15" si="5">SUBTOTAL(9,H16:H17)</f>
        <v>785800</v>
      </c>
      <c r="I15" s="1">
        <f t="shared" si="5"/>
        <v>3143200</v>
      </c>
      <c r="J15" s="1">
        <f t="shared" si="5"/>
        <v>0</v>
      </c>
      <c r="K15" s="1">
        <f t="shared" si="5"/>
        <v>0</v>
      </c>
      <c r="L15" s="1">
        <f t="shared" si="5"/>
        <v>0</v>
      </c>
      <c r="M15" s="1">
        <f t="shared" si="5"/>
        <v>0</v>
      </c>
      <c r="O15" s="94">
        <f t="shared" si="1"/>
        <v>0</v>
      </c>
      <c r="T15" s="80"/>
      <c r="U15" s="80"/>
    </row>
    <row r="16" spans="1:21" ht="40.5" customHeight="1">
      <c r="A16" s="95"/>
      <c r="B16" s="109" t="s">
        <v>23</v>
      </c>
      <c r="C16" s="110" t="s">
        <v>91</v>
      </c>
      <c r="D16" s="98">
        <v>2</v>
      </c>
      <c r="E16" s="99" t="s">
        <v>22</v>
      </c>
      <c r="F16" s="12">
        <v>1492000</v>
      </c>
      <c r="G16" s="5">
        <f ca="1">PRODUCT(F16,'ԱՐԱՐԱՏ-2'!$D16)</f>
        <v>2984000</v>
      </c>
      <c r="H16" s="12">
        <f>+G16*0.2</f>
        <v>596800</v>
      </c>
      <c r="I16" s="12">
        <f>+G16*0.8</f>
        <v>2387200</v>
      </c>
      <c r="J16" s="12"/>
      <c r="K16" s="12"/>
      <c r="L16" s="12"/>
      <c r="M16" s="100"/>
      <c r="O16" s="94">
        <f t="shared" si="1"/>
        <v>0</v>
      </c>
      <c r="T16" s="80"/>
      <c r="U16" s="80"/>
    </row>
    <row r="17" spans="1:21" ht="38.25" customHeight="1">
      <c r="A17" s="95"/>
      <c r="B17" s="111" t="s">
        <v>24</v>
      </c>
      <c r="C17" s="112" t="s">
        <v>92</v>
      </c>
      <c r="D17" s="113">
        <v>2</v>
      </c>
      <c r="E17" s="114" t="s">
        <v>22</v>
      </c>
      <c r="F17" s="115">
        <v>472500.00000000006</v>
      </c>
      <c r="G17" s="8">
        <f ca="1">PRODUCT(F17,'ԱՐԱՐԱՏ-2'!$D17)</f>
        <v>945000.00000000012</v>
      </c>
      <c r="H17" s="12">
        <f>+G17*0.2</f>
        <v>189000.00000000003</v>
      </c>
      <c r="I17" s="12">
        <f>+G17*0.8</f>
        <v>756000.00000000012</v>
      </c>
      <c r="J17" s="12"/>
      <c r="K17" s="115"/>
      <c r="L17" s="12"/>
      <c r="M17" s="116"/>
      <c r="O17" s="94">
        <f t="shared" si="1"/>
        <v>0</v>
      </c>
      <c r="T17" s="80"/>
      <c r="U17" s="80"/>
    </row>
    <row r="18" spans="1:21" ht="28.5" customHeight="1">
      <c r="A18" s="105" t="s">
        <v>12</v>
      </c>
      <c r="B18" s="106"/>
      <c r="C18" s="107"/>
      <c r="D18" s="106"/>
      <c r="E18" s="106"/>
      <c r="F18" s="108"/>
      <c r="G18" s="1">
        <f ca="1">SUBTOTAL(9,G19:G26)</f>
        <v>2103629.3548387093</v>
      </c>
      <c r="H18" s="1">
        <f t="shared" ref="H18:M18" si="6">SUBTOTAL(9,H19:H26)</f>
        <v>0</v>
      </c>
      <c r="I18" s="1">
        <f t="shared" si="6"/>
        <v>420725.87096774194</v>
      </c>
      <c r="J18" s="1">
        <f t="shared" si="6"/>
        <v>1262177.6129032257</v>
      </c>
      <c r="K18" s="1">
        <f t="shared" si="6"/>
        <v>0</v>
      </c>
      <c r="L18" s="1">
        <f t="shared" si="6"/>
        <v>420725.87096774194</v>
      </c>
      <c r="M18" s="1">
        <f t="shared" si="6"/>
        <v>0</v>
      </c>
      <c r="O18" s="94">
        <f t="shared" si="1"/>
        <v>0</v>
      </c>
      <c r="T18" s="80"/>
      <c r="U18" s="80"/>
    </row>
    <row r="19" spans="1:21" ht="23.25" customHeight="1">
      <c r="A19" s="95"/>
      <c r="B19" s="96" t="s">
        <v>26</v>
      </c>
      <c r="C19" s="97" t="s">
        <v>31</v>
      </c>
      <c r="D19" s="98">
        <v>4</v>
      </c>
      <c r="E19" s="99" t="s">
        <v>22</v>
      </c>
      <c r="F19" s="12">
        <v>40900</v>
      </c>
      <c r="G19" s="5">
        <f ca="1">PRODUCT(F19,'ԱՐԱՐԱՏ-2'!$D19)</f>
        <v>163600</v>
      </c>
      <c r="H19" s="12"/>
      <c r="I19" s="12">
        <f t="shared" ref="I19:I25" si="7">+G19*0.2</f>
        <v>32720</v>
      </c>
      <c r="J19" s="12">
        <f t="shared" ref="J19:J25" si="8">+G19*0.6</f>
        <v>98160</v>
      </c>
      <c r="K19" s="115"/>
      <c r="L19" s="12">
        <f t="shared" ref="L19:L25" si="9">+G19*0.2</f>
        <v>32720</v>
      </c>
      <c r="M19" s="100"/>
      <c r="O19" s="94">
        <f t="shared" si="1"/>
        <v>0</v>
      </c>
      <c r="T19" s="80"/>
      <c r="U19" s="80"/>
    </row>
    <row r="20" spans="1:21" ht="25.5" customHeight="1">
      <c r="A20" s="95"/>
      <c r="B20" s="96" t="s">
        <v>27</v>
      </c>
      <c r="C20" s="97" t="s">
        <v>31</v>
      </c>
      <c r="D20" s="98">
        <v>64</v>
      </c>
      <c r="E20" s="99" t="s">
        <v>22</v>
      </c>
      <c r="F20" s="12">
        <v>11200</v>
      </c>
      <c r="G20" s="5">
        <f ca="1">PRODUCT(F20,'ԱՐԱՐԱՏ-2'!$D20)</f>
        <v>716800</v>
      </c>
      <c r="H20" s="12"/>
      <c r="I20" s="12">
        <f t="shared" si="7"/>
        <v>143360</v>
      </c>
      <c r="J20" s="12">
        <f t="shared" si="8"/>
        <v>430080</v>
      </c>
      <c r="K20" s="115"/>
      <c r="L20" s="12">
        <f t="shared" si="9"/>
        <v>143360</v>
      </c>
      <c r="M20" s="100"/>
      <c r="O20" s="94">
        <f t="shared" si="1"/>
        <v>0</v>
      </c>
      <c r="T20" s="80"/>
      <c r="U20" s="80"/>
    </row>
    <row r="21" spans="1:21" ht="24.75" customHeight="1">
      <c r="A21" s="95"/>
      <c r="B21" s="101" t="s">
        <v>28</v>
      </c>
      <c r="C21" s="97" t="s">
        <v>32</v>
      </c>
      <c r="D21" s="98">
        <v>12</v>
      </c>
      <c r="E21" s="99" t="s">
        <v>22</v>
      </c>
      <c r="F21" s="12">
        <v>3780.0000000000005</v>
      </c>
      <c r="G21" s="5">
        <f ca="1">PRODUCT(F21,'ԱՐԱՐԱՏ-2'!$D21)</f>
        <v>45360.000000000007</v>
      </c>
      <c r="H21" s="12"/>
      <c r="I21" s="12">
        <f t="shared" si="7"/>
        <v>9072.0000000000018</v>
      </c>
      <c r="J21" s="12">
        <f t="shared" si="8"/>
        <v>27216.000000000004</v>
      </c>
      <c r="K21" s="115"/>
      <c r="L21" s="12">
        <f t="shared" si="9"/>
        <v>9072.0000000000018</v>
      </c>
      <c r="M21" s="100"/>
      <c r="O21" s="94">
        <f t="shared" si="1"/>
        <v>0</v>
      </c>
      <c r="T21" s="80"/>
      <c r="U21" s="80"/>
    </row>
    <row r="22" spans="1:21" ht="24.75" customHeight="1">
      <c r="A22" s="95"/>
      <c r="B22" s="96" t="s">
        <v>9</v>
      </c>
      <c r="C22" s="97" t="s">
        <v>32</v>
      </c>
      <c r="D22" s="98">
        <v>13</v>
      </c>
      <c r="E22" s="99" t="s">
        <v>22</v>
      </c>
      <c r="F22" s="12">
        <v>7550</v>
      </c>
      <c r="G22" s="5">
        <f ca="1">PRODUCT(F22,'ԱՐԱՐԱՏ-2'!$D22)</f>
        <v>98150</v>
      </c>
      <c r="H22" s="12"/>
      <c r="I22" s="12">
        <f t="shared" si="7"/>
        <v>19630</v>
      </c>
      <c r="J22" s="12">
        <f t="shared" si="8"/>
        <v>58890</v>
      </c>
      <c r="K22" s="115"/>
      <c r="L22" s="12">
        <f t="shared" si="9"/>
        <v>19630</v>
      </c>
      <c r="M22" s="100"/>
      <c r="O22" s="94">
        <f t="shared" si="1"/>
        <v>0</v>
      </c>
      <c r="T22" s="80"/>
      <c r="U22" s="80"/>
    </row>
    <row r="23" spans="1:21" ht="24" customHeight="1">
      <c r="A23" s="95"/>
      <c r="B23" s="96" t="s">
        <v>19</v>
      </c>
      <c r="C23" s="97" t="s">
        <v>32</v>
      </c>
      <c r="D23" s="98">
        <v>12</v>
      </c>
      <c r="E23" s="99" t="s">
        <v>22</v>
      </c>
      <c r="F23" s="12">
        <v>8775</v>
      </c>
      <c r="G23" s="5">
        <f ca="1">PRODUCT(F23,'ԱՐԱՐԱՏ-2'!$D23)</f>
        <v>105300</v>
      </c>
      <c r="H23" s="12"/>
      <c r="I23" s="12">
        <f t="shared" si="7"/>
        <v>21060</v>
      </c>
      <c r="J23" s="12">
        <f t="shared" si="8"/>
        <v>63180</v>
      </c>
      <c r="K23" s="115"/>
      <c r="L23" s="12">
        <f t="shared" si="9"/>
        <v>21060</v>
      </c>
      <c r="M23" s="100"/>
      <c r="O23" s="94">
        <f t="shared" si="1"/>
        <v>0</v>
      </c>
      <c r="T23" s="80"/>
      <c r="U23" s="80"/>
    </row>
    <row r="24" spans="1:21" ht="23.25" customHeight="1">
      <c r="A24" s="95"/>
      <c r="B24" s="96" t="s">
        <v>29</v>
      </c>
      <c r="C24" s="97" t="s">
        <v>32</v>
      </c>
      <c r="D24" s="98">
        <v>65</v>
      </c>
      <c r="E24" s="99" t="s">
        <v>22</v>
      </c>
      <c r="F24" s="12">
        <v>1306.4516129032259</v>
      </c>
      <c r="G24" s="5">
        <f ca="1">PRODUCT(F24,'ԱՐԱՐԱՏ-2'!$D24)</f>
        <v>84919.354838709682</v>
      </c>
      <c r="H24" s="12"/>
      <c r="I24" s="12">
        <f t="shared" si="7"/>
        <v>16983.870967741936</v>
      </c>
      <c r="J24" s="12">
        <f t="shared" si="8"/>
        <v>50951.61290322581</v>
      </c>
      <c r="K24" s="115"/>
      <c r="L24" s="12">
        <f t="shared" si="9"/>
        <v>16983.870967741936</v>
      </c>
      <c r="M24" s="100"/>
      <c r="O24" s="94">
        <f t="shared" si="1"/>
        <v>0</v>
      </c>
      <c r="T24" s="80"/>
      <c r="U24" s="80"/>
    </row>
    <row r="25" spans="1:21" ht="23.25" customHeight="1">
      <c r="A25" s="95"/>
      <c r="B25" s="96" t="s">
        <v>10</v>
      </c>
      <c r="C25" s="97"/>
      <c r="D25" s="98">
        <v>14</v>
      </c>
      <c r="E25" s="99" t="s">
        <v>22</v>
      </c>
      <c r="F25" s="12">
        <v>54250</v>
      </c>
      <c r="G25" s="5">
        <f ca="1">PRODUCT(F25,'ԱՐԱՐԱՏ-2'!$D25)</f>
        <v>759500</v>
      </c>
      <c r="H25" s="12"/>
      <c r="I25" s="12">
        <f t="shared" si="7"/>
        <v>151900</v>
      </c>
      <c r="J25" s="12">
        <f t="shared" si="8"/>
        <v>455700</v>
      </c>
      <c r="K25" s="115"/>
      <c r="L25" s="12">
        <f t="shared" si="9"/>
        <v>151900</v>
      </c>
      <c r="M25" s="100"/>
      <c r="O25" s="94">
        <f t="shared" si="1"/>
        <v>0</v>
      </c>
      <c r="T25" s="80"/>
      <c r="U25" s="80"/>
    </row>
    <row r="26" spans="1:21" ht="29.25" customHeight="1">
      <c r="A26" s="117"/>
      <c r="B26" s="96" t="s">
        <v>85</v>
      </c>
      <c r="C26" s="118"/>
      <c r="D26" s="119">
        <v>1</v>
      </c>
      <c r="E26" s="119" t="s">
        <v>22</v>
      </c>
      <c r="F26" s="120">
        <v>130000</v>
      </c>
      <c r="G26" s="5">
        <f ca="1">PRODUCT(F26,'ԱՐԱՐԱՏ-2'!$D26)</f>
        <v>130000</v>
      </c>
      <c r="H26" s="12"/>
      <c r="I26" s="12">
        <f>+G26*0.2</f>
        <v>26000</v>
      </c>
      <c r="J26" s="12">
        <f>+G26*0.6</f>
        <v>78000</v>
      </c>
      <c r="K26" s="115"/>
      <c r="L26" s="12">
        <f>+G26*0.2</f>
        <v>26000</v>
      </c>
      <c r="M26" s="100"/>
      <c r="O26" s="94">
        <f t="shared" si="1"/>
        <v>0</v>
      </c>
      <c r="T26" s="80"/>
      <c r="U26" s="80"/>
    </row>
    <row r="27" spans="1:21" ht="24" customHeight="1">
      <c r="A27" s="105" t="s">
        <v>90</v>
      </c>
      <c r="B27" s="106"/>
      <c r="C27" s="107"/>
      <c r="D27" s="106"/>
      <c r="E27" s="106"/>
      <c r="F27" s="108"/>
      <c r="G27" s="1">
        <f ca="1">SUBTOTAL(9,G28:G29)</f>
        <v>591300</v>
      </c>
      <c r="H27" s="25">
        <f t="shared" ref="H27:M27" si="10">SUBTOTAL(9,H28:H29)</f>
        <v>0</v>
      </c>
      <c r="I27" s="1">
        <f t="shared" si="10"/>
        <v>118260.00000000001</v>
      </c>
      <c r="J27" s="1">
        <f t="shared" si="10"/>
        <v>354780</v>
      </c>
      <c r="K27" s="1">
        <f t="shared" si="10"/>
        <v>0</v>
      </c>
      <c r="L27" s="1">
        <f t="shared" si="10"/>
        <v>118260.00000000001</v>
      </c>
      <c r="M27" s="1">
        <f t="shared" si="10"/>
        <v>0</v>
      </c>
      <c r="O27" s="94">
        <f t="shared" si="1"/>
        <v>0</v>
      </c>
      <c r="T27" s="80"/>
      <c r="U27" s="80"/>
    </row>
    <row r="28" spans="1:21" ht="23.25" customHeight="1">
      <c r="A28" s="95"/>
      <c r="B28" s="96" t="s">
        <v>42</v>
      </c>
      <c r="C28" s="97" t="s">
        <v>44</v>
      </c>
      <c r="D28" s="98">
        <v>18</v>
      </c>
      <c r="E28" s="99" t="s">
        <v>22</v>
      </c>
      <c r="F28" s="12">
        <v>28350.000000000004</v>
      </c>
      <c r="G28" s="5">
        <f ca="1">PRODUCT(F28,'ԱՐԱՐԱՏ-2'!$D28)</f>
        <v>510300.00000000006</v>
      </c>
      <c r="H28" s="12"/>
      <c r="I28" s="12">
        <f>+G28*0.2</f>
        <v>102060.00000000001</v>
      </c>
      <c r="J28" s="12">
        <f>+G28*0.6</f>
        <v>306180</v>
      </c>
      <c r="K28" s="115"/>
      <c r="L28" s="12">
        <f>+G28*0.2</f>
        <v>102060.00000000001</v>
      </c>
      <c r="M28" s="100"/>
      <c r="O28" s="94">
        <f t="shared" si="1"/>
        <v>0</v>
      </c>
      <c r="T28" s="80"/>
      <c r="U28" s="80"/>
    </row>
    <row r="29" spans="1:21" ht="25.5" customHeight="1">
      <c r="A29" s="95"/>
      <c r="B29" s="101" t="s">
        <v>41</v>
      </c>
      <c r="C29" s="97" t="s">
        <v>44</v>
      </c>
      <c r="D29" s="113">
        <v>2</v>
      </c>
      <c r="E29" s="114" t="s">
        <v>22</v>
      </c>
      <c r="F29" s="115">
        <v>40500</v>
      </c>
      <c r="G29" s="8">
        <f ca="1">PRODUCT(F29,'ԱՐԱՐԱՏ-2'!$D29)</f>
        <v>81000</v>
      </c>
      <c r="H29" s="115"/>
      <c r="I29" s="12">
        <f>+G29*0.2</f>
        <v>16200</v>
      </c>
      <c r="J29" s="12">
        <f>+G29*0.6</f>
        <v>48600</v>
      </c>
      <c r="K29" s="115"/>
      <c r="L29" s="12">
        <f>+G29*0.2</f>
        <v>16200</v>
      </c>
      <c r="M29" s="116"/>
      <c r="O29" s="94">
        <f t="shared" si="1"/>
        <v>0</v>
      </c>
      <c r="T29" s="80"/>
      <c r="U29" s="80"/>
    </row>
    <row r="30" spans="1:21" ht="24.75" customHeight="1">
      <c r="A30" s="121" t="s">
        <v>25</v>
      </c>
      <c r="B30" s="122"/>
      <c r="C30" s="123"/>
      <c r="D30" s="124"/>
      <c r="E30" s="124" t="s">
        <v>8</v>
      </c>
      <c r="F30" s="125">
        <v>168750</v>
      </c>
      <c r="G30" s="126">
        <f ca="1">PRODUCT(F30,'ԱՐԱՐԱՏ-2'!$D30)</f>
        <v>168750</v>
      </c>
      <c r="H30" s="127"/>
      <c r="I30" s="126">
        <f>+G30*0.2</f>
        <v>33750</v>
      </c>
      <c r="J30" s="126">
        <f>+G30*0.6</f>
        <v>101250</v>
      </c>
      <c r="K30" s="126"/>
      <c r="L30" s="126">
        <f>+G30*0.2</f>
        <v>33750</v>
      </c>
      <c r="M30" s="126"/>
      <c r="O30" s="94">
        <f t="shared" si="1"/>
        <v>0</v>
      </c>
      <c r="T30" s="80"/>
      <c r="U30" s="80"/>
    </row>
    <row r="31" spans="1:21" ht="24.75" customHeight="1">
      <c r="A31" s="128" t="s">
        <v>43</v>
      </c>
      <c r="B31" s="124"/>
      <c r="C31" s="129"/>
      <c r="D31" s="124"/>
      <c r="E31" s="124" t="s">
        <v>8</v>
      </c>
      <c r="F31" s="125">
        <v>243000.00000000003</v>
      </c>
      <c r="G31" s="126">
        <f ca="1">PRODUCT(F31,'ԱՐԱՐԱՏ-2'!$D31)</f>
        <v>243000.00000000003</v>
      </c>
      <c r="H31" s="130"/>
      <c r="I31" s="130">
        <f t="shared" ref="I31:I37" si="11">+G31*0.2</f>
        <v>48600.000000000007</v>
      </c>
      <c r="J31" s="130">
        <f>+G31*0.6</f>
        <v>145800</v>
      </c>
      <c r="K31" s="130"/>
      <c r="L31" s="130">
        <f>+G31*0.2</f>
        <v>48600.000000000007</v>
      </c>
      <c r="M31" s="127"/>
      <c r="O31" s="94">
        <f t="shared" si="1"/>
        <v>0</v>
      </c>
      <c r="T31" s="80"/>
      <c r="U31" s="80"/>
    </row>
    <row r="32" spans="1:21" ht="24" customHeight="1">
      <c r="A32" s="105" t="s">
        <v>35</v>
      </c>
      <c r="B32" s="124"/>
      <c r="C32" s="129" t="s">
        <v>33</v>
      </c>
      <c r="D32" s="124">
        <v>30</v>
      </c>
      <c r="E32" s="124" t="s">
        <v>82</v>
      </c>
      <c r="F32" s="125">
        <v>10800</v>
      </c>
      <c r="G32" s="126">
        <f ca="1">PRODUCT(F32,'ԱՐԱՐԱՏ-2'!$D32)</f>
        <v>324000</v>
      </c>
      <c r="H32" s="130"/>
      <c r="I32" s="130">
        <f t="shared" si="11"/>
        <v>64800</v>
      </c>
      <c r="J32" s="130">
        <f>+G32*0.6</f>
        <v>194400</v>
      </c>
      <c r="K32" s="130"/>
      <c r="L32" s="130">
        <f>+G32*0.2</f>
        <v>64800</v>
      </c>
      <c r="M32" s="127"/>
      <c r="O32" s="94">
        <f t="shared" si="1"/>
        <v>0</v>
      </c>
      <c r="T32" s="80"/>
      <c r="U32" s="80"/>
    </row>
    <row r="33" spans="1:21" ht="27" customHeight="1">
      <c r="A33" s="105" t="s">
        <v>103</v>
      </c>
      <c r="B33" s="124"/>
      <c r="C33" s="129"/>
      <c r="D33" s="124"/>
      <c r="E33" s="124" t="s">
        <v>8</v>
      </c>
      <c r="F33" s="125">
        <f>2958000</f>
        <v>2958000</v>
      </c>
      <c r="G33" s="126">
        <f ca="1">PRODUCT(F33,'ԱՐԱՐԱՏ-2'!$D33)</f>
        <v>2958000</v>
      </c>
      <c r="H33" s="130"/>
      <c r="I33" s="130">
        <f t="shared" si="11"/>
        <v>591600</v>
      </c>
      <c r="J33" s="130">
        <f>+G33*0.2</f>
        <v>591600</v>
      </c>
      <c r="K33" s="130">
        <f>+G33*0.3</f>
        <v>887400</v>
      </c>
      <c r="L33" s="130">
        <f>+G33*0.3</f>
        <v>887400</v>
      </c>
      <c r="M33" s="127"/>
      <c r="O33" s="94">
        <f t="shared" si="1"/>
        <v>0</v>
      </c>
      <c r="T33" s="80"/>
      <c r="U33" s="80"/>
    </row>
    <row r="34" spans="1:21" ht="24.75" customHeight="1">
      <c r="A34" s="105" t="s">
        <v>36</v>
      </c>
      <c r="B34" s="124"/>
      <c r="C34" s="129"/>
      <c r="D34" s="124"/>
      <c r="E34" s="124" t="s">
        <v>8</v>
      </c>
      <c r="F34" s="125">
        <v>10000</v>
      </c>
      <c r="G34" s="126">
        <f ca="1">PRODUCT(F34,'ԱՐԱՐԱՏ-2'!$D34)</f>
        <v>10000</v>
      </c>
      <c r="H34" s="130"/>
      <c r="I34" s="130">
        <f t="shared" si="11"/>
        <v>2000</v>
      </c>
      <c r="J34" s="130">
        <f>+G34*0.4</f>
        <v>4000</v>
      </c>
      <c r="K34" s="130">
        <f>+G34*0.4</f>
        <v>4000</v>
      </c>
      <c r="L34" s="130"/>
      <c r="M34" s="127"/>
      <c r="O34" s="94">
        <f t="shared" si="1"/>
        <v>0</v>
      </c>
      <c r="T34" s="80"/>
      <c r="U34" s="80"/>
    </row>
    <row r="35" spans="1:21" ht="24" customHeight="1">
      <c r="A35" s="105" t="s">
        <v>37</v>
      </c>
      <c r="B35" s="124"/>
      <c r="C35" s="129"/>
      <c r="D35" s="124"/>
      <c r="E35" s="124" t="s">
        <v>8</v>
      </c>
      <c r="F35" s="125">
        <v>100000</v>
      </c>
      <c r="G35" s="126">
        <f ca="1">PRODUCT(F35,'ԱՐԱՐԱՏ-2'!$D35)</f>
        <v>100000</v>
      </c>
      <c r="H35" s="130"/>
      <c r="I35" s="130">
        <f t="shared" si="11"/>
        <v>20000</v>
      </c>
      <c r="J35" s="130">
        <f>+G35*0.6</f>
        <v>60000</v>
      </c>
      <c r="K35" s="130"/>
      <c r="L35" s="130">
        <f>+G35*0.2</f>
        <v>20000</v>
      </c>
      <c r="M35" s="127"/>
      <c r="O35" s="94">
        <f t="shared" si="1"/>
        <v>0</v>
      </c>
      <c r="T35" s="80"/>
      <c r="U35" s="80"/>
    </row>
    <row r="36" spans="1:21" ht="24" customHeight="1">
      <c r="A36" s="105" t="s">
        <v>61</v>
      </c>
      <c r="B36" s="124"/>
      <c r="C36" s="129"/>
      <c r="D36" s="124"/>
      <c r="E36" s="124" t="s">
        <v>8</v>
      </c>
      <c r="F36" s="125">
        <v>50000</v>
      </c>
      <c r="G36" s="126">
        <f ca="1">PRODUCT(F36,'ԱՐԱՐԱՏ-2'!$D36)</f>
        <v>50000</v>
      </c>
      <c r="H36" s="130"/>
      <c r="I36" s="130">
        <f t="shared" si="11"/>
        <v>10000</v>
      </c>
      <c r="J36" s="130">
        <f>+G36*0.3</f>
        <v>15000</v>
      </c>
      <c r="K36" s="130">
        <f>+G36*0.3</f>
        <v>15000</v>
      </c>
      <c r="L36" s="130">
        <f>+G36*0.2</f>
        <v>10000</v>
      </c>
      <c r="M36" s="127"/>
      <c r="O36" s="94">
        <f t="shared" si="1"/>
        <v>0</v>
      </c>
      <c r="T36" s="80"/>
      <c r="U36" s="80"/>
    </row>
    <row r="37" spans="1:21" ht="24" customHeight="1">
      <c r="A37" s="105" t="s">
        <v>38</v>
      </c>
      <c r="B37" s="106"/>
      <c r="C37" s="131"/>
      <c r="D37" s="106"/>
      <c r="E37" s="106" t="s">
        <v>8</v>
      </c>
      <c r="F37" s="125">
        <v>32000</v>
      </c>
      <c r="G37" s="126">
        <f ca="1">PRODUCT(F37,'ԱՐԱՐԱՏ-2'!$D37)</f>
        <v>32000</v>
      </c>
      <c r="H37" s="130"/>
      <c r="I37" s="130">
        <f t="shared" si="11"/>
        <v>6400</v>
      </c>
      <c r="J37" s="130"/>
      <c r="K37" s="130"/>
      <c r="L37" s="130">
        <f>+G37*0.8</f>
        <v>25600</v>
      </c>
      <c r="M37" s="127"/>
      <c r="O37" s="94">
        <f t="shared" si="1"/>
        <v>0</v>
      </c>
      <c r="T37" s="80"/>
      <c r="U37" s="80"/>
    </row>
    <row r="38" spans="1:21" ht="27.75" customHeight="1" thickBot="1">
      <c r="A38" s="121" t="s">
        <v>52</v>
      </c>
      <c r="B38" s="124"/>
      <c r="C38" s="129"/>
      <c r="D38" s="133"/>
      <c r="E38" s="124" t="s">
        <v>8</v>
      </c>
      <c r="F38" s="125">
        <v>100000</v>
      </c>
      <c r="G38" s="9">
        <f ca="1">PRODUCT(F38,'ԱՐԱՐԱՏ-2'!$D38)</f>
        <v>100000</v>
      </c>
      <c r="H38" s="134">
        <f>+G38*0.3</f>
        <v>30000</v>
      </c>
      <c r="I38" s="134">
        <f>+G38*0.3</f>
        <v>30000</v>
      </c>
      <c r="J38" s="134">
        <f>+G38*0.2</f>
        <v>20000</v>
      </c>
      <c r="K38" s="134">
        <f>+G38*0.1</f>
        <v>10000</v>
      </c>
      <c r="L38" s="134">
        <f>+G38*0.1</f>
        <v>10000</v>
      </c>
      <c r="M38" s="135"/>
      <c r="O38" s="94">
        <f t="shared" si="1"/>
        <v>0</v>
      </c>
      <c r="T38" s="80"/>
      <c r="U38" s="80"/>
    </row>
    <row r="39" spans="1:21" s="82" customFormat="1" ht="30.75" customHeight="1" thickBot="1">
      <c r="A39" s="196" t="s">
        <v>62</v>
      </c>
      <c r="B39" s="197"/>
      <c r="C39" s="197"/>
      <c r="D39" s="197"/>
      <c r="E39" s="197"/>
      <c r="F39" s="197"/>
      <c r="G39" s="28">
        <f t="shared" ref="G39:M39" si="12">SUBTOTAL(9,G6:G38)</f>
        <v>12473654.35483871</v>
      </c>
      <c r="H39" s="28">
        <f t="shared" si="12"/>
        <v>815800</v>
      </c>
      <c r="I39" s="28">
        <f t="shared" si="12"/>
        <v>4862130.8709677421</v>
      </c>
      <c r="J39" s="28">
        <f t="shared" si="12"/>
        <v>3867392.6129032257</v>
      </c>
      <c r="K39" s="28">
        <f t="shared" si="12"/>
        <v>916400</v>
      </c>
      <c r="L39" s="28">
        <f t="shared" si="12"/>
        <v>2011930.8709677421</v>
      </c>
      <c r="M39" s="28">
        <f t="shared" si="12"/>
        <v>0</v>
      </c>
      <c r="O39" s="94">
        <f t="shared" si="1"/>
        <v>0</v>
      </c>
      <c r="S39" s="136"/>
      <c r="T39" s="136"/>
    </row>
    <row r="42" spans="1:21" ht="18" customHeight="1">
      <c r="G42" s="180"/>
    </row>
    <row r="44" spans="1:21" ht="18" customHeight="1">
      <c r="G44" s="180"/>
    </row>
  </sheetData>
  <mergeCells count="10">
    <mergeCell ref="G4:G5"/>
    <mergeCell ref="H4:M4"/>
    <mergeCell ref="A39:F39"/>
    <mergeCell ref="A2:M2"/>
    <mergeCell ref="A4:A5"/>
    <mergeCell ref="B4:B5"/>
    <mergeCell ref="C4:C5"/>
    <mergeCell ref="D4:D5"/>
    <mergeCell ref="E4:E5"/>
    <mergeCell ref="F4:F5"/>
  </mergeCells>
  <phoneticPr fontId="0" type="noConversion"/>
  <pageMargins left="0.23622047244094491" right="0.23622047244094491" top="0.47244094488188981" bottom="0" header="0.11811023622047245" footer="0"/>
  <pageSetup paperSize="9" scale="52" fitToWidth="2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U37"/>
  <sheetViews>
    <sheetView showGridLines="0" view="pageBreakPreview" topLeftCell="A13" zoomScale="60" zoomScaleNormal="70" zoomScalePageLayoutView="120" workbookViewId="0">
      <selection activeCell="C23" sqref="C23"/>
    </sheetView>
  </sheetViews>
  <sheetFormatPr defaultColWidth="10.875" defaultRowHeight="18" customHeight="1"/>
  <cols>
    <col min="1" max="1" width="20.625" style="82" customWidth="1"/>
    <col min="2" max="2" width="37.125" style="82" customWidth="1"/>
    <col min="3" max="3" width="23.75" style="169" customWidth="1"/>
    <col min="4" max="4" width="11" style="82" customWidth="1"/>
    <col min="5" max="5" width="18.375" style="82" customWidth="1"/>
    <col min="6" max="6" width="17.375" style="82" customWidth="1"/>
    <col min="7" max="7" width="18.375" style="82" customWidth="1"/>
    <col min="8" max="8" width="17.375" style="82" customWidth="1"/>
    <col min="9" max="9" width="18.625" style="82" customWidth="1"/>
    <col min="10" max="10" width="18.375" style="82" customWidth="1"/>
    <col min="11" max="11" width="15.875" style="82" customWidth="1"/>
    <col min="12" max="12" width="18.5" style="82" customWidth="1"/>
    <col min="13" max="13" width="17.5" style="82" customWidth="1"/>
    <col min="14" max="14" width="10.875" style="82"/>
    <col min="15" max="15" width="18.375" style="82" customWidth="1"/>
    <col min="16" max="19" width="10.875" style="82"/>
    <col min="20" max="21" width="10.875" style="136"/>
    <col min="22" max="16384" width="10.875" style="82"/>
  </cols>
  <sheetData>
    <row r="1" spans="1:21" ht="29.25" customHeight="1">
      <c r="M1" s="184" t="s">
        <v>97</v>
      </c>
      <c r="S1" s="136"/>
      <c r="U1" s="82"/>
    </row>
    <row r="2" spans="1:21" ht="33.75" customHeight="1" thickBot="1">
      <c r="A2" s="214" t="s">
        <v>48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T2" s="82"/>
      <c r="U2" s="82"/>
    </row>
    <row r="3" spans="1:21" ht="31.5" customHeight="1">
      <c r="A3" s="199" t="s">
        <v>13</v>
      </c>
      <c r="B3" s="201" t="s">
        <v>65</v>
      </c>
      <c r="C3" s="203" t="s">
        <v>16</v>
      </c>
      <c r="D3" s="205" t="s">
        <v>14</v>
      </c>
      <c r="E3" s="207" t="s">
        <v>15</v>
      </c>
      <c r="F3" s="209" t="s">
        <v>63</v>
      </c>
      <c r="G3" s="192" t="s">
        <v>64</v>
      </c>
      <c r="H3" s="211" t="s">
        <v>60</v>
      </c>
      <c r="I3" s="194"/>
      <c r="J3" s="194"/>
      <c r="K3" s="194"/>
      <c r="L3" s="194"/>
      <c r="M3" s="195"/>
      <c r="T3" s="82"/>
      <c r="U3" s="82"/>
    </row>
    <row r="4" spans="1:21" s="88" customFormat="1" ht="33" customHeight="1" thickBot="1">
      <c r="A4" s="200"/>
      <c r="B4" s="202"/>
      <c r="C4" s="204"/>
      <c r="D4" s="206"/>
      <c r="E4" s="208"/>
      <c r="F4" s="210"/>
      <c r="G4" s="193"/>
      <c r="H4" s="83">
        <v>2018</v>
      </c>
      <c r="I4" s="84">
        <v>2019</v>
      </c>
      <c r="J4" s="84">
        <v>2020</v>
      </c>
      <c r="K4" s="85">
        <v>2021</v>
      </c>
      <c r="L4" s="86">
        <v>2022</v>
      </c>
      <c r="M4" s="87">
        <v>2023</v>
      </c>
      <c r="O4" s="82"/>
    </row>
    <row r="5" spans="1:21" ht="30" customHeight="1">
      <c r="A5" s="89" t="s">
        <v>89</v>
      </c>
      <c r="B5" s="90"/>
      <c r="C5" s="91"/>
      <c r="D5" s="90"/>
      <c r="E5" s="90"/>
      <c r="F5" s="92"/>
      <c r="G5" s="93">
        <f>SUBTOTAL(9,G6:G11)</f>
        <v>1362459</v>
      </c>
      <c r="H5" s="93">
        <f t="shared" ref="H5:M5" si="0">SUBTOTAL(9,H6:H11)</f>
        <v>0</v>
      </c>
      <c r="I5" s="93">
        <f t="shared" si="0"/>
        <v>0</v>
      </c>
      <c r="J5" s="93">
        <f t="shared" si="0"/>
        <v>272491.8</v>
      </c>
      <c r="K5" s="93">
        <f t="shared" si="0"/>
        <v>817475.4</v>
      </c>
      <c r="L5" s="93">
        <f t="shared" si="0"/>
        <v>0</v>
      </c>
      <c r="M5" s="93">
        <f t="shared" si="0"/>
        <v>272491.8</v>
      </c>
      <c r="O5" s="94">
        <f t="shared" ref="O5:O35" si="1">SUM(H5:M5)-G5</f>
        <v>0</v>
      </c>
      <c r="T5" s="82"/>
      <c r="U5" s="82"/>
    </row>
    <row r="6" spans="1:21" ht="27.75" customHeight="1">
      <c r="A6" s="95"/>
      <c r="B6" s="96" t="s">
        <v>27</v>
      </c>
      <c r="C6" s="97" t="s">
        <v>31</v>
      </c>
      <c r="D6" s="98">
        <v>27</v>
      </c>
      <c r="E6" s="99" t="s">
        <v>22</v>
      </c>
      <c r="F6" s="12">
        <v>20925</v>
      </c>
      <c r="G6" s="5">
        <f ca="1">PRODUCT(F6,ՄԱՐԱՇ!$D6)</f>
        <v>564975</v>
      </c>
      <c r="H6" s="12"/>
      <c r="I6" s="12"/>
      <c r="J6" s="12">
        <f t="shared" ref="J6:J11" si="2">+G6*0.2</f>
        <v>112995</v>
      </c>
      <c r="K6" s="12">
        <f t="shared" ref="K6:K11" si="3">+G6*0.6</f>
        <v>338985</v>
      </c>
      <c r="L6" s="12"/>
      <c r="M6" s="100">
        <f t="shared" ref="M6:M11" si="4">+G6*0.2</f>
        <v>112995</v>
      </c>
      <c r="O6" s="94">
        <f t="shared" si="1"/>
        <v>0</v>
      </c>
      <c r="T6" s="82"/>
      <c r="U6" s="82"/>
    </row>
    <row r="7" spans="1:21" ht="24.75" customHeight="1">
      <c r="A7" s="95"/>
      <c r="B7" s="101" t="s">
        <v>28</v>
      </c>
      <c r="C7" s="97" t="s">
        <v>32</v>
      </c>
      <c r="D7" s="98">
        <v>6</v>
      </c>
      <c r="E7" s="99" t="s">
        <v>22</v>
      </c>
      <c r="F7" s="12">
        <v>4425</v>
      </c>
      <c r="G7" s="5">
        <f ca="1">PRODUCT(F7,ՄԱՐԱՇ!$D7)</f>
        <v>26550</v>
      </c>
      <c r="H7" s="12"/>
      <c r="I7" s="12"/>
      <c r="J7" s="12">
        <f t="shared" si="2"/>
        <v>5310</v>
      </c>
      <c r="K7" s="12">
        <f t="shared" si="3"/>
        <v>15930</v>
      </c>
      <c r="L7" s="12"/>
      <c r="M7" s="100">
        <f t="shared" si="4"/>
        <v>5310</v>
      </c>
      <c r="O7" s="94">
        <f t="shared" si="1"/>
        <v>0</v>
      </c>
      <c r="T7" s="82"/>
      <c r="U7" s="82"/>
    </row>
    <row r="8" spans="1:21" ht="27" customHeight="1">
      <c r="A8" s="95"/>
      <c r="B8" s="101" t="s">
        <v>9</v>
      </c>
      <c r="C8" s="97" t="s">
        <v>32</v>
      </c>
      <c r="D8" s="98">
        <v>6</v>
      </c>
      <c r="E8" s="99" t="s">
        <v>22</v>
      </c>
      <c r="F8" s="12">
        <v>8475</v>
      </c>
      <c r="G8" s="5">
        <f ca="1">PRODUCT(F8,ՄԱՐԱՇ!$D8)</f>
        <v>50850</v>
      </c>
      <c r="H8" s="12"/>
      <c r="I8" s="12"/>
      <c r="J8" s="12">
        <f t="shared" si="2"/>
        <v>10170</v>
      </c>
      <c r="K8" s="12">
        <f t="shared" si="3"/>
        <v>30510</v>
      </c>
      <c r="L8" s="12"/>
      <c r="M8" s="100">
        <f t="shared" si="4"/>
        <v>10170</v>
      </c>
      <c r="O8" s="94">
        <f t="shared" si="1"/>
        <v>0</v>
      </c>
      <c r="T8" s="82"/>
      <c r="U8" s="82"/>
    </row>
    <row r="9" spans="1:21" ht="27" customHeight="1">
      <c r="A9" s="95"/>
      <c r="B9" s="101" t="s">
        <v>29</v>
      </c>
      <c r="C9" s="97" t="s">
        <v>32</v>
      </c>
      <c r="D9" s="98">
        <v>58</v>
      </c>
      <c r="E9" s="99" t="s">
        <v>22</v>
      </c>
      <c r="F9" s="12">
        <v>2148</v>
      </c>
      <c r="G9" s="5">
        <f ca="1">PRODUCT(F9,ՄԱՐԱՇ!$D9)</f>
        <v>124584</v>
      </c>
      <c r="H9" s="12"/>
      <c r="I9" s="12"/>
      <c r="J9" s="12">
        <f t="shared" si="2"/>
        <v>24916.800000000003</v>
      </c>
      <c r="K9" s="12">
        <f t="shared" si="3"/>
        <v>74750.399999999994</v>
      </c>
      <c r="L9" s="12"/>
      <c r="M9" s="100">
        <f t="shared" si="4"/>
        <v>24916.800000000003</v>
      </c>
      <c r="O9" s="94">
        <f t="shared" si="1"/>
        <v>0</v>
      </c>
      <c r="T9" s="82"/>
      <c r="U9" s="82"/>
    </row>
    <row r="10" spans="1:21" ht="27" customHeight="1">
      <c r="A10" s="95"/>
      <c r="B10" s="96" t="s">
        <v>10</v>
      </c>
      <c r="C10" s="97"/>
      <c r="D10" s="98">
        <v>6</v>
      </c>
      <c r="E10" s="99" t="s">
        <v>22</v>
      </c>
      <c r="F10" s="12">
        <v>74250</v>
      </c>
      <c r="G10" s="5">
        <f ca="1">PRODUCT(F10,ՄԱՐԱՇ!$D10)</f>
        <v>445500</v>
      </c>
      <c r="H10" s="12"/>
      <c r="I10" s="12"/>
      <c r="J10" s="12">
        <f t="shared" si="2"/>
        <v>89100</v>
      </c>
      <c r="K10" s="12">
        <f t="shared" si="3"/>
        <v>267300</v>
      </c>
      <c r="L10" s="12"/>
      <c r="M10" s="100">
        <f t="shared" si="4"/>
        <v>89100</v>
      </c>
      <c r="O10" s="94">
        <f t="shared" si="1"/>
        <v>0</v>
      </c>
      <c r="T10" s="82"/>
      <c r="U10" s="82"/>
    </row>
    <row r="11" spans="1:21" ht="27" customHeight="1">
      <c r="A11" s="102"/>
      <c r="B11" s="96" t="s">
        <v>85</v>
      </c>
      <c r="C11" s="103"/>
      <c r="D11" s="104">
        <v>1</v>
      </c>
      <c r="E11" s="104" t="s">
        <v>22</v>
      </c>
      <c r="F11" s="46">
        <v>150000</v>
      </c>
      <c r="G11" s="5">
        <f ca="1">PRODUCT(F11,ՄԱՐԱՇ!$D11)</f>
        <v>150000</v>
      </c>
      <c r="H11" s="12"/>
      <c r="I11" s="12"/>
      <c r="J11" s="12">
        <f t="shared" si="2"/>
        <v>30000</v>
      </c>
      <c r="K11" s="12">
        <f t="shared" si="3"/>
        <v>90000</v>
      </c>
      <c r="L11" s="12"/>
      <c r="M11" s="100">
        <f t="shared" si="4"/>
        <v>30000</v>
      </c>
      <c r="O11" s="94">
        <f t="shared" si="1"/>
        <v>0</v>
      </c>
      <c r="T11" s="82"/>
      <c r="U11" s="82"/>
    </row>
    <row r="12" spans="1:21" ht="27.75" customHeight="1">
      <c r="A12" s="105" t="s">
        <v>11</v>
      </c>
      <c r="B12" s="106"/>
      <c r="C12" s="107"/>
      <c r="D12" s="106"/>
      <c r="E12" s="106"/>
      <c r="F12" s="108"/>
      <c r="G12" s="1">
        <f t="shared" ref="G12:M12" si="5">SUBTOTAL(9,G13:G15)</f>
        <v>2013100</v>
      </c>
      <c r="H12" s="1">
        <f t="shared" si="5"/>
        <v>0</v>
      </c>
      <c r="I12" s="1">
        <f t="shared" si="5"/>
        <v>0</v>
      </c>
      <c r="J12" s="1">
        <f t="shared" si="5"/>
        <v>402620</v>
      </c>
      <c r="K12" s="1">
        <f t="shared" si="5"/>
        <v>1207860</v>
      </c>
      <c r="L12" s="1">
        <f t="shared" si="5"/>
        <v>0</v>
      </c>
      <c r="M12" s="25">
        <f t="shared" si="5"/>
        <v>402620</v>
      </c>
      <c r="O12" s="94">
        <f t="shared" si="1"/>
        <v>0</v>
      </c>
      <c r="T12" s="82"/>
      <c r="U12" s="82"/>
    </row>
    <row r="13" spans="1:21" ht="43.5" customHeight="1">
      <c r="A13" s="95"/>
      <c r="B13" s="109" t="s">
        <v>23</v>
      </c>
      <c r="C13" s="110" t="s">
        <v>7</v>
      </c>
      <c r="D13" s="98">
        <v>1</v>
      </c>
      <c r="E13" s="99" t="s">
        <v>22</v>
      </c>
      <c r="F13" s="12">
        <v>1492000</v>
      </c>
      <c r="G13" s="5">
        <f ca="1">PRODUCT(F13,ՄԱՐԱՇ!$D13)</f>
        <v>1492000</v>
      </c>
      <c r="H13" s="12"/>
      <c r="I13" s="12"/>
      <c r="J13" s="12">
        <f>+G13*0.2</f>
        <v>298400</v>
      </c>
      <c r="K13" s="12">
        <f>+G13*0.6</f>
        <v>895200</v>
      </c>
      <c r="L13" s="12"/>
      <c r="M13" s="100">
        <f>+G13*0.2</f>
        <v>298400</v>
      </c>
      <c r="O13" s="94">
        <f t="shared" si="1"/>
        <v>0</v>
      </c>
      <c r="T13" s="82"/>
      <c r="U13" s="82"/>
    </row>
    <row r="14" spans="1:21" ht="39.75" customHeight="1">
      <c r="A14" s="95"/>
      <c r="B14" s="111" t="s">
        <v>24</v>
      </c>
      <c r="C14" s="112" t="s">
        <v>0</v>
      </c>
      <c r="D14" s="113">
        <v>1</v>
      </c>
      <c r="E14" s="114" t="s">
        <v>22</v>
      </c>
      <c r="F14" s="115">
        <v>472500.00000000006</v>
      </c>
      <c r="G14" s="8">
        <f ca="1">PRODUCT(F14,ՄԱՐԱՇ!$D14)</f>
        <v>472500.00000000006</v>
      </c>
      <c r="H14" s="115"/>
      <c r="I14" s="115"/>
      <c r="J14" s="12">
        <f>+G14*0.2</f>
        <v>94500.000000000015</v>
      </c>
      <c r="K14" s="12">
        <f>+G14*0.6</f>
        <v>283500</v>
      </c>
      <c r="L14" s="115"/>
      <c r="M14" s="100">
        <f>+G14*0.2</f>
        <v>94500.000000000015</v>
      </c>
      <c r="O14" s="94">
        <f t="shared" si="1"/>
        <v>0</v>
      </c>
      <c r="T14" s="82"/>
      <c r="U14" s="82"/>
    </row>
    <row r="15" spans="1:21" ht="32.25" customHeight="1">
      <c r="A15" s="95"/>
      <c r="B15" s="109" t="s">
        <v>59</v>
      </c>
      <c r="C15" s="110" t="s">
        <v>1</v>
      </c>
      <c r="D15" s="98">
        <v>2</v>
      </c>
      <c r="E15" s="99" t="s">
        <v>22</v>
      </c>
      <c r="F15" s="12">
        <v>24300</v>
      </c>
      <c r="G15" s="5">
        <f ca="1">PRODUCT(F15,ՄԱՐԱՇ!$D15)</f>
        <v>48600</v>
      </c>
      <c r="H15" s="12"/>
      <c r="I15" s="12"/>
      <c r="J15" s="12">
        <f>+G15*0.2</f>
        <v>9720</v>
      </c>
      <c r="K15" s="12">
        <f>+G15*0.6</f>
        <v>29160</v>
      </c>
      <c r="L15" s="12"/>
      <c r="M15" s="100">
        <f>+G15*0.2</f>
        <v>9720</v>
      </c>
      <c r="O15" s="94">
        <f t="shared" si="1"/>
        <v>0</v>
      </c>
      <c r="T15" s="82"/>
      <c r="U15" s="82"/>
    </row>
    <row r="16" spans="1:21" ht="30" customHeight="1">
      <c r="A16" s="105" t="s">
        <v>87</v>
      </c>
      <c r="B16" s="106"/>
      <c r="C16" s="107"/>
      <c r="D16" s="106"/>
      <c r="E16" s="106"/>
      <c r="F16" s="108"/>
      <c r="G16" s="1">
        <f ca="1">SUBTOTAL(9,G17:G22)</f>
        <v>2048242</v>
      </c>
      <c r="H16" s="1">
        <f t="shared" ref="H16:M16" si="6">SUBTOTAL(9,H17:H22)</f>
        <v>0</v>
      </c>
      <c r="I16" s="1">
        <f t="shared" si="6"/>
        <v>0</v>
      </c>
      <c r="J16" s="1">
        <f t="shared" si="6"/>
        <v>409648.4</v>
      </c>
      <c r="K16" s="1">
        <f t="shared" si="6"/>
        <v>1228945.2</v>
      </c>
      <c r="L16" s="1">
        <f t="shared" si="6"/>
        <v>0</v>
      </c>
      <c r="M16" s="1">
        <f t="shared" si="6"/>
        <v>409648.4</v>
      </c>
      <c r="O16" s="94">
        <f t="shared" si="1"/>
        <v>0</v>
      </c>
      <c r="T16" s="82"/>
      <c r="U16" s="82"/>
    </row>
    <row r="17" spans="1:21" ht="24.75" customHeight="1">
      <c r="A17" s="95"/>
      <c r="B17" s="96" t="s">
        <v>27</v>
      </c>
      <c r="C17" s="97" t="s">
        <v>31</v>
      </c>
      <c r="D17" s="98">
        <v>63</v>
      </c>
      <c r="E17" s="99" t="s">
        <v>22</v>
      </c>
      <c r="F17" s="12">
        <v>11200</v>
      </c>
      <c r="G17" s="5">
        <f ca="1">PRODUCT(F17,ՄԱՐԱՇ!$D17)</f>
        <v>705600</v>
      </c>
      <c r="H17" s="12"/>
      <c r="I17" s="12"/>
      <c r="J17" s="12">
        <f t="shared" ref="J17:J22" si="7">+G17*0.2</f>
        <v>141120</v>
      </c>
      <c r="K17" s="12">
        <f t="shared" ref="K17:K22" si="8">+G17*0.6</f>
        <v>423360</v>
      </c>
      <c r="L17" s="12"/>
      <c r="M17" s="100">
        <f t="shared" ref="M17:M22" si="9">+G17*0.2</f>
        <v>141120</v>
      </c>
      <c r="O17" s="94">
        <f t="shared" si="1"/>
        <v>0</v>
      </c>
      <c r="T17" s="82"/>
      <c r="U17" s="82"/>
    </row>
    <row r="18" spans="1:21" ht="23.25" customHeight="1">
      <c r="A18" s="95"/>
      <c r="B18" s="101" t="s">
        <v>28</v>
      </c>
      <c r="C18" s="97" t="s">
        <v>32</v>
      </c>
      <c r="D18" s="98">
        <v>6</v>
      </c>
      <c r="E18" s="99" t="s">
        <v>22</v>
      </c>
      <c r="F18" s="12">
        <v>3780.0000000000005</v>
      </c>
      <c r="G18" s="5">
        <f ca="1">PRODUCT(F18,ՄԱՐԱՇ!$D18)</f>
        <v>22680.000000000004</v>
      </c>
      <c r="H18" s="115"/>
      <c r="I18" s="115"/>
      <c r="J18" s="12">
        <f t="shared" si="7"/>
        <v>4536.0000000000009</v>
      </c>
      <c r="K18" s="12">
        <f t="shared" si="8"/>
        <v>13608.000000000002</v>
      </c>
      <c r="L18" s="115"/>
      <c r="M18" s="100">
        <f t="shared" si="9"/>
        <v>4536.0000000000009</v>
      </c>
      <c r="O18" s="94">
        <f t="shared" si="1"/>
        <v>0</v>
      </c>
      <c r="T18" s="82"/>
      <c r="U18" s="82"/>
    </row>
    <row r="19" spans="1:21" s="189" customFormat="1" ht="29.25" customHeight="1">
      <c r="A19" s="95"/>
      <c r="B19" s="101" t="s">
        <v>9</v>
      </c>
      <c r="C19" s="97" t="s">
        <v>32</v>
      </c>
      <c r="D19" s="98">
        <v>25</v>
      </c>
      <c r="E19" s="99" t="s">
        <v>22</v>
      </c>
      <c r="F19" s="12">
        <v>7550</v>
      </c>
      <c r="G19" s="5">
        <f ca="1">PRODUCT(F19,ՄԱՐԱՇ!$D19)</f>
        <v>188750</v>
      </c>
      <c r="H19" s="12"/>
      <c r="I19" s="12"/>
      <c r="J19" s="12">
        <f t="shared" si="7"/>
        <v>37750</v>
      </c>
      <c r="K19" s="12">
        <f t="shared" si="8"/>
        <v>113250</v>
      </c>
      <c r="L19" s="12"/>
      <c r="M19" s="100">
        <f t="shared" si="9"/>
        <v>37750</v>
      </c>
      <c r="O19" s="94">
        <f t="shared" si="1"/>
        <v>0</v>
      </c>
    </row>
    <row r="20" spans="1:21" s="189" customFormat="1" ht="27" customHeight="1">
      <c r="A20" s="95"/>
      <c r="B20" s="101" t="s">
        <v>29</v>
      </c>
      <c r="C20" s="97" t="s">
        <v>32</v>
      </c>
      <c r="D20" s="98">
        <v>102</v>
      </c>
      <c r="E20" s="99" t="s">
        <v>22</v>
      </c>
      <c r="F20" s="12">
        <v>1306</v>
      </c>
      <c r="G20" s="5">
        <f ca="1">PRODUCT(F20,ՄԱՐԱՇ!$D20)</f>
        <v>133212</v>
      </c>
      <c r="H20" s="12"/>
      <c r="I20" s="12"/>
      <c r="J20" s="12">
        <f t="shared" si="7"/>
        <v>26642.400000000001</v>
      </c>
      <c r="K20" s="12">
        <f t="shared" si="8"/>
        <v>79927.199999999997</v>
      </c>
      <c r="L20" s="12"/>
      <c r="M20" s="100">
        <f t="shared" si="9"/>
        <v>26642.400000000001</v>
      </c>
      <c r="O20" s="94">
        <f t="shared" si="1"/>
        <v>0</v>
      </c>
    </row>
    <row r="21" spans="1:21" ht="24.75" customHeight="1">
      <c r="A21" s="95"/>
      <c r="B21" s="96" t="s">
        <v>10</v>
      </c>
      <c r="C21" s="97"/>
      <c r="D21" s="98">
        <v>16</v>
      </c>
      <c r="E21" s="99" t="s">
        <v>22</v>
      </c>
      <c r="F21" s="12">
        <v>54250</v>
      </c>
      <c r="G21" s="5">
        <f ca="1">PRODUCT(F21,ՄԱՐԱՇ!$D21)</f>
        <v>868000</v>
      </c>
      <c r="H21" s="115"/>
      <c r="I21" s="115"/>
      <c r="J21" s="12">
        <f t="shared" si="7"/>
        <v>173600</v>
      </c>
      <c r="K21" s="12">
        <f t="shared" si="8"/>
        <v>520800</v>
      </c>
      <c r="L21" s="115"/>
      <c r="M21" s="100">
        <f t="shared" si="9"/>
        <v>173600</v>
      </c>
      <c r="O21" s="94">
        <f t="shared" si="1"/>
        <v>0</v>
      </c>
      <c r="T21" s="82"/>
      <c r="U21" s="82"/>
    </row>
    <row r="22" spans="1:21" ht="28.5" customHeight="1">
      <c r="A22" s="117"/>
      <c r="B22" s="96" t="s">
        <v>85</v>
      </c>
      <c r="C22" s="118"/>
      <c r="D22" s="119">
        <v>1</v>
      </c>
      <c r="E22" s="119" t="s">
        <v>22</v>
      </c>
      <c r="F22" s="120">
        <v>130000</v>
      </c>
      <c r="G22" s="5">
        <f ca="1">PRODUCT(F22,ՄԱՐԱՇ!$D22)</f>
        <v>130000</v>
      </c>
      <c r="H22" s="115"/>
      <c r="I22" s="115"/>
      <c r="J22" s="12">
        <f t="shared" si="7"/>
        <v>26000</v>
      </c>
      <c r="K22" s="12">
        <f t="shared" si="8"/>
        <v>78000</v>
      </c>
      <c r="L22" s="115"/>
      <c r="M22" s="100">
        <f t="shared" si="9"/>
        <v>26000</v>
      </c>
      <c r="O22" s="94">
        <f t="shared" si="1"/>
        <v>0</v>
      </c>
      <c r="T22" s="82"/>
      <c r="U22" s="82"/>
    </row>
    <row r="23" spans="1:21" ht="27.75" customHeight="1">
      <c r="A23" s="105" t="s">
        <v>90</v>
      </c>
      <c r="B23" s="106"/>
      <c r="C23" s="107"/>
      <c r="D23" s="106"/>
      <c r="E23" s="106"/>
      <c r="F23" s="108"/>
      <c r="G23" s="1">
        <f ca="1">SUBTOTAL(9,G24:G25)</f>
        <v>874800.00000000012</v>
      </c>
      <c r="H23" s="1">
        <f t="shared" ref="H23:M23" si="10">SUBTOTAL(9,H24:H25)</f>
        <v>0</v>
      </c>
      <c r="I23" s="1">
        <f t="shared" si="10"/>
        <v>0</v>
      </c>
      <c r="J23" s="1">
        <f t="shared" si="10"/>
        <v>174960.00000000003</v>
      </c>
      <c r="K23" s="1">
        <f t="shared" si="10"/>
        <v>524880</v>
      </c>
      <c r="L23" s="1">
        <f t="shared" si="10"/>
        <v>0</v>
      </c>
      <c r="M23" s="1">
        <f t="shared" si="10"/>
        <v>174960.00000000003</v>
      </c>
      <c r="O23" s="94">
        <f t="shared" si="1"/>
        <v>0</v>
      </c>
      <c r="T23" s="82"/>
      <c r="U23" s="82"/>
    </row>
    <row r="24" spans="1:21" ht="24" customHeight="1">
      <c r="A24" s="95"/>
      <c r="B24" s="96" t="s">
        <v>42</v>
      </c>
      <c r="C24" s="97" t="s">
        <v>39</v>
      </c>
      <c r="D24" s="98">
        <v>28</v>
      </c>
      <c r="E24" s="99" t="s">
        <v>22</v>
      </c>
      <c r="F24" s="12">
        <v>28350.000000000004</v>
      </c>
      <c r="G24" s="5">
        <f ca="1">PRODUCT(F24,ՄԱՐԱՇ!$D24)</f>
        <v>793800.00000000012</v>
      </c>
      <c r="H24" s="12"/>
      <c r="I24" s="12"/>
      <c r="J24" s="12">
        <f t="shared" ref="J24:J33" si="11">+G24*0.2</f>
        <v>158760.00000000003</v>
      </c>
      <c r="K24" s="12">
        <f>+G24*0.6</f>
        <v>476280.00000000006</v>
      </c>
      <c r="L24" s="12"/>
      <c r="M24" s="100">
        <f t="shared" ref="M24:M29" si="12">+G24*0.2</f>
        <v>158760.00000000003</v>
      </c>
      <c r="O24" s="94">
        <f t="shared" si="1"/>
        <v>0</v>
      </c>
      <c r="T24" s="82"/>
      <c r="U24" s="82"/>
    </row>
    <row r="25" spans="1:21" ht="29.25" customHeight="1">
      <c r="A25" s="95"/>
      <c r="B25" s="101" t="s">
        <v>41</v>
      </c>
      <c r="C25" s="97" t="s">
        <v>39</v>
      </c>
      <c r="D25" s="113">
        <v>2</v>
      </c>
      <c r="E25" s="114" t="s">
        <v>22</v>
      </c>
      <c r="F25" s="115">
        <v>40500</v>
      </c>
      <c r="G25" s="8">
        <f ca="1">PRODUCT(F25,ՄԱՐԱՇ!$D25)</f>
        <v>81000</v>
      </c>
      <c r="H25" s="115"/>
      <c r="I25" s="115"/>
      <c r="J25" s="115">
        <f t="shared" si="11"/>
        <v>16200</v>
      </c>
      <c r="K25" s="12">
        <f>+G25*0.6</f>
        <v>48600</v>
      </c>
      <c r="L25" s="115"/>
      <c r="M25" s="100">
        <f t="shared" si="12"/>
        <v>16200</v>
      </c>
      <c r="O25" s="94">
        <f t="shared" si="1"/>
        <v>0</v>
      </c>
      <c r="T25" s="82"/>
      <c r="U25" s="82"/>
    </row>
    <row r="26" spans="1:21" ht="33.75" customHeight="1">
      <c r="A26" s="121" t="s">
        <v>25</v>
      </c>
      <c r="B26" s="122"/>
      <c r="C26" s="123"/>
      <c r="D26" s="124"/>
      <c r="E26" s="124" t="s">
        <v>8</v>
      </c>
      <c r="F26" s="125">
        <v>168750</v>
      </c>
      <c r="G26" s="126">
        <f ca="1">PRODUCT(F26,ՄԱՐԱՇ!$D26)</f>
        <v>168750</v>
      </c>
      <c r="H26" s="126"/>
      <c r="I26" s="126"/>
      <c r="J26" s="126">
        <f t="shared" si="11"/>
        <v>33750</v>
      </c>
      <c r="K26" s="126">
        <f>+G26*0.6</f>
        <v>101250</v>
      </c>
      <c r="L26" s="126"/>
      <c r="M26" s="127">
        <f t="shared" si="12"/>
        <v>33750</v>
      </c>
      <c r="O26" s="94">
        <f t="shared" si="1"/>
        <v>0</v>
      </c>
      <c r="T26" s="82"/>
      <c r="U26" s="82"/>
    </row>
    <row r="27" spans="1:21" ht="29.25" customHeight="1">
      <c r="A27" s="105" t="s">
        <v>34</v>
      </c>
      <c r="B27" s="106"/>
      <c r="C27" s="129"/>
      <c r="D27" s="124"/>
      <c r="E27" s="124" t="s">
        <v>8</v>
      </c>
      <c r="F27" s="125">
        <v>243000.00000000003</v>
      </c>
      <c r="G27" s="126">
        <f ca="1">PRODUCT(F27,ՄԱՐԱՇ!$D27)</f>
        <v>243000.00000000003</v>
      </c>
      <c r="H27" s="126"/>
      <c r="I27" s="126"/>
      <c r="J27" s="126">
        <f t="shared" si="11"/>
        <v>48600.000000000007</v>
      </c>
      <c r="K27" s="126">
        <f>+G27*0.6</f>
        <v>145800</v>
      </c>
      <c r="L27" s="126"/>
      <c r="M27" s="127">
        <f t="shared" si="12"/>
        <v>48600.000000000007</v>
      </c>
      <c r="O27" s="94">
        <f t="shared" si="1"/>
        <v>0</v>
      </c>
      <c r="T27" s="82"/>
      <c r="U27" s="82"/>
    </row>
    <row r="28" spans="1:21" ht="27.75" customHeight="1">
      <c r="A28" s="105" t="s">
        <v>35</v>
      </c>
      <c r="B28" s="106"/>
      <c r="C28" s="129" t="s">
        <v>33</v>
      </c>
      <c r="D28" s="124">
        <v>30</v>
      </c>
      <c r="E28" s="124" t="s">
        <v>82</v>
      </c>
      <c r="F28" s="125">
        <v>10800</v>
      </c>
      <c r="G28" s="126">
        <f ca="1">PRODUCT(F28,ՄԱՐԱՇ!$D28)</f>
        <v>324000</v>
      </c>
      <c r="H28" s="126"/>
      <c r="I28" s="126"/>
      <c r="J28" s="126">
        <f t="shared" si="11"/>
        <v>64800</v>
      </c>
      <c r="K28" s="126">
        <f>+G28*0.6</f>
        <v>194400</v>
      </c>
      <c r="L28" s="126"/>
      <c r="M28" s="127">
        <f t="shared" si="12"/>
        <v>64800</v>
      </c>
      <c r="O28" s="94">
        <f t="shared" si="1"/>
        <v>0</v>
      </c>
      <c r="T28" s="82"/>
      <c r="U28" s="82"/>
    </row>
    <row r="29" spans="1:21" ht="27" customHeight="1">
      <c r="A29" s="105" t="s">
        <v>103</v>
      </c>
      <c r="B29" s="106"/>
      <c r="C29" s="129"/>
      <c r="D29" s="124"/>
      <c r="E29" s="124" t="s">
        <v>8</v>
      </c>
      <c r="F29" s="125">
        <v>4596000</v>
      </c>
      <c r="G29" s="126">
        <f ca="1">PRODUCT(F29,ՄԱՐԱՇ!$D29)</f>
        <v>4596000</v>
      </c>
      <c r="H29" s="126"/>
      <c r="I29" s="126"/>
      <c r="J29" s="126">
        <f t="shared" si="11"/>
        <v>919200</v>
      </c>
      <c r="K29" s="126">
        <f>+G29*0.2</f>
        <v>919200</v>
      </c>
      <c r="L29" s="126">
        <f>+G29*0.4</f>
        <v>1838400</v>
      </c>
      <c r="M29" s="127">
        <f t="shared" si="12"/>
        <v>919200</v>
      </c>
      <c r="O29" s="94">
        <f t="shared" si="1"/>
        <v>0</v>
      </c>
      <c r="T29" s="82"/>
      <c r="U29" s="82"/>
    </row>
    <row r="30" spans="1:21" ht="30.75" customHeight="1">
      <c r="A30" s="105" t="s">
        <v>36</v>
      </c>
      <c r="B30" s="106"/>
      <c r="C30" s="129"/>
      <c r="D30" s="124"/>
      <c r="E30" s="124" t="s">
        <v>8</v>
      </c>
      <c r="F30" s="125">
        <v>10000</v>
      </c>
      <c r="G30" s="126">
        <f ca="1">PRODUCT(F30,ՄԱՐԱՇ!$D30)</f>
        <v>10000</v>
      </c>
      <c r="H30" s="126"/>
      <c r="I30" s="126"/>
      <c r="J30" s="126">
        <f t="shared" si="11"/>
        <v>2000</v>
      </c>
      <c r="K30" s="126">
        <f>+G30*0.5</f>
        <v>5000</v>
      </c>
      <c r="L30" s="126">
        <f>+G30*0.3</f>
        <v>3000</v>
      </c>
      <c r="M30" s="127"/>
      <c r="O30" s="94">
        <f t="shared" si="1"/>
        <v>0</v>
      </c>
      <c r="T30" s="82"/>
      <c r="U30" s="82"/>
    </row>
    <row r="31" spans="1:21" ht="30.75" customHeight="1">
      <c r="A31" s="105" t="s">
        <v>37</v>
      </c>
      <c r="B31" s="106"/>
      <c r="C31" s="129"/>
      <c r="D31" s="124"/>
      <c r="E31" s="124" t="s">
        <v>8</v>
      </c>
      <c r="F31" s="125">
        <v>200000</v>
      </c>
      <c r="G31" s="126">
        <f ca="1">PRODUCT(F31,ՄԱՐԱՇ!$D31)</f>
        <v>200000</v>
      </c>
      <c r="H31" s="126"/>
      <c r="I31" s="126"/>
      <c r="J31" s="126">
        <f t="shared" si="11"/>
        <v>40000</v>
      </c>
      <c r="K31" s="126">
        <f>+G31*0.6</f>
        <v>120000</v>
      </c>
      <c r="L31" s="126"/>
      <c r="M31" s="127">
        <f>+G31*0.2</f>
        <v>40000</v>
      </c>
      <c r="O31" s="94">
        <f t="shared" si="1"/>
        <v>0</v>
      </c>
      <c r="T31" s="82"/>
      <c r="U31" s="82"/>
    </row>
    <row r="32" spans="1:21" ht="27" customHeight="1">
      <c r="A32" s="105" t="s">
        <v>61</v>
      </c>
      <c r="B32" s="106"/>
      <c r="C32" s="131"/>
      <c r="D32" s="106"/>
      <c r="E32" s="106" t="s">
        <v>8</v>
      </c>
      <c r="F32" s="125">
        <v>50000</v>
      </c>
      <c r="G32" s="126">
        <f ca="1">PRODUCT(F32,ՄԱՐԱՇ!$D32)</f>
        <v>50000</v>
      </c>
      <c r="H32" s="126"/>
      <c r="I32" s="126"/>
      <c r="J32" s="126">
        <f t="shared" si="11"/>
        <v>10000</v>
      </c>
      <c r="K32" s="126">
        <f>+G32*0.3</f>
        <v>15000</v>
      </c>
      <c r="L32" s="126">
        <f>+G32*0.3</f>
        <v>15000</v>
      </c>
      <c r="M32" s="127">
        <f>+G32*0.2</f>
        <v>10000</v>
      </c>
      <c r="O32" s="94">
        <f t="shared" si="1"/>
        <v>0</v>
      </c>
      <c r="T32" s="82"/>
      <c r="U32" s="82"/>
    </row>
    <row r="33" spans="1:21" ht="30.75" customHeight="1">
      <c r="A33" s="105" t="s">
        <v>38</v>
      </c>
      <c r="B33" s="106"/>
      <c r="C33" s="129"/>
      <c r="D33" s="124"/>
      <c r="E33" s="124" t="s">
        <v>8</v>
      </c>
      <c r="F33" s="125">
        <v>32000</v>
      </c>
      <c r="G33" s="126">
        <f ca="1">PRODUCT(F33,ՄԱՐԱՇ!$D33)</f>
        <v>32000</v>
      </c>
      <c r="H33" s="126"/>
      <c r="I33" s="126"/>
      <c r="J33" s="126">
        <f t="shared" si="11"/>
        <v>6400</v>
      </c>
      <c r="K33" s="126"/>
      <c r="L33" s="126"/>
      <c r="M33" s="127">
        <f>+G33*0.8</f>
        <v>25600</v>
      </c>
      <c r="O33" s="94">
        <f t="shared" si="1"/>
        <v>0</v>
      </c>
      <c r="T33" s="82"/>
      <c r="U33" s="82"/>
    </row>
    <row r="34" spans="1:21" ht="30.75" customHeight="1" thickBot="1">
      <c r="A34" s="121" t="s">
        <v>52</v>
      </c>
      <c r="B34" s="106"/>
      <c r="C34" s="131"/>
      <c r="D34" s="132"/>
      <c r="E34" s="106" t="s">
        <v>8</v>
      </c>
      <c r="F34" s="125">
        <v>400000</v>
      </c>
      <c r="G34" s="1">
        <f ca="1">PRODUCT(F34,ՄԱՐԱՇ!$D34)</f>
        <v>400000</v>
      </c>
      <c r="H34" s="1"/>
      <c r="I34" s="1">
        <f>+G34*0.2</f>
        <v>80000</v>
      </c>
      <c r="J34" s="1">
        <f>+G34*0.4</f>
        <v>160000</v>
      </c>
      <c r="K34" s="1">
        <f>+G34*0.2</f>
        <v>80000</v>
      </c>
      <c r="L34" s="1">
        <f>+G34*0.1</f>
        <v>40000</v>
      </c>
      <c r="M34" s="25">
        <f>+G34*0.1</f>
        <v>40000</v>
      </c>
      <c r="O34" s="94">
        <f t="shared" si="1"/>
        <v>0</v>
      </c>
      <c r="T34" s="82"/>
      <c r="U34" s="82"/>
    </row>
    <row r="35" spans="1:21" ht="33" customHeight="1" thickBot="1">
      <c r="A35" s="196" t="s">
        <v>62</v>
      </c>
      <c r="B35" s="197"/>
      <c r="C35" s="197"/>
      <c r="D35" s="197"/>
      <c r="E35" s="197"/>
      <c r="F35" s="213"/>
      <c r="G35" s="28">
        <f t="shared" ref="G35:M35" si="13">SUBTOTAL(9,G5:G34)</f>
        <v>12322351</v>
      </c>
      <c r="H35" s="28">
        <f t="shared" si="13"/>
        <v>0</v>
      </c>
      <c r="I35" s="28">
        <f t="shared" si="13"/>
        <v>80000</v>
      </c>
      <c r="J35" s="28">
        <f t="shared" si="13"/>
        <v>2544470.2000000002</v>
      </c>
      <c r="K35" s="28">
        <f t="shared" si="13"/>
        <v>5359810.5999999996</v>
      </c>
      <c r="L35" s="28">
        <f t="shared" si="13"/>
        <v>1896400</v>
      </c>
      <c r="M35" s="28">
        <f t="shared" si="13"/>
        <v>2441670.2000000002</v>
      </c>
      <c r="O35" s="94">
        <f t="shared" si="1"/>
        <v>0</v>
      </c>
      <c r="S35" s="136"/>
      <c r="U35" s="82"/>
    </row>
    <row r="37" spans="1:21" ht="18" customHeight="1">
      <c r="G37" s="94"/>
    </row>
  </sheetData>
  <mergeCells count="10">
    <mergeCell ref="G3:G4"/>
    <mergeCell ref="H3:M3"/>
    <mergeCell ref="A35:F35"/>
    <mergeCell ref="A2:M2"/>
    <mergeCell ref="A3:A4"/>
    <mergeCell ref="B3:B4"/>
    <mergeCell ref="C3:C4"/>
    <mergeCell ref="D3:D4"/>
    <mergeCell ref="E3:E4"/>
    <mergeCell ref="F3:F4"/>
  </mergeCells>
  <phoneticPr fontId="0" type="noConversion"/>
  <pageMargins left="0.23622047244094491" right="0.23622047244094491" top="0.47244094488188981" bottom="0" header="0.11811023622047245" footer="0"/>
  <pageSetup paperSize="9" scale="52" fitToWidth="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T44"/>
  <sheetViews>
    <sheetView showGridLines="0" view="pageBreakPreview" zoomScale="60" zoomScaleNormal="70" zoomScalePageLayoutView="120" workbookViewId="0">
      <selection sqref="A1:IV65536"/>
    </sheetView>
  </sheetViews>
  <sheetFormatPr defaultColWidth="10.875" defaultRowHeight="18" customHeight="1"/>
  <cols>
    <col min="1" max="1" width="20.625" style="82" customWidth="1"/>
    <col min="2" max="2" width="36.375" style="82" customWidth="1"/>
    <col min="3" max="3" width="23.75" style="169" customWidth="1"/>
    <col min="4" max="4" width="8.875" style="82" customWidth="1"/>
    <col min="5" max="5" width="18.375" style="82" customWidth="1"/>
    <col min="6" max="6" width="16.125" style="82" customWidth="1"/>
    <col min="7" max="7" width="17.125" style="82" customWidth="1"/>
    <col min="8" max="8" width="18.375" style="82" customWidth="1"/>
    <col min="9" max="9" width="21.125" style="82" customWidth="1"/>
    <col min="10" max="10" width="19.125" style="82" customWidth="1"/>
    <col min="11" max="11" width="17.375" style="82" customWidth="1"/>
    <col min="12" max="12" width="17" style="82" customWidth="1"/>
    <col min="13" max="13" width="18" style="82" customWidth="1"/>
    <col min="14" max="14" width="10.875" style="82"/>
    <col min="15" max="15" width="17.875" style="82" customWidth="1"/>
    <col min="16" max="18" width="10.875" style="82"/>
    <col min="19" max="20" width="10.875" style="136"/>
    <col min="21" max="16384" width="10.875" style="82"/>
  </cols>
  <sheetData>
    <row r="1" spans="1:20" ht="29.25" customHeight="1">
      <c r="M1" s="184" t="s">
        <v>98</v>
      </c>
    </row>
    <row r="2" spans="1:20" ht="40.5" customHeight="1" thickBot="1">
      <c r="A2" s="198" t="s">
        <v>46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S2" s="82"/>
      <c r="T2" s="82"/>
    </row>
    <row r="3" spans="1:20" ht="26.25" customHeight="1">
      <c r="A3" s="199" t="s">
        <v>13</v>
      </c>
      <c r="B3" s="201" t="s">
        <v>65</v>
      </c>
      <c r="C3" s="203" t="s">
        <v>16</v>
      </c>
      <c r="D3" s="205" t="s">
        <v>14</v>
      </c>
      <c r="E3" s="207" t="s">
        <v>15</v>
      </c>
      <c r="F3" s="209" t="s">
        <v>63</v>
      </c>
      <c r="G3" s="192" t="s">
        <v>64</v>
      </c>
      <c r="H3" s="211" t="s">
        <v>60</v>
      </c>
      <c r="I3" s="194"/>
      <c r="J3" s="194"/>
      <c r="K3" s="194"/>
      <c r="L3" s="194"/>
      <c r="M3" s="195"/>
      <c r="S3" s="82"/>
      <c r="T3" s="82"/>
    </row>
    <row r="4" spans="1:20" s="88" customFormat="1" ht="24" customHeight="1" thickBot="1">
      <c r="A4" s="200"/>
      <c r="B4" s="202"/>
      <c r="C4" s="204"/>
      <c r="D4" s="206"/>
      <c r="E4" s="208"/>
      <c r="F4" s="210"/>
      <c r="G4" s="193"/>
      <c r="H4" s="83">
        <v>2018</v>
      </c>
      <c r="I4" s="84">
        <v>2019</v>
      </c>
      <c r="J4" s="84">
        <v>2020</v>
      </c>
      <c r="K4" s="85">
        <v>2021</v>
      </c>
      <c r="L4" s="86">
        <v>2022</v>
      </c>
      <c r="M4" s="87">
        <v>2023</v>
      </c>
    </row>
    <row r="5" spans="1:20" ht="20.25" customHeight="1">
      <c r="A5" s="138" t="s">
        <v>88</v>
      </c>
      <c r="B5" s="139"/>
      <c r="C5" s="140"/>
      <c r="D5" s="139"/>
      <c r="E5" s="141"/>
      <c r="F5" s="142"/>
      <c r="G5" s="10">
        <f>SUBTOTAL(9,G6:G11)</f>
        <v>1246785</v>
      </c>
      <c r="H5" s="26">
        <f>SUBTOTAL(9,H6:H10)</f>
        <v>0</v>
      </c>
      <c r="I5" s="26">
        <f>SUBTOTAL(9,I6:I10)</f>
        <v>0</v>
      </c>
      <c r="J5" s="26">
        <f>SUBTOTAL(9,J6:J11)</f>
        <v>249357</v>
      </c>
      <c r="K5" s="26">
        <f>SUBTOTAL(9,K6:K11)</f>
        <v>748071</v>
      </c>
      <c r="L5" s="26">
        <f>SUBTOTAL(9,L6:L11)</f>
        <v>249357</v>
      </c>
      <c r="M5" s="26">
        <f>SUBTOTAL(9,M6:M10)</f>
        <v>0</v>
      </c>
      <c r="O5" s="94">
        <f>SUM(H5:M5)-G5</f>
        <v>0</v>
      </c>
      <c r="S5" s="82"/>
      <c r="T5" s="82"/>
    </row>
    <row r="6" spans="1:20" ht="21" customHeight="1">
      <c r="A6" s="95"/>
      <c r="B6" s="96" t="s">
        <v>18</v>
      </c>
      <c r="C6" s="97" t="s">
        <v>21</v>
      </c>
      <c r="D6" s="98">
        <v>12</v>
      </c>
      <c r="E6" s="143" t="s">
        <v>22</v>
      </c>
      <c r="F6" s="12">
        <v>4425</v>
      </c>
      <c r="G6" s="5">
        <f ca="1">PRODUCT(F6,ԵՂԵԳՆԱՁՈՐ!$D6)</f>
        <v>53100</v>
      </c>
      <c r="H6" s="100"/>
      <c r="I6" s="100"/>
      <c r="J6" s="100">
        <f t="shared" ref="J6:J11" si="0">+G6*0.2</f>
        <v>10620</v>
      </c>
      <c r="K6" s="100">
        <f t="shared" ref="K6:K11" si="1">+G6*0.6</f>
        <v>31860</v>
      </c>
      <c r="L6" s="100">
        <f t="shared" ref="L6:L11" si="2">+G6*0.2</f>
        <v>10620</v>
      </c>
      <c r="M6" s="144"/>
      <c r="O6" s="94">
        <f t="shared" ref="O6:O42" si="3">SUM(H6:M6)-G6</f>
        <v>0</v>
      </c>
      <c r="S6" s="82"/>
      <c r="T6" s="82"/>
    </row>
    <row r="7" spans="1:20" ht="20.25" customHeight="1">
      <c r="A7" s="95"/>
      <c r="B7" s="96" t="s">
        <v>9</v>
      </c>
      <c r="C7" s="97" t="s">
        <v>21</v>
      </c>
      <c r="D7" s="98">
        <v>18</v>
      </c>
      <c r="E7" s="143" t="s">
        <v>22</v>
      </c>
      <c r="F7" s="12">
        <v>8475</v>
      </c>
      <c r="G7" s="5">
        <f ca="1">PRODUCT(F7,ԵՂԵԳՆԱՁՈՐ!$D7)</f>
        <v>152550</v>
      </c>
      <c r="H7" s="100"/>
      <c r="I7" s="100"/>
      <c r="J7" s="100">
        <f t="shared" si="0"/>
        <v>30510</v>
      </c>
      <c r="K7" s="100">
        <f t="shared" si="1"/>
        <v>91530</v>
      </c>
      <c r="L7" s="100">
        <f t="shared" si="2"/>
        <v>30510</v>
      </c>
      <c r="M7" s="144"/>
      <c r="O7" s="94">
        <f t="shared" si="3"/>
        <v>0</v>
      </c>
      <c r="S7" s="82"/>
      <c r="T7" s="82"/>
    </row>
    <row r="8" spans="1:20" ht="24" customHeight="1">
      <c r="A8" s="95"/>
      <c r="B8" s="96" t="s">
        <v>19</v>
      </c>
      <c r="C8" s="97" t="s">
        <v>21</v>
      </c>
      <c r="D8" s="98">
        <v>27</v>
      </c>
      <c r="E8" s="143" t="s">
        <v>22</v>
      </c>
      <c r="F8" s="12">
        <v>10175</v>
      </c>
      <c r="G8" s="5">
        <f ca="1">PRODUCT(F8,ԵՂԵԳՆԱՁՈՐ!$D8)</f>
        <v>274725</v>
      </c>
      <c r="H8" s="100"/>
      <c r="I8" s="100"/>
      <c r="J8" s="100">
        <f t="shared" si="0"/>
        <v>54945</v>
      </c>
      <c r="K8" s="100">
        <f t="shared" si="1"/>
        <v>164835</v>
      </c>
      <c r="L8" s="100">
        <f t="shared" si="2"/>
        <v>54945</v>
      </c>
      <c r="M8" s="144"/>
      <c r="O8" s="94">
        <f t="shared" si="3"/>
        <v>0</v>
      </c>
      <c r="S8" s="82"/>
      <c r="T8" s="82"/>
    </row>
    <row r="9" spans="1:20" ht="22.5" customHeight="1">
      <c r="A9" s="95"/>
      <c r="B9" s="96" t="s">
        <v>20</v>
      </c>
      <c r="C9" s="97" t="s">
        <v>21</v>
      </c>
      <c r="D9" s="98">
        <v>45</v>
      </c>
      <c r="E9" s="143" t="s">
        <v>22</v>
      </c>
      <c r="F9" s="12">
        <v>2148</v>
      </c>
      <c r="G9" s="5">
        <f ca="1">PRODUCT(F9,ԵՂԵԳՆԱՁՈՐ!$D9)</f>
        <v>96660</v>
      </c>
      <c r="H9" s="100"/>
      <c r="I9" s="100"/>
      <c r="J9" s="100">
        <f t="shared" si="0"/>
        <v>19332</v>
      </c>
      <c r="K9" s="100">
        <f t="shared" si="1"/>
        <v>57996</v>
      </c>
      <c r="L9" s="100">
        <f t="shared" si="2"/>
        <v>19332</v>
      </c>
      <c r="M9" s="144"/>
      <c r="O9" s="94">
        <f t="shared" si="3"/>
        <v>0</v>
      </c>
      <c r="S9" s="82"/>
      <c r="T9" s="82"/>
    </row>
    <row r="10" spans="1:20" ht="24.75" customHeight="1">
      <c r="A10" s="95"/>
      <c r="B10" s="96" t="s">
        <v>10</v>
      </c>
      <c r="C10" s="97"/>
      <c r="D10" s="98">
        <v>7</v>
      </c>
      <c r="E10" s="143" t="s">
        <v>22</v>
      </c>
      <c r="F10" s="12">
        <v>74250</v>
      </c>
      <c r="G10" s="5">
        <f ca="1">PRODUCT(F10,ԵՂԵԳՆԱՁՈՐ!$D10)</f>
        <v>519750</v>
      </c>
      <c r="H10" s="100"/>
      <c r="I10" s="100"/>
      <c r="J10" s="100">
        <f t="shared" si="0"/>
        <v>103950</v>
      </c>
      <c r="K10" s="100">
        <f t="shared" si="1"/>
        <v>311850</v>
      </c>
      <c r="L10" s="100">
        <f t="shared" si="2"/>
        <v>103950</v>
      </c>
      <c r="M10" s="144"/>
      <c r="O10" s="94">
        <f t="shared" si="3"/>
        <v>0</v>
      </c>
      <c r="S10" s="82"/>
      <c r="T10" s="82"/>
    </row>
    <row r="11" spans="1:20" ht="26.25" customHeight="1">
      <c r="A11" s="95"/>
      <c r="B11" s="96" t="s">
        <v>85</v>
      </c>
      <c r="C11" s="97"/>
      <c r="D11" s="98">
        <v>1</v>
      </c>
      <c r="E11" s="143" t="s">
        <v>22</v>
      </c>
      <c r="F11" s="46">
        <v>150000</v>
      </c>
      <c r="G11" s="5">
        <f ca="1">PRODUCT(F11,ԵՂԵԳՆԱՁՈՐ!$D11)</f>
        <v>150000</v>
      </c>
      <c r="H11" s="145"/>
      <c r="I11" s="145"/>
      <c r="J11" s="100">
        <f t="shared" si="0"/>
        <v>30000</v>
      </c>
      <c r="K11" s="100">
        <f t="shared" si="1"/>
        <v>90000</v>
      </c>
      <c r="L11" s="100">
        <f t="shared" si="2"/>
        <v>30000</v>
      </c>
      <c r="M11" s="146"/>
      <c r="O11" s="94">
        <f t="shared" si="3"/>
        <v>0</v>
      </c>
      <c r="S11" s="82"/>
      <c r="T11" s="82"/>
    </row>
    <row r="12" spans="1:20" ht="21.75" customHeight="1">
      <c r="A12" s="105" t="s">
        <v>17</v>
      </c>
      <c r="B12" s="106"/>
      <c r="C12" s="107"/>
      <c r="D12" s="106"/>
      <c r="E12" s="147"/>
      <c r="F12" s="108"/>
      <c r="G12" s="1">
        <f t="shared" ref="G12:M12" si="4">SUBTOTAL(9,G13:G16)</f>
        <v>2251025</v>
      </c>
      <c r="H12" s="25">
        <f t="shared" si="4"/>
        <v>0</v>
      </c>
      <c r="I12" s="25">
        <f t="shared" si="4"/>
        <v>0</v>
      </c>
      <c r="J12" s="25">
        <f t="shared" si="4"/>
        <v>450205</v>
      </c>
      <c r="K12" s="25">
        <f t="shared" si="4"/>
        <v>1350615</v>
      </c>
      <c r="L12" s="25">
        <f t="shared" si="4"/>
        <v>450205</v>
      </c>
      <c r="M12" s="25">
        <f t="shared" si="4"/>
        <v>0</v>
      </c>
      <c r="O12" s="94">
        <f t="shared" si="3"/>
        <v>0</v>
      </c>
      <c r="S12" s="82"/>
      <c r="T12" s="82"/>
    </row>
    <row r="13" spans="1:20" ht="37.5" customHeight="1">
      <c r="A13" s="95"/>
      <c r="B13" s="109" t="s">
        <v>23</v>
      </c>
      <c r="C13" s="110" t="s">
        <v>55</v>
      </c>
      <c r="D13" s="98">
        <v>1</v>
      </c>
      <c r="E13" s="143" t="s">
        <v>22</v>
      </c>
      <c r="F13" s="12">
        <v>1142000</v>
      </c>
      <c r="G13" s="5">
        <f ca="1">PRODUCT(F13,ԵՂԵԳՆԱՁՈՐ!$D13)</f>
        <v>1142000</v>
      </c>
      <c r="H13" s="100"/>
      <c r="I13" s="100"/>
      <c r="J13" s="100">
        <f>+G13*0.2</f>
        <v>228400</v>
      </c>
      <c r="K13" s="100">
        <f>+G13*0.6</f>
        <v>685200</v>
      </c>
      <c r="L13" s="100">
        <f>+G13*0.2</f>
        <v>228400</v>
      </c>
      <c r="M13" s="144"/>
      <c r="O13" s="94">
        <f t="shared" si="3"/>
        <v>0</v>
      </c>
      <c r="S13" s="82"/>
      <c r="T13" s="82"/>
    </row>
    <row r="14" spans="1:20" ht="37.5" customHeight="1">
      <c r="A14" s="95"/>
      <c r="B14" s="148" t="s">
        <v>24</v>
      </c>
      <c r="C14" s="112" t="s">
        <v>6</v>
      </c>
      <c r="D14" s="113">
        <v>2</v>
      </c>
      <c r="E14" s="149" t="s">
        <v>22</v>
      </c>
      <c r="F14" s="115">
        <v>540000</v>
      </c>
      <c r="G14" s="8">
        <f ca="1">PRODUCT(F14,ԵՂԵԳՆԱՁՈՐ!$D14)</f>
        <v>1080000</v>
      </c>
      <c r="H14" s="116"/>
      <c r="I14" s="116"/>
      <c r="J14" s="100">
        <f>+G14*0.2</f>
        <v>216000</v>
      </c>
      <c r="K14" s="100">
        <f>+G14*0.6</f>
        <v>648000</v>
      </c>
      <c r="L14" s="100">
        <f>+G14*0.2</f>
        <v>216000</v>
      </c>
      <c r="M14" s="150"/>
      <c r="O14" s="94">
        <f t="shared" si="3"/>
        <v>0</v>
      </c>
      <c r="S14" s="82"/>
      <c r="T14" s="82"/>
    </row>
    <row r="15" spans="1:20" ht="27" customHeight="1">
      <c r="A15" s="95"/>
      <c r="B15" s="109" t="s">
        <v>59</v>
      </c>
      <c r="C15" s="110" t="s">
        <v>2</v>
      </c>
      <c r="D15" s="98">
        <v>1</v>
      </c>
      <c r="E15" s="143" t="s">
        <v>22</v>
      </c>
      <c r="F15" s="12">
        <v>15525.000000000002</v>
      </c>
      <c r="G15" s="5">
        <f ca="1">PRODUCT(F15,ԵՂԵԳՆԱՁՈՐ!$D15)</f>
        <v>15525.000000000002</v>
      </c>
      <c r="H15" s="100"/>
      <c r="I15" s="100"/>
      <c r="J15" s="100">
        <f>+G15*0.2</f>
        <v>3105.0000000000005</v>
      </c>
      <c r="K15" s="100">
        <f>+G15*0.6</f>
        <v>9315</v>
      </c>
      <c r="L15" s="100">
        <f>+G15*0.2</f>
        <v>3105.0000000000005</v>
      </c>
      <c r="M15" s="144"/>
      <c r="O15" s="94">
        <f t="shared" si="3"/>
        <v>0</v>
      </c>
      <c r="S15" s="82"/>
      <c r="T15" s="82"/>
    </row>
    <row r="16" spans="1:20" ht="27.75" customHeight="1">
      <c r="A16" s="95"/>
      <c r="B16" s="109" t="s">
        <v>59</v>
      </c>
      <c r="C16" s="110" t="s">
        <v>3</v>
      </c>
      <c r="D16" s="98">
        <v>1</v>
      </c>
      <c r="E16" s="143" t="s">
        <v>22</v>
      </c>
      <c r="F16" s="12">
        <v>13500</v>
      </c>
      <c r="G16" s="5">
        <f ca="1">PRODUCT(F16,ԵՂԵԳՆԱՁՈՐ!$D16)</f>
        <v>13500</v>
      </c>
      <c r="H16" s="100"/>
      <c r="I16" s="100"/>
      <c r="J16" s="100">
        <f>+G16*0.2</f>
        <v>2700</v>
      </c>
      <c r="K16" s="100">
        <f>+G16*0.6</f>
        <v>8100</v>
      </c>
      <c r="L16" s="100">
        <f>+G16*0.2</f>
        <v>2700</v>
      </c>
      <c r="M16" s="144"/>
      <c r="O16" s="94">
        <f t="shared" si="3"/>
        <v>0</v>
      </c>
      <c r="S16" s="82"/>
      <c r="T16" s="82"/>
    </row>
    <row r="17" spans="1:20" ht="24.75" customHeight="1">
      <c r="A17" s="105" t="s">
        <v>87</v>
      </c>
      <c r="B17" s="106"/>
      <c r="C17" s="107"/>
      <c r="D17" s="106"/>
      <c r="E17" s="147"/>
      <c r="F17" s="108"/>
      <c r="G17" s="1">
        <f ca="1">SUBTOTAL(9,G18:G24)</f>
        <v>912925</v>
      </c>
      <c r="H17" s="25">
        <f>SUBTOTAL(9,H18:H23)</f>
        <v>0</v>
      </c>
      <c r="I17" s="25">
        <f>SUBTOTAL(9,I18:I23)</f>
        <v>0</v>
      </c>
      <c r="J17" s="25">
        <f>SUBTOTAL(9,J18:J24)</f>
        <v>182585</v>
      </c>
      <c r="K17" s="25">
        <f>SUBTOTAL(9,K18:K24)</f>
        <v>547755</v>
      </c>
      <c r="L17" s="25">
        <f>SUBTOTAL(9,L18:L24)</f>
        <v>182585</v>
      </c>
      <c r="M17" s="25">
        <f>SUBTOTAL(9,M18:M23)</f>
        <v>0</v>
      </c>
      <c r="O17" s="94">
        <f t="shared" si="3"/>
        <v>0</v>
      </c>
      <c r="S17" s="82"/>
      <c r="T17" s="82"/>
    </row>
    <row r="18" spans="1:20" ht="20.25" customHeight="1">
      <c r="A18" s="95"/>
      <c r="B18" s="96" t="s">
        <v>26</v>
      </c>
      <c r="C18" s="97" t="s">
        <v>31</v>
      </c>
      <c r="D18" s="98">
        <v>5</v>
      </c>
      <c r="E18" s="143" t="s">
        <v>22</v>
      </c>
      <c r="F18" s="12">
        <v>40900</v>
      </c>
      <c r="G18" s="5">
        <f ca="1">PRODUCT(F18,ԵՂԵԳՆԱՁՈՐ!$D18)</f>
        <v>204500</v>
      </c>
      <c r="H18" s="100"/>
      <c r="I18" s="100"/>
      <c r="J18" s="100">
        <f t="shared" ref="J18:J24" si="5">+G18*0.2</f>
        <v>40900</v>
      </c>
      <c r="K18" s="100">
        <f t="shared" ref="K18:K24" si="6">+G18*0.6</f>
        <v>122700</v>
      </c>
      <c r="L18" s="100">
        <f t="shared" ref="L18:L24" si="7">+G18*0.2</f>
        <v>40900</v>
      </c>
      <c r="M18" s="144"/>
      <c r="O18" s="94">
        <f t="shared" si="3"/>
        <v>0</v>
      </c>
      <c r="S18" s="82"/>
      <c r="T18" s="82"/>
    </row>
    <row r="19" spans="1:20" ht="20.25" customHeight="1">
      <c r="A19" s="95"/>
      <c r="B19" s="96" t="s">
        <v>28</v>
      </c>
      <c r="C19" s="97" t="s">
        <v>32</v>
      </c>
      <c r="D19" s="98">
        <v>12</v>
      </c>
      <c r="E19" s="143" t="s">
        <v>22</v>
      </c>
      <c r="F19" s="12">
        <v>3780.0000000000005</v>
      </c>
      <c r="G19" s="5">
        <f ca="1">PRODUCT(F19,ԵՂԵԳՆԱՁՈՐ!$D19)</f>
        <v>45360.000000000007</v>
      </c>
      <c r="H19" s="100"/>
      <c r="I19" s="100"/>
      <c r="J19" s="100">
        <f t="shared" si="5"/>
        <v>9072.0000000000018</v>
      </c>
      <c r="K19" s="100">
        <f t="shared" si="6"/>
        <v>27216.000000000004</v>
      </c>
      <c r="L19" s="100">
        <f t="shared" si="7"/>
        <v>9072.0000000000018</v>
      </c>
      <c r="M19" s="144"/>
      <c r="O19" s="94">
        <f t="shared" si="3"/>
        <v>0</v>
      </c>
      <c r="S19" s="82"/>
      <c r="T19" s="82"/>
    </row>
    <row r="20" spans="1:20" ht="21.75" customHeight="1">
      <c r="A20" s="95"/>
      <c r="B20" s="96" t="s">
        <v>9</v>
      </c>
      <c r="C20" s="97" t="s">
        <v>32</v>
      </c>
      <c r="D20" s="98">
        <v>6</v>
      </c>
      <c r="E20" s="143" t="s">
        <v>22</v>
      </c>
      <c r="F20" s="12">
        <v>7550</v>
      </c>
      <c r="G20" s="5">
        <f ca="1">PRODUCT(F20,ԵՂԵԳՆԱՁՈՐ!$D20)</f>
        <v>45300</v>
      </c>
      <c r="H20" s="100"/>
      <c r="I20" s="100"/>
      <c r="J20" s="100">
        <f t="shared" si="5"/>
        <v>9060</v>
      </c>
      <c r="K20" s="100">
        <f t="shared" si="6"/>
        <v>27180</v>
      </c>
      <c r="L20" s="100">
        <f t="shared" si="7"/>
        <v>9060</v>
      </c>
      <c r="M20" s="144"/>
      <c r="O20" s="94">
        <f t="shared" si="3"/>
        <v>0</v>
      </c>
      <c r="S20" s="82"/>
      <c r="T20" s="82"/>
    </row>
    <row r="21" spans="1:20" ht="24" customHeight="1">
      <c r="A21" s="95"/>
      <c r="B21" s="96" t="s">
        <v>19</v>
      </c>
      <c r="C21" s="97" t="s">
        <v>32</v>
      </c>
      <c r="D21" s="98">
        <v>15</v>
      </c>
      <c r="E21" s="143" t="s">
        <v>22</v>
      </c>
      <c r="F21" s="12">
        <v>8775</v>
      </c>
      <c r="G21" s="5">
        <f ca="1">PRODUCT(F21,ԵՂԵԳՆԱՁՈՐ!$D21)</f>
        <v>131625</v>
      </c>
      <c r="H21" s="100"/>
      <c r="I21" s="100"/>
      <c r="J21" s="100">
        <f t="shared" si="5"/>
        <v>26325</v>
      </c>
      <c r="K21" s="100">
        <f t="shared" si="6"/>
        <v>78975</v>
      </c>
      <c r="L21" s="100">
        <f t="shared" si="7"/>
        <v>26325</v>
      </c>
      <c r="M21" s="144"/>
      <c r="O21" s="94">
        <f t="shared" si="3"/>
        <v>0</v>
      </c>
      <c r="S21" s="82"/>
      <c r="T21" s="82"/>
    </row>
    <row r="22" spans="1:20" ht="20.25" customHeight="1">
      <c r="A22" s="95"/>
      <c r="B22" s="96" t="s">
        <v>29</v>
      </c>
      <c r="C22" s="97" t="s">
        <v>32</v>
      </c>
      <c r="D22" s="98">
        <v>65</v>
      </c>
      <c r="E22" s="143" t="s">
        <v>22</v>
      </c>
      <c r="F22" s="12">
        <v>1306</v>
      </c>
      <c r="G22" s="5">
        <f ca="1">PRODUCT(F22,ԵՂԵԳՆԱՁՈՐ!$D22)</f>
        <v>84890</v>
      </c>
      <c r="H22" s="100"/>
      <c r="I22" s="100"/>
      <c r="J22" s="100">
        <f t="shared" si="5"/>
        <v>16978</v>
      </c>
      <c r="K22" s="100">
        <f t="shared" si="6"/>
        <v>50934</v>
      </c>
      <c r="L22" s="100">
        <f t="shared" si="7"/>
        <v>16978</v>
      </c>
      <c r="M22" s="144"/>
      <c r="O22" s="94">
        <f t="shared" si="3"/>
        <v>0</v>
      </c>
      <c r="S22" s="82"/>
      <c r="T22" s="82"/>
    </row>
    <row r="23" spans="1:20" ht="23.25" customHeight="1">
      <c r="A23" s="95"/>
      <c r="B23" s="96" t="s">
        <v>10</v>
      </c>
      <c r="C23" s="97"/>
      <c r="D23" s="98">
        <v>5</v>
      </c>
      <c r="E23" s="143" t="s">
        <v>22</v>
      </c>
      <c r="F23" s="12">
        <v>54250</v>
      </c>
      <c r="G23" s="5">
        <f ca="1">PRODUCT(F23,ԵՂԵԳՆԱՁՈՐ!$D23)</f>
        <v>271250</v>
      </c>
      <c r="H23" s="100"/>
      <c r="I23" s="100"/>
      <c r="J23" s="100">
        <f t="shared" si="5"/>
        <v>54250</v>
      </c>
      <c r="K23" s="100">
        <f t="shared" si="6"/>
        <v>162750</v>
      </c>
      <c r="L23" s="100">
        <f t="shared" si="7"/>
        <v>54250</v>
      </c>
      <c r="M23" s="144"/>
      <c r="O23" s="94">
        <f t="shared" si="3"/>
        <v>0</v>
      </c>
      <c r="S23" s="82"/>
      <c r="T23" s="82"/>
    </row>
    <row r="24" spans="1:20" ht="22.5" customHeight="1">
      <c r="A24" s="102"/>
      <c r="B24" s="96" t="s">
        <v>85</v>
      </c>
      <c r="C24" s="103"/>
      <c r="D24" s="104">
        <v>1</v>
      </c>
      <c r="E24" s="151" t="s">
        <v>22</v>
      </c>
      <c r="F24" s="46">
        <v>130000</v>
      </c>
      <c r="G24" s="5">
        <f ca="1">PRODUCT(F24,ԵՂԵԳՆԱՁՈՐ!$D24)</f>
        <v>130000</v>
      </c>
      <c r="H24" s="145"/>
      <c r="I24" s="145"/>
      <c r="J24" s="100">
        <f t="shared" si="5"/>
        <v>26000</v>
      </c>
      <c r="K24" s="100">
        <f t="shared" si="6"/>
        <v>78000</v>
      </c>
      <c r="L24" s="100">
        <f t="shared" si="7"/>
        <v>26000</v>
      </c>
      <c r="M24" s="146"/>
      <c r="O24" s="94">
        <f t="shared" si="3"/>
        <v>0</v>
      </c>
      <c r="S24" s="82"/>
      <c r="T24" s="82"/>
    </row>
    <row r="25" spans="1:20" ht="23.25" customHeight="1">
      <c r="A25" s="105" t="s">
        <v>86</v>
      </c>
      <c r="B25" s="106"/>
      <c r="C25" s="107"/>
      <c r="D25" s="106"/>
      <c r="E25" s="147"/>
      <c r="F25" s="108"/>
      <c r="G25" s="1">
        <f ca="1">SUBTOTAL(9,G26:G32)</f>
        <v>708130</v>
      </c>
      <c r="H25" s="25">
        <f>SUBTOTAL(9,H26:H31)</f>
        <v>0</v>
      </c>
      <c r="I25" s="25">
        <f>SUBTOTAL(9,I26:I31)</f>
        <v>0</v>
      </c>
      <c r="J25" s="25">
        <f>SUBTOTAL(9,J26:J32)</f>
        <v>141626</v>
      </c>
      <c r="K25" s="25">
        <f>SUBTOTAL(9,K26:K32)</f>
        <v>424878</v>
      </c>
      <c r="L25" s="25">
        <f>SUBTOTAL(9,L26:L32)</f>
        <v>141626</v>
      </c>
      <c r="M25" s="25">
        <f>SUBTOTAL(9,M26:M31)</f>
        <v>0</v>
      </c>
      <c r="O25" s="94">
        <f t="shared" si="3"/>
        <v>0</v>
      </c>
      <c r="S25" s="82"/>
      <c r="T25" s="82"/>
    </row>
    <row r="26" spans="1:20" ht="21" customHeight="1">
      <c r="A26" s="95"/>
      <c r="B26" s="96" t="s">
        <v>26</v>
      </c>
      <c r="C26" s="97" t="s">
        <v>30</v>
      </c>
      <c r="D26" s="98">
        <v>9</v>
      </c>
      <c r="E26" s="143" t="s">
        <v>22</v>
      </c>
      <c r="F26" s="12">
        <v>16875</v>
      </c>
      <c r="G26" s="5">
        <f ca="1">PRODUCT(F26,ԵՂԵԳՆԱՁՈՐ!$D26)</f>
        <v>151875</v>
      </c>
      <c r="H26" s="100"/>
      <c r="I26" s="100"/>
      <c r="J26" s="100">
        <f t="shared" ref="J26:J34" si="8">+G26*0.2</f>
        <v>30375</v>
      </c>
      <c r="K26" s="100">
        <f t="shared" ref="K26:K35" si="9">+G26*0.6</f>
        <v>91125</v>
      </c>
      <c r="L26" s="100">
        <f t="shared" ref="L26:L35" si="10">+G26*0.2</f>
        <v>30375</v>
      </c>
      <c r="M26" s="144"/>
      <c r="O26" s="94">
        <f t="shared" si="3"/>
        <v>0</v>
      </c>
      <c r="S26" s="82"/>
      <c r="T26" s="82"/>
    </row>
    <row r="27" spans="1:20" ht="21" customHeight="1">
      <c r="A27" s="152"/>
      <c r="B27" s="101" t="s">
        <v>27</v>
      </c>
      <c r="C27" s="153" t="s">
        <v>30</v>
      </c>
      <c r="D27" s="113">
        <v>34</v>
      </c>
      <c r="E27" s="143" t="s">
        <v>22</v>
      </c>
      <c r="F27" s="115">
        <v>8775</v>
      </c>
      <c r="G27" s="5">
        <f ca="1">PRODUCT(F27,ԵՂԵԳՆԱՁՈՐ!$D27)</f>
        <v>298350</v>
      </c>
      <c r="H27" s="116"/>
      <c r="I27" s="116"/>
      <c r="J27" s="100">
        <f t="shared" si="8"/>
        <v>59670</v>
      </c>
      <c r="K27" s="100">
        <f t="shared" si="9"/>
        <v>179010</v>
      </c>
      <c r="L27" s="100">
        <f t="shared" si="10"/>
        <v>59670</v>
      </c>
      <c r="M27" s="150"/>
      <c r="O27" s="94">
        <f t="shared" si="3"/>
        <v>0</v>
      </c>
      <c r="S27" s="82"/>
      <c r="T27" s="82"/>
    </row>
    <row r="28" spans="1:20" ht="21" customHeight="1">
      <c r="A28" s="152"/>
      <c r="B28" s="101" t="s">
        <v>28</v>
      </c>
      <c r="C28" s="153" t="s">
        <v>30</v>
      </c>
      <c r="D28" s="113">
        <v>6</v>
      </c>
      <c r="E28" s="143" t="s">
        <v>22</v>
      </c>
      <c r="F28" s="115">
        <v>1277.5</v>
      </c>
      <c r="G28" s="5">
        <f ca="1">PRODUCT(F28,ԵՂԵԳՆԱՁՈՐ!$D28)</f>
        <v>7665</v>
      </c>
      <c r="H28" s="116"/>
      <c r="I28" s="116"/>
      <c r="J28" s="100">
        <f t="shared" si="8"/>
        <v>1533</v>
      </c>
      <c r="K28" s="100">
        <f t="shared" si="9"/>
        <v>4599</v>
      </c>
      <c r="L28" s="100">
        <f t="shared" si="10"/>
        <v>1533</v>
      </c>
      <c r="M28" s="150"/>
      <c r="O28" s="94">
        <f t="shared" si="3"/>
        <v>0</v>
      </c>
      <c r="S28" s="82"/>
      <c r="T28" s="82"/>
    </row>
    <row r="29" spans="1:20" ht="24" customHeight="1">
      <c r="A29" s="152"/>
      <c r="B29" s="101" t="s">
        <v>9</v>
      </c>
      <c r="C29" s="153" t="s">
        <v>30</v>
      </c>
      <c r="D29" s="113">
        <v>2</v>
      </c>
      <c r="E29" s="143" t="s">
        <v>22</v>
      </c>
      <c r="F29" s="115">
        <v>5400</v>
      </c>
      <c r="G29" s="5">
        <f ca="1">PRODUCT(F29,ԵՂԵԳՆԱՁՈՐ!$D29)</f>
        <v>10800</v>
      </c>
      <c r="H29" s="116"/>
      <c r="I29" s="116"/>
      <c r="J29" s="100">
        <f t="shared" si="8"/>
        <v>2160</v>
      </c>
      <c r="K29" s="100">
        <f t="shared" si="9"/>
        <v>6480</v>
      </c>
      <c r="L29" s="100">
        <f t="shared" si="10"/>
        <v>2160</v>
      </c>
      <c r="M29" s="150"/>
      <c r="O29" s="94">
        <f t="shared" si="3"/>
        <v>0</v>
      </c>
      <c r="S29" s="82"/>
      <c r="T29" s="82"/>
    </row>
    <row r="30" spans="1:20" ht="24" customHeight="1">
      <c r="A30" s="152"/>
      <c r="B30" s="96" t="s">
        <v>19</v>
      </c>
      <c r="C30" s="153" t="s">
        <v>30</v>
      </c>
      <c r="D30" s="113">
        <v>16</v>
      </c>
      <c r="E30" s="143" t="s">
        <v>22</v>
      </c>
      <c r="F30" s="115">
        <v>7600</v>
      </c>
      <c r="G30" s="5">
        <f ca="1">PRODUCT(F30,ԵՂԵԳՆԱՁՈՐ!$D30)</f>
        <v>121600</v>
      </c>
      <c r="H30" s="116"/>
      <c r="I30" s="116"/>
      <c r="J30" s="100">
        <f t="shared" si="8"/>
        <v>24320</v>
      </c>
      <c r="K30" s="100">
        <f t="shared" si="9"/>
        <v>72960</v>
      </c>
      <c r="L30" s="100">
        <f t="shared" si="10"/>
        <v>24320</v>
      </c>
      <c r="M30" s="150"/>
      <c r="O30" s="94">
        <f t="shared" si="3"/>
        <v>0</v>
      </c>
      <c r="S30" s="82"/>
      <c r="T30" s="82"/>
    </row>
    <row r="31" spans="1:20" ht="23.25" customHeight="1">
      <c r="A31" s="95"/>
      <c r="B31" s="101" t="s">
        <v>29</v>
      </c>
      <c r="C31" s="154" t="s">
        <v>30</v>
      </c>
      <c r="D31" s="98">
        <v>8</v>
      </c>
      <c r="E31" s="143" t="s">
        <v>22</v>
      </c>
      <c r="F31" s="115">
        <v>980</v>
      </c>
      <c r="G31" s="8">
        <f ca="1">PRODUCT(F31,ԵՂԵԳՆԱՁՈՐ!$D31)</f>
        <v>7840</v>
      </c>
      <c r="H31" s="116"/>
      <c r="I31" s="100"/>
      <c r="J31" s="100">
        <f t="shared" si="8"/>
        <v>1568</v>
      </c>
      <c r="K31" s="100">
        <f t="shared" si="9"/>
        <v>4704</v>
      </c>
      <c r="L31" s="100">
        <f t="shared" si="10"/>
        <v>1568</v>
      </c>
      <c r="M31" s="100"/>
      <c r="O31" s="94">
        <f t="shared" si="3"/>
        <v>0</v>
      </c>
      <c r="S31" s="82"/>
      <c r="T31" s="82"/>
    </row>
    <row r="32" spans="1:20" ht="25.5" customHeight="1">
      <c r="A32" s="102"/>
      <c r="B32" s="96" t="s">
        <v>85</v>
      </c>
      <c r="C32" s="118"/>
      <c r="D32" s="155">
        <v>1</v>
      </c>
      <c r="E32" s="156" t="s">
        <v>22</v>
      </c>
      <c r="F32" s="157">
        <v>110000</v>
      </c>
      <c r="G32" s="8">
        <f ca="1">PRODUCT(F32,ԵՂԵԳՆԱՁՈՐ!$D32)</f>
        <v>110000</v>
      </c>
      <c r="H32" s="158"/>
      <c r="I32" s="159"/>
      <c r="J32" s="100">
        <f t="shared" si="8"/>
        <v>22000</v>
      </c>
      <c r="K32" s="100">
        <f t="shared" si="9"/>
        <v>66000</v>
      </c>
      <c r="L32" s="100">
        <f t="shared" si="10"/>
        <v>22000</v>
      </c>
      <c r="M32" s="160"/>
      <c r="O32" s="94">
        <f t="shared" si="3"/>
        <v>0</v>
      </c>
      <c r="S32" s="82"/>
      <c r="T32" s="82"/>
    </row>
    <row r="33" spans="1:20" ht="23.25" customHeight="1">
      <c r="A33" s="105" t="s">
        <v>25</v>
      </c>
      <c r="B33" s="106"/>
      <c r="C33" s="131"/>
      <c r="D33" s="132"/>
      <c r="E33" s="147" t="s">
        <v>8</v>
      </c>
      <c r="F33" s="125">
        <v>168750</v>
      </c>
      <c r="G33" s="1">
        <f ca="1">PRODUCT(F33,ԵՂԵԳՆԱՁՈՐ!$D33)</f>
        <v>168750</v>
      </c>
      <c r="H33" s="25"/>
      <c r="I33" s="25"/>
      <c r="J33" s="25">
        <f t="shared" si="8"/>
        <v>33750</v>
      </c>
      <c r="K33" s="25">
        <f t="shared" si="9"/>
        <v>101250</v>
      </c>
      <c r="L33" s="25">
        <f t="shared" si="10"/>
        <v>33750</v>
      </c>
      <c r="M33" s="25"/>
      <c r="O33" s="94">
        <f t="shared" si="3"/>
        <v>0</v>
      </c>
      <c r="S33" s="82"/>
      <c r="T33" s="82"/>
    </row>
    <row r="34" spans="1:20" ht="21.75" customHeight="1">
      <c r="A34" s="105" t="s">
        <v>34</v>
      </c>
      <c r="B34" s="106"/>
      <c r="C34" s="107"/>
      <c r="D34" s="132"/>
      <c r="E34" s="147" t="s">
        <v>8</v>
      </c>
      <c r="F34" s="125">
        <v>243000.00000000003</v>
      </c>
      <c r="G34" s="1">
        <f ca="1">PRODUCT(F34,ԵՂԵԳՆԱՁՈՐ!$D34)</f>
        <v>243000.00000000003</v>
      </c>
      <c r="H34" s="127"/>
      <c r="I34" s="127"/>
      <c r="J34" s="127">
        <f t="shared" si="8"/>
        <v>48600.000000000007</v>
      </c>
      <c r="K34" s="127">
        <f t="shared" si="9"/>
        <v>145800</v>
      </c>
      <c r="L34" s="127">
        <f t="shared" si="10"/>
        <v>48600.000000000007</v>
      </c>
      <c r="M34" s="161"/>
      <c r="O34" s="94">
        <f t="shared" si="3"/>
        <v>0</v>
      </c>
      <c r="S34" s="82"/>
      <c r="T34" s="82"/>
    </row>
    <row r="35" spans="1:20" ht="22.5" customHeight="1">
      <c r="A35" s="105" t="s">
        <v>35</v>
      </c>
      <c r="B35" s="106"/>
      <c r="C35" s="129" t="s">
        <v>33</v>
      </c>
      <c r="D35" s="106">
        <v>30</v>
      </c>
      <c r="E35" s="147" t="s">
        <v>82</v>
      </c>
      <c r="F35" s="125">
        <v>10800</v>
      </c>
      <c r="G35" s="1">
        <f ca="1">PRODUCT(F35,ԵՂԵԳՆԱՁՈՐ!$D35)</f>
        <v>324000</v>
      </c>
      <c r="H35" s="127"/>
      <c r="I35" s="127"/>
      <c r="J35" s="127">
        <f t="shared" ref="J35:J40" si="11">+G35*0.2</f>
        <v>64800</v>
      </c>
      <c r="K35" s="127">
        <f t="shared" si="9"/>
        <v>194400</v>
      </c>
      <c r="L35" s="127">
        <f t="shared" si="10"/>
        <v>64800</v>
      </c>
      <c r="M35" s="161"/>
      <c r="O35" s="94">
        <f t="shared" si="3"/>
        <v>0</v>
      </c>
      <c r="S35" s="82"/>
      <c r="T35" s="82"/>
    </row>
    <row r="36" spans="1:20" ht="24.75" customHeight="1">
      <c r="A36" s="105" t="s">
        <v>103</v>
      </c>
      <c r="B36" s="106"/>
      <c r="C36" s="131"/>
      <c r="D36" s="132"/>
      <c r="E36" s="147" t="s">
        <v>8</v>
      </c>
      <c r="F36" s="125">
        <v>4828000</v>
      </c>
      <c r="G36" s="1">
        <f ca="1">PRODUCT(F36,ԵՂԵԳՆԱՁՈՐ!$D36)</f>
        <v>4828000</v>
      </c>
      <c r="H36" s="127"/>
      <c r="I36" s="127"/>
      <c r="J36" s="127">
        <f t="shared" si="11"/>
        <v>965600</v>
      </c>
      <c r="K36" s="127">
        <f>+G36*0.4</f>
        <v>1931200</v>
      </c>
      <c r="L36" s="127">
        <f>+G36*0.4</f>
        <v>1931200</v>
      </c>
      <c r="M36" s="161"/>
      <c r="O36" s="94">
        <f t="shared" si="3"/>
        <v>0</v>
      </c>
      <c r="S36" s="82"/>
      <c r="T36" s="82"/>
    </row>
    <row r="37" spans="1:20" ht="22.5" customHeight="1">
      <c r="A37" s="105" t="s">
        <v>36</v>
      </c>
      <c r="B37" s="106"/>
      <c r="C37" s="131"/>
      <c r="D37" s="132"/>
      <c r="E37" s="147" t="s">
        <v>8</v>
      </c>
      <c r="F37" s="125">
        <v>10000</v>
      </c>
      <c r="G37" s="1">
        <f ca="1">PRODUCT(F37,ԵՂԵԳՆԱՁՈՐ!$D37)</f>
        <v>10000</v>
      </c>
      <c r="H37" s="127"/>
      <c r="I37" s="127"/>
      <c r="J37" s="127">
        <f t="shared" si="11"/>
        <v>2000</v>
      </c>
      <c r="K37" s="127">
        <f>+G37*0.5</f>
        <v>5000</v>
      </c>
      <c r="L37" s="127">
        <f>+G37*0.3</f>
        <v>3000</v>
      </c>
      <c r="M37" s="161"/>
      <c r="O37" s="94">
        <f t="shared" si="3"/>
        <v>0</v>
      </c>
      <c r="S37" s="82"/>
      <c r="T37" s="82"/>
    </row>
    <row r="38" spans="1:20" ht="21.75" customHeight="1">
      <c r="A38" s="105" t="s">
        <v>37</v>
      </c>
      <c r="B38" s="106"/>
      <c r="C38" s="131"/>
      <c r="D38" s="132"/>
      <c r="E38" s="147" t="s">
        <v>8</v>
      </c>
      <c r="F38" s="125">
        <v>200000</v>
      </c>
      <c r="G38" s="1">
        <f ca="1">PRODUCT(F38,ԵՂԵԳՆԱՁՈՐ!$D38)</f>
        <v>200000</v>
      </c>
      <c r="H38" s="127"/>
      <c r="I38" s="127"/>
      <c r="J38" s="127">
        <f t="shared" si="11"/>
        <v>40000</v>
      </c>
      <c r="K38" s="127">
        <f>+G38*0.6</f>
        <v>120000</v>
      </c>
      <c r="L38" s="127">
        <f>+G38*0.2</f>
        <v>40000</v>
      </c>
      <c r="M38" s="161"/>
      <c r="O38" s="94">
        <f t="shared" si="3"/>
        <v>0</v>
      </c>
      <c r="S38" s="82"/>
      <c r="T38" s="82"/>
    </row>
    <row r="39" spans="1:20" ht="23.25" customHeight="1">
      <c r="A39" s="105" t="s">
        <v>61</v>
      </c>
      <c r="B39" s="106"/>
      <c r="C39" s="129"/>
      <c r="D39" s="132"/>
      <c r="E39" s="147" t="s">
        <v>8</v>
      </c>
      <c r="F39" s="125">
        <v>50000</v>
      </c>
      <c r="G39" s="1">
        <f ca="1">PRODUCT(F39,ԵՂԵԳՆԱՁՈՐ!$D39)</f>
        <v>50000</v>
      </c>
      <c r="H39" s="127"/>
      <c r="I39" s="127"/>
      <c r="J39" s="127">
        <f t="shared" si="11"/>
        <v>10000</v>
      </c>
      <c r="K39" s="127">
        <f>+G39*0.4</f>
        <v>20000</v>
      </c>
      <c r="L39" s="127">
        <f>+G39*0.4</f>
        <v>20000</v>
      </c>
      <c r="M39" s="161"/>
      <c r="O39" s="94">
        <f t="shared" si="3"/>
        <v>0</v>
      </c>
      <c r="S39" s="82"/>
      <c r="T39" s="82"/>
    </row>
    <row r="40" spans="1:20" ht="24.75" customHeight="1">
      <c r="A40" s="105" t="s">
        <v>38</v>
      </c>
      <c r="B40" s="106"/>
      <c r="C40" s="131"/>
      <c r="D40" s="132"/>
      <c r="E40" s="147" t="s">
        <v>8</v>
      </c>
      <c r="F40" s="125">
        <v>32000</v>
      </c>
      <c r="G40" s="1">
        <f ca="1">PRODUCT(F40,ԵՂԵԳՆԱՁՈՐ!$D40)</f>
        <v>32000</v>
      </c>
      <c r="H40" s="127"/>
      <c r="I40" s="127"/>
      <c r="J40" s="127">
        <f t="shared" si="11"/>
        <v>6400</v>
      </c>
      <c r="K40" s="127"/>
      <c r="L40" s="127">
        <f>+G40*0.8</f>
        <v>25600</v>
      </c>
      <c r="M40" s="161"/>
      <c r="O40" s="94">
        <f t="shared" si="3"/>
        <v>0</v>
      </c>
      <c r="S40" s="82"/>
      <c r="T40" s="82"/>
    </row>
    <row r="41" spans="1:20" ht="26.25" customHeight="1" thickBot="1">
      <c r="A41" s="162" t="s">
        <v>52</v>
      </c>
      <c r="B41" s="163"/>
      <c r="C41" s="164"/>
      <c r="D41" s="165"/>
      <c r="E41" s="166" t="s">
        <v>8</v>
      </c>
      <c r="F41" s="167">
        <v>100000</v>
      </c>
      <c r="G41" s="23">
        <f ca="1">PRODUCT(F41,ԵՂԵԳՆԱՁՈՐ!$D41)</f>
        <v>100000</v>
      </c>
      <c r="H41" s="135"/>
      <c r="I41" s="135">
        <f>+G41*0.4</f>
        <v>40000</v>
      </c>
      <c r="J41" s="135">
        <f>+G41*0.2</f>
        <v>20000</v>
      </c>
      <c r="K41" s="135">
        <f>+G41*0.2</f>
        <v>20000</v>
      </c>
      <c r="L41" s="135">
        <f>+G41*0.2</f>
        <v>20000</v>
      </c>
      <c r="M41" s="168"/>
      <c r="O41" s="94">
        <f t="shared" si="3"/>
        <v>0</v>
      </c>
      <c r="S41" s="82"/>
      <c r="T41" s="82"/>
    </row>
    <row r="42" spans="1:20" ht="29.25" customHeight="1" thickBot="1">
      <c r="A42" s="196" t="s">
        <v>62</v>
      </c>
      <c r="B42" s="197"/>
      <c r="C42" s="197"/>
      <c r="D42" s="197"/>
      <c r="E42" s="197"/>
      <c r="F42" s="213"/>
      <c r="G42" s="28">
        <f t="shared" ref="G42:M42" si="12">SUBTOTAL(9,G5:G41)</f>
        <v>11074615</v>
      </c>
      <c r="H42" s="28">
        <f t="shared" si="12"/>
        <v>0</v>
      </c>
      <c r="I42" s="28">
        <f t="shared" si="12"/>
        <v>40000</v>
      </c>
      <c r="J42" s="28">
        <f t="shared" si="12"/>
        <v>2214923</v>
      </c>
      <c r="K42" s="28">
        <f t="shared" si="12"/>
        <v>5608969</v>
      </c>
      <c r="L42" s="28">
        <f t="shared" si="12"/>
        <v>3210723</v>
      </c>
      <c r="M42" s="28">
        <f t="shared" si="12"/>
        <v>0</v>
      </c>
      <c r="O42" s="94">
        <f t="shared" si="3"/>
        <v>0</v>
      </c>
    </row>
    <row r="44" spans="1:20" ht="18" customHeight="1">
      <c r="G44" s="94"/>
    </row>
  </sheetData>
  <mergeCells count="10">
    <mergeCell ref="H3:M3"/>
    <mergeCell ref="A2:M2"/>
    <mergeCell ref="A42:F42"/>
    <mergeCell ref="A3:A4"/>
    <mergeCell ref="B3:B4"/>
    <mergeCell ref="C3:C4"/>
    <mergeCell ref="D3:D4"/>
    <mergeCell ref="E3:E4"/>
    <mergeCell ref="F3:F4"/>
    <mergeCell ref="G3:G4"/>
  </mergeCells>
  <phoneticPr fontId="0" type="noConversion"/>
  <pageMargins left="0.23622047244094491" right="0.23622047244094491" top="0.47244094488188981" bottom="0" header="0.11811023622047245" footer="0"/>
  <pageSetup paperSize="9" scale="52" fitToWidth="2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U40"/>
  <sheetViews>
    <sheetView showGridLines="0" view="pageBreakPreview" topLeftCell="A4" zoomScale="60" zoomScaleNormal="70" zoomScalePageLayoutView="120" workbookViewId="0">
      <selection activeCell="O5" sqref="O5:O33"/>
    </sheetView>
  </sheetViews>
  <sheetFormatPr defaultColWidth="10.875" defaultRowHeight="18" customHeight="1"/>
  <cols>
    <col min="1" max="1" width="20.625" style="80" customWidth="1"/>
    <col min="2" max="2" width="38.625" style="80" customWidth="1"/>
    <col min="3" max="3" width="23.75" style="81" customWidth="1"/>
    <col min="4" max="4" width="11" style="80" customWidth="1"/>
    <col min="5" max="5" width="18.375" style="80" customWidth="1"/>
    <col min="6" max="6" width="16.125" style="80" customWidth="1"/>
    <col min="7" max="7" width="17.125" style="80" customWidth="1"/>
    <col min="8" max="8" width="17.625" style="80" customWidth="1"/>
    <col min="9" max="9" width="18" style="80" customWidth="1"/>
    <col min="10" max="10" width="17.125" style="80" customWidth="1"/>
    <col min="11" max="11" width="17.25" style="80" customWidth="1"/>
    <col min="12" max="12" width="19" style="80" customWidth="1"/>
    <col min="13" max="13" width="18.875" style="80" customWidth="1"/>
    <col min="14" max="14" width="10.875" style="80"/>
    <col min="15" max="15" width="18.25" style="80" customWidth="1"/>
    <col min="16" max="19" width="10.875" style="80"/>
    <col min="20" max="21" width="10.875" style="137"/>
    <col min="22" max="16384" width="10.875" style="80"/>
  </cols>
  <sheetData>
    <row r="1" spans="1:21" s="82" customFormat="1" ht="29.25" customHeight="1">
      <c r="C1" s="169"/>
      <c r="M1" s="184" t="s">
        <v>99</v>
      </c>
      <c r="S1" s="136"/>
      <c r="T1" s="136"/>
    </row>
    <row r="2" spans="1:21" ht="32.25" customHeight="1" thickBot="1">
      <c r="A2" s="198" t="s">
        <v>47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T2" s="80"/>
      <c r="U2" s="80"/>
    </row>
    <row r="3" spans="1:21" s="82" customFormat="1" ht="31.5" customHeight="1">
      <c r="A3" s="199" t="s">
        <v>13</v>
      </c>
      <c r="B3" s="201" t="s">
        <v>65</v>
      </c>
      <c r="C3" s="203" t="s">
        <v>16</v>
      </c>
      <c r="D3" s="205" t="s">
        <v>14</v>
      </c>
      <c r="E3" s="207" t="s">
        <v>15</v>
      </c>
      <c r="F3" s="209" t="s">
        <v>63</v>
      </c>
      <c r="G3" s="192" t="s">
        <v>64</v>
      </c>
      <c r="H3" s="211" t="s">
        <v>60</v>
      </c>
      <c r="I3" s="194"/>
      <c r="J3" s="194"/>
      <c r="K3" s="194"/>
      <c r="L3" s="194"/>
      <c r="M3" s="195"/>
    </row>
    <row r="4" spans="1:21" s="88" customFormat="1" ht="33" customHeight="1" thickBot="1">
      <c r="A4" s="200"/>
      <c r="B4" s="202"/>
      <c r="C4" s="204"/>
      <c r="D4" s="206"/>
      <c r="E4" s="208"/>
      <c r="F4" s="210"/>
      <c r="G4" s="193"/>
      <c r="H4" s="83">
        <v>2018</v>
      </c>
      <c r="I4" s="84">
        <v>2019</v>
      </c>
      <c r="J4" s="84">
        <v>2020</v>
      </c>
      <c r="K4" s="85">
        <v>2021</v>
      </c>
      <c r="L4" s="86">
        <v>2022</v>
      </c>
      <c r="M4" s="87">
        <v>2023</v>
      </c>
      <c r="O4" s="82"/>
    </row>
    <row r="5" spans="1:21" ht="29.25" customHeight="1">
      <c r="A5" s="138" t="s">
        <v>89</v>
      </c>
      <c r="B5" s="139"/>
      <c r="C5" s="140"/>
      <c r="D5" s="139"/>
      <c r="E5" s="139"/>
      <c r="F5" s="142"/>
      <c r="G5" s="10">
        <f t="shared" ref="G5:M5" si="0">SUBTOTAL(9,G6:G9)</f>
        <v>699450</v>
      </c>
      <c r="H5" s="26">
        <f t="shared" si="0"/>
        <v>0</v>
      </c>
      <c r="I5" s="26">
        <f t="shared" si="0"/>
        <v>139890</v>
      </c>
      <c r="J5" s="26">
        <f t="shared" si="0"/>
        <v>419670</v>
      </c>
      <c r="K5" s="26">
        <f t="shared" si="0"/>
        <v>139890</v>
      </c>
      <c r="L5" s="26">
        <f t="shared" si="0"/>
        <v>0</v>
      </c>
      <c r="M5" s="26">
        <f t="shared" si="0"/>
        <v>0</v>
      </c>
      <c r="O5" s="94">
        <f t="shared" ref="O5:O33" si="1">SUM(H5:M5)-G5</f>
        <v>0</v>
      </c>
      <c r="T5" s="80"/>
      <c r="U5" s="80"/>
    </row>
    <row r="6" spans="1:21" ht="23.25" customHeight="1">
      <c r="A6" s="95"/>
      <c r="B6" s="96" t="s">
        <v>28</v>
      </c>
      <c r="C6" s="97" t="s">
        <v>32</v>
      </c>
      <c r="D6" s="98">
        <v>12</v>
      </c>
      <c r="E6" s="99" t="s">
        <v>22</v>
      </c>
      <c r="F6" s="12">
        <v>4425</v>
      </c>
      <c r="G6" s="5">
        <f ca="1">PRODUCT(F6,ԼԻՃՔ!$D6)</f>
        <v>53100</v>
      </c>
      <c r="H6" s="12"/>
      <c r="I6" s="12">
        <f>+G6*0.2</f>
        <v>10620</v>
      </c>
      <c r="J6" s="12">
        <f>+G6*0.6</f>
        <v>31860</v>
      </c>
      <c r="K6" s="12">
        <f>+G6*0.2</f>
        <v>10620</v>
      </c>
      <c r="L6" s="12"/>
      <c r="M6" s="12"/>
      <c r="O6" s="94">
        <f t="shared" si="1"/>
        <v>0</v>
      </c>
      <c r="T6" s="80"/>
      <c r="U6" s="80"/>
    </row>
    <row r="7" spans="1:21" ht="30" customHeight="1">
      <c r="A7" s="95"/>
      <c r="B7" s="96" t="s">
        <v>9</v>
      </c>
      <c r="C7" s="97" t="s">
        <v>32</v>
      </c>
      <c r="D7" s="98">
        <v>6</v>
      </c>
      <c r="E7" s="99" t="s">
        <v>22</v>
      </c>
      <c r="F7" s="12">
        <v>8475</v>
      </c>
      <c r="G7" s="5">
        <f ca="1">PRODUCT(F7,ԼԻՃՔ!$D7)</f>
        <v>50850</v>
      </c>
      <c r="H7" s="12"/>
      <c r="I7" s="12">
        <f>+G7*0.2</f>
        <v>10170</v>
      </c>
      <c r="J7" s="12">
        <f>+G7*0.6</f>
        <v>30510</v>
      </c>
      <c r="K7" s="12">
        <f>+G7*0.2</f>
        <v>10170</v>
      </c>
      <c r="L7" s="12"/>
      <c r="M7" s="12"/>
      <c r="O7" s="94">
        <f t="shared" si="1"/>
        <v>0</v>
      </c>
      <c r="T7" s="80"/>
      <c r="U7" s="80"/>
    </row>
    <row r="8" spans="1:21" ht="26.25" customHeight="1">
      <c r="A8" s="95"/>
      <c r="B8" s="96" t="s">
        <v>10</v>
      </c>
      <c r="C8" s="97"/>
      <c r="D8" s="98">
        <v>6</v>
      </c>
      <c r="E8" s="99" t="s">
        <v>22</v>
      </c>
      <c r="F8" s="12">
        <v>74250</v>
      </c>
      <c r="G8" s="5">
        <f ca="1">PRODUCT(F8,ԼԻՃՔ!$D8)</f>
        <v>445500</v>
      </c>
      <c r="H8" s="12"/>
      <c r="I8" s="12">
        <f>+G8*0.2</f>
        <v>89100</v>
      </c>
      <c r="J8" s="12">
        <f>+G8*0.6</f>
        <v>267300</v>
      </c>
      <c r="K8" s="12">
        <f>+G8*0.2</f>
        <v>89100</v>
      </c>
      <c r="L8" s="12"/>
      <c r="M8" s="12"/>
      <c r="O8" s="94">
        <f t="shared" si="1"/>
        <v>0</v>
      </c>
      <c r="T8" s="80"/>
      <c r="U8" s="80"/>
    </row>
    <row r="9" spans="1:21" ht="25.5" customHeight="1">
      <c r="A9" s="102"/>
      <c r="B9" s="96" t="s">
        <v>85</v>
      </c>
      <c r="C9" s="103"/>
      <c r="D9" s="104">
        <v>1</v>
      </c>
      <c r="E9" s="104" t="s">
        <v>22</v>
      </c>
      <c r="F9" s="46">
        <v>150000</v>
      </c>
      <c r="G9" s="5">
        <f ca="1">PRODUCT(F9,ԼԻՃՔ!$D9)</f>
        <v>150000</v>
      </c>
      <c r="H9" s="170"/>
      <c r="I9" s="12">
        <f>+G9*0.2</f>
        <v>30000</v>
      </c>
      <c r="J9" s="12">
        <f>+G9*0.6</f>
        <v>90000</v>
      </c>
      <c r="K9" s="12">
        <f>+G9*0.2</f>
        <v>30000</v>
      </c>
      <c r="L9" s="170"/>
      <c r="M9" s="170"/>
      <c r="O9" s="94">
        <f t="shared" si="1"/>
        <v>0</v>
      </c>
      <c r="T9" s="80"/>
      <c r="U9" s="80"/>
    </row>
    <row r="10" spans="1:21" ht="26.25" customHeight="1">
      <c r="A10" s="105" t="s">
        <v>11</v>
      </c>
      <c r="B10" s="106"/>
      <c r="C10" s="107"/>
      <c r="D10" s="106"/>
      <c r="E10" s="106"/>
      <c r="F10" s="108"/>
      <c r="G10" s="1">
        <f ca="1">SUBTOTAL(9,G11)</f>
        <v>44550</v>
      </c>
      <c r="H10" s="25">
        <f t="shared" ref="H10:M10" si="2">SUBTOTAL(9,H11)</f>
        <v>0</v>
      </c>
      <c r="I10" s="25">
        <f>SUBTOTAL(9,I11)</f>
        <v>8910</v>
      </c>
      <c r="J10" s="25">
        <f t="shared" si="2"/>
        <v>26730</v>
      </c>
      <c r="K10" s="25">
        <f t="shared" si="2"/>
        <v>8910</v>
      </c>
      <c r="L10" s="25">
        <f t="shared" si="2"/>
        <v>0</v>
      </c>
      <c r="M10" s="25">
        <f t="shared" si="2"/>
        <v>0</v>
      </c>
      <c r="O10" s="94">
        <f t="shared" si="1"/>
        <v>0</v>
      </c>
      <c r="T10" s="80"/>
      <c r="U10" s="80"/>
    </row>
    <row r="11" spans="1:21" ht="34.5" customHeight="1">
      <c r="A11" s="95"/>
      <c r="B11" s="109" t="s">
        <v>59</v>
      </c>
      <c r="C11" s="110" t="s">
        <v>4</v>
      </c>
      <c r="D11" s="98">
        <v>2</v>
      </c>
      <c r="E11" s="99" t="s">
        <v>22</v>
      </c>
      <c r="F11" s="12">
        <v>22275</v>
      </c>
      <c r="G11" s="5">
        <f ca="1">PRODUCT(F11,ԼԻՃՔ!$D11)</f>
        <v>44550</v>
      </c>
      <c r="H11" s="171"/>
      <c r="I11" s="12">
        <f>+G11*0.2</f>
        <v>8910</v>
      </c>
      <c r="J11" s="12">
        <f>+G11*0.6</f>
        <v>26730</v>
      </c>
      <c r="K11" s="12">
        <f>+G11*0.2</f>
        <v>8910</v>
      </c>
      <c r="L11" s="172"/>
      <c r="M11" s="172"/>
      <c r="O11" s="94">
        <f t="shared" si="1"/>
        <v>0</v>
      </c>
      <c r="T11" s="80"/>
      <c r="U11" s="80"/>
    </row>
    <row r="12" spans="1:21" ht="31.5" customHeight="1">
      <c r="A12" s="105" t="s">
        <v>87</v>
      </c>
      <c r="B12" s="106"/>
      <c r="C12" s="107"/>
      <c r="D12" s="106"/>
      <c r="E12" s="106"/>
      <c r="F12" s="108"/>
      <c r="G12" s="1">
        <f ca="1">SUBTOTAL(9,G13:G16)</f>
        <v>491910</v>
      </c>
      <c r="H12" s="1">
        <f t="shared" ref="H12:M12" si="3">SUBTOTAL(9,H13:H16)</f>
        <v>0</v>
      </c>
      <c r="I12" s="1">
        <f t="shared" si="3"/>
        <v>98382</v>
      </c>
      <c r="J12" s="1">
        <f t="shared" si="3"/>
        <v>295146</v>
      </c>
      <c r="K12" s="1">
        <f t="shared" si="3"/>
        <v>98382</v>
      </c>
      <c r="L12" s="1">
        <f t="shared" si="3"/>
        <v>0</v>
      </c>
      <c r="M12" s="1">
        <f t="shared" si="3"/>
        <v>0</v>
      </c>
      <c r="O12" s="94">
        <f t="shared" si="1"/>
        <v>0</v>
      </c>
      <c r="T12" s="80"/>
      <c r="U12" s="80"/>
    </row>
    <row r="13" spans="1:21" ht="27" customHeight="1">
      <c r="A13" s="95"/>
      <c r="B13" s="96" t="s">
        <v>28</v>
      </c>
      <c r="C13" s="97" t="s">
        <v>32</v>
      </c>
      <c r="D13" s="98">
        <v>12</v>
      </c>
      <c r="E13" s="99" t="s">
        <v>22</v>
      </c>
      <c r="F13" s="12">
        <v>3780.0000000000005</v>
      </c>
      <c r="G13" s="5">
        <f ca="1">PRODUCT(F13,ԼԻՃՔ!$D13)</f>
        <v>45360.000000000007</v>
      </c>
      <c r="H13" s="173"/>
      <c r="I13" s="12">
        <f>+G13*0.2</f>
        <v>9072.0000000000018</v>
      </c>
      <c r="J13" s="12">
        <f>+G13*0.6</f>
        <v>27216.000000000004</v>
      </c>
      <c r="K13" s="12">
        <f>+G13*0.2</f>
        <v>9072.0000000000018</v>
      </c>
      <c r="L13" s="174"/>
      <c r="M13" s="174"/>
      <c r="O13" s="94">
        <f t="shared" si="1"/>
        <v>0</v>
      </c>
      <c r="T13" s="80"/>
      <c r="U13" s="80"/>
    </row>
    <row r="14" spans="1:21" ht="27.75" customHeight="1">
      <c r="A14" s="95"/>
      <c r="B14" s="96" t="s">
        <v>9</v>
      </c>
      <c r="C14" s="97" t="s">
        <v>32</v>
      </c>
      <c r="D14" s="98">
        <v>6</v>
      </c>
      <c r="E14" s="99" t="s">
        <v>22</v>
      </c>
      <c r="F14" s="12">
        <v>7550</v>
      </c>
      <c r="G14" s="5">
        <f ca="1">PRODUCT(F14,ԼԻՃՔ!$D14)</f>
        <v>45300</v>
      </c>
      <c r="H14" s="173"/>
      <c r="I14" s="12">
        <f>+G14*0.2</f>
        <v>9060</v>
      </c>
      <c r="J14" s="12">
        <f>+G14*0.6</f>
        <v>27180</v>
      </c>
      <c r="K14" s="12">
        <f>+G14*0.2</f>
        <v>9060</v>
      </c>
      <c r="L14" s="174"/>
      <c r="M14" s="174"/>
      <c r="O14" s="94">
        <f t="shared" si="1"/>
        <v>0</v>
      </c>
      <c r="T14" s="80"/>
      <c r="U14" s="80"/>
    </row>
    <row r="15" spans="1:21" ht="24" customHeight="1">
      <c r="A15" s="95"/>
      <c r="B15" s="96" t="s">
        <v>10</v>
      </c>
      <c r="C15" s="97"/>
      <c r="D15" s="98">
        <v>5</v>
      </c>
      <c r="E15" s="99" t="s">
        <v>22</v>
      </c>
      <c r="F15" s="12">
        <v>54250</v>
      </c>
      <c r="G15" s="5">
        <f ca="1">PRODUCT(F15,ԼԻՃՔ!$D15)</f>
        <v>271250</v>
      </c>
      <c r="H15" s="173"/>
      <c r="I15" s="12">
        <f>+G15*0.2</f>
        <v>54250</v>
      </c>
      <c r="J15" s="12">
        <f>+G15*0.6</f>
        <v>162750</v>
      </c>
      <c r="K15" s="12">
        <f>+G15*0.2</f>
        <v>54250</v>
      </c>
      <c r="L15" s="174"/>
      <c r="M15" s="174"/>
      <c r="O15" s="94">
        <f t="shared" si="1"/>
        <v>0</v>
      </c>
      <c r="T15" s="80"/>
      <c r="U15" s="80"/>
    </row>
    <row r="16" spans="1:21" ht="28.5" customHeight="1">
      <c r="A16" s="102"/>
      <c r="B16" s="96" t="s">
        <v>85</v>
      </c>
      <c r="C16" s="103"/>
      <c r="D16" s="104">
        <v>1</v>
      </c>
      <c r="E16" s="104" t="s">
        <v>22</v>
      </c>
      <c r="F16" s="46">
        <v>130000</v>
      </c>
      <c r="G16" s="5">
        <f ca="1">PRODUCT(F16,ԼԻՃՔ!$D16)</f>
        <v>130000</v>
      </c>
      <c r="H16" s="175"/>
      <c r="I16" s="12">
        <f>+G16*0.2</f>
        <v>26000</v>
      </c>
      <c r="J16" s="12">
        <f>+G16*0.6</f>
        <v>78000</v>
      </c>
      <c r="K16" s="12">
        <f>+G16*0.2</f>
        <v>26000</v>
      </c>
      <c r="L16" s="176"/>
      <c r="M16" s="176"/>
      <c r="O16" s="94">
        <f t="shared" si="1"/>
        <v>0</v>
      </c>
      <c r="T16" s="80"/>
      <c r="U16" s="80"/>
    </row>
    <row r="17" spans="1:21" ht="31.5" customHeight="1">
      <c r="A17" s="105" t="s">
        <v>86</v>
      </c>
      <c r="B17" s="106"/>
      <c r="C17" s="107"/>
      <c r="D17" s="106"/>
      <c r="E17" s="106"/>
      <c r="F17" s="108"/>
      <c r="G17" s="1">
        <f ca="1">SUBTOTAL(9,G18:G23)</f>
        <v>517745</v>
      </c>
      <c r="H17" s="1">
        <f t="shared" ref="H17:M17" si="4">SUBTOTAL(9,H18:H23)</f>
        <v>0</v>
      </c>
      <c r="I17" s="1">
        <f>SUBTOTAL(9,I18:I23)</f>
        <v>103549</v>
      </c>
      <c r="J17" s="1">
        <f t="shared" si="4"/>
        <v>310647</v>
      </c>
      <c r="K17" s="1">
        <f t="shared" si="4"/>
        <v>103549</v>
      </c>
      <c r="L17" s="1">
        <f t="shared" si="4"/>
        <v>0</v>
      </c>
      <c r="M17" s="1">
        <f t="shared" si="4"/>
        <v>0</v>
      </c>
      <c r="O17" s="94">
        <f t="shared" si="1"/>
        <v>0</v>
      </c>
      <c r="T17" s="80"/>
      <c r="U17" s="80"/>
    </row>
    <row r="18" spans="1:21" ht="24.75" customHeight="1">
      <c r="A18" s="95"/>
      <c r="B18" s="96" t="s">
        <v>26</v>
      </c>
      <c r="C18" s="97" t="s">
        <v>30</v>
      </c>
      <c r="D18" s="98">
        <v>10</v>
      </c>
      <c r="E18" s="99" t="s">
        <v>22</v>
      </c>
      <c r="F18" s="12">
        <v>16875</v>
      </c>
      <c r="G18" s="5">
        <f ca="1">PRODUCT(F18,ԼԻՃՔ!$D18)</f>
        <v>168750</v>
      </c>
      <c r="H18" s="173"/>
      <c r="I18" s="12">
        <f t="shared" ref="I18:I25" si="5">+G18*0.2</f>
        <v>33750</v>
      </c>
      <c r="J18" s="12">
        <f t="shared" ref="J18:J26" si="6">+G18*0.6</f>
        <v>101250</v>
      </c>
      <c r="K18" s="12">
        <f t="shared" ref="K18:K26" si="7">+G18*0.2</f>
        <v>33750</v>
      </c>
      <c r="L18" s="174"/>
      <c r="M18" s="174"/>
      <c r="O18" s="94">
        <f t="shared" si="1"/>
        <v>0</v>
      </c>
      <c r="T18" s="80"/>
      <c r="U18" s="80"/>
    </row>
    <row r="19" spans="1:21" ht="24.75" customHeight="1">
      <c r="A19" s="152"/>
      <c r="B19" s="101" t="s">
        <v>27</v>
      </c>
      <c r="C19" s="97" t="s">
        <v>30</v>
      </c>
      <c r="D19" s="113">
        <v>22</v>
      </c>
      <c r="E19" s="99" t="s">
        <v>22</v>
      </c>
      <c r="F19" s="115">
        <v>8775</v>
      </c>
      <c r="G19" s="5">
        <f ca="1">PRODUCT(F19,ԼԻՃՔ!$D19)</f>
        <v>193050</v>
      </c>
      <c r="H19" s="173"/>
      <c r="I19" s="12">
        <f t="shared" si="5"/>
        <v>38610</v>
      </c>
      <c r="J19" s="12">
        <f t="shared" si="6"/>
        <v>115830</v>
      </c>
      <c r="K19" s="12">
        <f t="shared" si="7"/>
        <v>38610</v>
      </c>
      <c r="L19" s="174"/>
      <c r="M19" s="174"/>
      <c r="O19" s="94">
        <f t="shared" si="1"/>
        <v>0</v>
      </c>
      <c r="T19" s="80"/>
      <c r="U19" s="80"/>
    </row>
    <row r="20" spans="1:21" ht="26.25" customHeight="1">
      <c r="A20" s="152"/>
      <c r="B20" s="101" t="s">
        <v>28</v>
      </c>
      <c r="C20" s="97" t="s">
        <v>30</v>
      </c>
      <c r="D20" s="113">
        <v>6</v>
      </c>
      <c r="E20" s="99" t="s">
        <v>22</v>
      </c>
      <c r="F20" s="115">
        <v>1277.5</v>
      </c>
      <c r="G20" s="5">
        <f ca="1">PRODUCT(F20,ԼԻՃՔ!$D20)</f>
        <v>7665</v>
      </c>
      <c r="H20" s="173"/>
      <c r="I20" s="12">
        <f t="shared" si="5"/>
        <v>1533</v>
      </c>
      <c r="J20" s="12">
        <f t="shared" si="6"/>
        <v>4599</v>
      </c>
      <c r="K20" s="12">
        <f t="shared" si="7"/>
        <v>1533</v>
      </c>
      <c r="L20" s="174"/>
      <c r="M20" s="174"/>
      <c r="O20" s="94">
        <f t="shared" si="1"/>
        <v>0</v>
      </c>
      <c r="T20" s="80"/>
      <c r="U20" s="80"/>
    </row>
    <row r="21" spans="1:21" ht="28.5" customHeight="1">
      <c r="A21" s="152"/>
      <c r="B21" s="101" t="s">
        <v>9</v>
      </c>
      <c r="C21" s="97" t="s">
        <v>30</v>
      </c>
      <c r="D21" s="113">
        <v>6</v>
      </c>
      <c r="E21" s="99" t="s">
        <v>22</v>
      </c>
      <c r="F21" s="115">
        <v>5400</v>
      </c>
      <c r="G21" s="5">
        <f ca="1">PRODUCT(F21,ԼԻՃՔ!$D21)</f>
        <v>32400</v>
      </c>
      <c r="H21" s="173"/>
      <c r="I21" s="12">
        <f t="shared" si="5"/>
        <v>6480</v>
      </c>
      <c r="J21" s="12">
        <f t="shared" si="6"/>
        <v>19440</v>
      </c>
      <c r="K21" s="12">
        <f t="shared" si="7"/>
        <v>6480</v>
      </c>
      <c r="L21" s="174"/>
      <c r="M21" s="174"/>
      <c r="O21" s="94">
        <f t="shared" si="1"/>
        <v>0</v>
      </c>
      <c r="T21" s="80"/>
      <c r="U21" s="80"/>
    </row>
    <row r="22" spans="1:21" ht="28.5" customHeight="1">
      <c r="A22" s="95"/>
      <c r="B22" s="101" t="s">
        <v>29</v>
      </c>
      <c r="C22" s="97" t="s">
        <v>30</v>
      </c>
      <c r="D22" s="98">
        <v>6</v>
      </c>
      <c r="E22" s="99" t="s">
        <v>22</v>
      </c>
      <c r="F22" s="12">
        <v>980</v>
      </c>
      <c r="G22" s="8">
        <f ca="1">PRODUCT(F22,ԼԻՃՔ!$D22)</f>
        <v>5880</v>
      </c>
      <c r="H22" s="173"/>
      <c r="I22" s="12">
        <f t="shared" si="5"/>
        <v>1176</v>
      </c>
      <c r="J22" s="12">
        <f t="shared" si="6"/>
        <v>3528</v>
      </c>
      <c r="K22" s="12">
        <f t="shared" si="7"/>
        <v>1176</v>
      </c>
      <c r="L22" s="174"/>
      <c r="M22" s="174"/>
      <c r="O22" s="94">
        <f t="shared" si="1"/>
        <v>0</v>
      </c>
      <c r="T22" s="80"/>
      <c r="U22" s="80"/>
    </row>
    <row r="23" spans="1:21" ht="30.75" customHeight="1">
      <c r="A23" s="102"/>
      <c r="B23" s="96" t="s">
        <v>85</v>
      </c>
      <c r="C23" s="177"/>
      <c r="D23" s="178">
        <v>1</v>
      </c>
      <c r="E23" s="119" t="s">
        <v>22</v>
      </c>
      <c r="F23" s="120">
        <v>110000</v>
      </c>
      <c r="G23" s="8">
        <f ca="1">PRODUCT(F23,ԼԻՃՔ!$D23)</f>
        <v>110000</v>
      </c>
      <c r="H23" s="175"/>
      <c r="I23" s="12">
        <f t="shared" si="5"/>
        <v>22000</v>
      </c>
      <c r="J23" s="12">
        <f t="shared" si="6"/>
        <v>66000</v>
      </c>
      <c r="K23" s="12">
        <f t="shared" si="7"/>
        <v>22000</v>
      </c>
      <c r="L23" s="176"/>
      <c r="M23" s="176"/>
      <c r="O23" s="94">
        <f t="shared" si="1"/>
        <v>0</v>
      </c>
      <c r="T23" s="80"/>
      <c r="U23" s="80"/>
    </row>
    <row r="24" spans="1:21" ht="35.25" customHeight="1">
      <c r="A24" s="105" t="s">
        <v>25</v>
      </c>
      <c r="B24" s="106"/>
      <c r="C24" s="107"/>
      <c r="D24" s="106"/>
      <c r="E24" s="106" t="s">
        <v>8</v>
      </c>
      <c r="F24" s="125">
        <v>168750</v>
      </c>
      <c r="G24" s="1">
        <f ca="1">PRODUCT(F24,ԼԻՃՔ!$D24)</f>
        <v>168750</v>
      </c>
      <c r="H24" s="25"/>
      <c r="I24" s="25">
        <f t="shared" si="5"/>
        <v>33750</v>
      </c>
      <c r="J24" s="25">
        <f t="shared" si="6"/>
        <v>101250</v>
      </c>
      <c r="K24" s="25">
        <f t="shared" si="7"/>
        <v>33750</v>
      </c>
      <c r="L24" s="25"/>
      <c r="M24" s="25"/>
      <c r="O24" s="94">
        <f t="shared" si="1"/>
        <v>0</v>
      </c>
      <c r="T24" s="80"/>
      <c r="U24" s="80"/>
    </row>
    <row r="25" spans="1:21" ht="33" customHeight="1">
      <c r="A25" s="105" t="s">
        <v>34</v>
      </c>
      <c r="B25" s="106"/>
      <c r="C25" s="179"/>
      <c r="D25" s="106"/>
      <c r="E25" s="106" t="s">
        <v>8</v>
      </c>
      <c r="F25" s="125">
        <v>243000</v>
      </c>
      <c r="G25" s="1">
        <f ca="1">PRODUCT(F25,ԼԻՃՔ!$D25)</f>
        <v>243000</v>
      </c>
      <c r="H25" s="25"/>
      <c r="I25" s="25">
        <f t="shared" si="5"/>
        <v>48600</v>
      </c>
      <c r="J25" s="25">
        <f t="shared" si="6"/>
        <v>145800</v>
      </c>
      <c r="K25" s="25">
        <f t="shared" si="7"/>
        <v>48600</v>
      </c>
      <c r="L25" s="25"/>
      <c r="M25" s="25"/>
      <c r="O25" s="94">
        <f t="shared" si="1"/>
        <v>0</v>
      </c>
      <c r="T25" s="80"/>
      <c r="U25" s="80"/>
    </row>
    <row r="26" spans="1:21" ht="33.75" customHeight="1">
      <c r="A26" s="105" t="s">
        <v>35</v>
      </c>
      <c r="B26" s="106"/>
      <c r="C26" s="129" t="s">
        <v>33</v>
      </c>
      <c r="D26" s="106">
        <v>15</v>
      </c>
      <c r="E26" s="106" t="s">
        <v>82</v>
      </c>
      <c r="F26" s="125">
        <v>10800</v>
      </c>
      <c r="G26" s="1">
        <f ca="1">PRODUCT(F26,ԼԻՃՔ!$D26)</f>
        <v>162000</v>
      </c>
      <c r="H26" s="25"/>
      <c r="I26" s="25">
        <f t="shared" ref="I26:I31" si="8">+G26*0.2</f>
        <v>32400</v>
      </c>
      <c r="J26" s="25">
        <f t="shared" si="6"/>
        <v>97200</v>
      </c>
      <c r="K26" s="25">
        <f t="shared" si="7"/>
        <v>32400</v>
      </c>
      <c r="L26" s="25"/>
      <c r="M26" s="25"/>
      <c r="O26" s="94">
        <f t="shared" si="1"/>
        <v>0</v>
      </c>
      <c r="T26" s="80"/>
      <c r="U26" s="80"/>
    </row>
    <row r="27" spans="1:21" ht="33.75" customHeight="1">
      <c r="A27" s="105" t="s">
        <v>103</v>
      </c>
      <c r="B27" s="106"/>
      <c r="C27" s="131"/>
      <c r="D27" s="106"/>
      <c r="E27" s="106" t="s">
        <v>8</v>
      </c>
      <c r="F27" s="125">
        <f>2767000+400000</f>
        <v>3167000</v>
      </c>
      <c r="G27" s="1">
        <f ca="1">PRODUCT(F27,ԼԻՃՔ!$D27)</f>
        <v>3167000</v>
      </c>
      <c r="H27" s="25"/>
      <c r="I27" s="25">
        <f t="shared" si="8"/>
        <v>633400</v>
      </c>
      <c r="J27" s="25">
        <f>+G27*0.4</f>
        <v>1266800</v>
      </c>
      <c r="K27" s="25">
        <f>+G27*0.4</f>
        <v>1266800</v>
      </c>
      <c r="L27" s="25"/>
      <c r="M27" s="25"/>
      <c r="O27" s="94">
        <f t="shared" si="1"/>
        <v>0</v>
      </c>
      <c r="T27" s="80"/>
      <c r="U27" s="80"/>
    </row>
    <row r="28" spans="1:21" ht="30.75" customHeight="1">
      <c r="A28" s="105" t="s">
        <v>36</v>
      </c>
      <c r="B28" s="106"/>
      <c r="C28" s="131"/>
      <c r="D28" s="106"/>
      <c r="E28" s="106" t="s">
        <v>8</v>
      </c>
      <c r="F28" s="125">
        <v>10000</v>
      </c>
      <c r="G28" s="1">
        <f ca="1">PRODUCT(F28,ԼԻՃՔ!$D28)</f>
        <v>10000</v>
      </c>
      <c r="H28" s="25"/>
      <c r="I28" s="25">
        <f t="shared" si="8"/>
        <v>2000</v>
      </c>
      <c r="J28" s="25">
        <f>+G28*0.5</f>
        <v>5000</v>
      </c>
      <c r="K28" s="25">
        <f>+G28*0.3</f>
        <v>3000</v>
      </c>
      <c r="L28" s="25"/>
      <c r="M28" s="25"/>
      <c r="O28" s="94">
        <f t="shared" si="1"/>
        <v>0</v>
      </c>
      <c r="T28" s="80"/>
      <c r="U28" s="80"/>
    </row>
    <row r="29" spans="1:21" ht="33" customHeight="1">
      <c r="A29" s="105" t="s">
        <v>37</v>
      </c>
      <c r="B29" s="106"/>
      <c r="C29" s="131"/>
      <c r="D29" s="106"/>
      <c r="E29" s="106" t="s">
        <v>8</v>
      </c>
      <c r="F29" s="125">
        <v>50000</v>
      </c>
      <c r="G29" s="1">
        <f ca="1">PRODUCT(F29,ԼԻՃՔ!$D29)</f>
        <v>50000</v>
      </c>
      <c r="H29" s="25"/>
      <c r="I29" s="25">
        <f t="shared" si="8"/>
        <v>10000</v>
      </c>
      <c r="J29" s="25">
        <f>+G29*0.6</f>
        <v>30000</v>
      </c>
      <c r="K29" s="25">
        <f>+G29*0.2</f>
        <v>10000</v>
      </c>
      <c r="L29" s="25"/>
      <c r="M29" s="25"/>
      <c r="O29" s="94">
        <f t="shared" si="1"/>
        <v>0</v>
      </c>
      <c r="T29" s="80"/>
      <c r="U29" s="80"/>
    </row>
    <row r="30" spans="1:21" ht="37.5" customHeight="1">
      <c r="A30" s="105" t="s">
        <v>61</v>
      </c>
      <c r="B30" s="106"/>
      <c r="C30" s="131"/>
      <c r="D30" s="106"/>
      <c r="E30" s="106" t="s">
        <v>8</v>
      </c>
      <c r="F30" s="125">
        <v>50000</v>
      </c>
      <c r="G30" s="1">
        <f ca="1">PRODUCT(F30,ԼԻՃՔ!$D30)</f>
        <v>50000</v>
      </c>
      <c r="H30" s="25"/>
      <c r="I30" s="25">
        <f t="shared" si="8"/>
        <v>10000</v>
      </c>
      <c r="J30" s="25">
        <f>+G30*0.4</f>
        <v>20000</v>
      </c>
      <c r="K30" s="25">
        <f>+G30*0.4</f>
        <v>20000</v>
      </c>
      <c r="L30" s="25"/>
      <c r="M30" s="25"/>
      <c r="O30" s="94">
        <f t="shared" si="1"/>
        <v>0</v>
      </c>
      <c r="T30" s="80"/>
      <c r="U30" s="80"/>
    </row>
    <row r="31" spans="1:21" ht="39" customHeight="1">
      <c r="A31" s="105" t="s">
        <v>38</v>
      </c>
      <c r="B31" s="106"/>
      <c r="C31" s="131"/>
      <c r="D31" s="106"/>
      <c r="E31" s="106" t="s">
        <v>8</v>
      </c>
      <c r="F31" s="125">
        <v>32000</v>
      </c>
      <c r="G31" s="1">
        <f ca="1">PRODUCT(F31,ԼԻՃՔ!$D31)</f>
        <v>32000</v>
      </c>
      <c r="H31" s="25"/>
      <c r="I31" s="25">
        <f t="shared" si="8"/>
        <v>6400</v>
      </c>
      <c r="J31" s="25"/>
      <c r="K31" s="25">
        <f>+G31*0.8</f>
        <v>25600</v>
      </c>
      <c r="L31" s="25"/>
      <c r="M31" s="25"/>
      <c r="O31" s="94">
        <f t="shared" si="1"/>
        <v>0</v>
      </c>
      <c r="T31" s="80"/>
      <c r="U31" s="80"/>
    </row>
    <row r="32" spans="1:21" ht="41.25" customHeight="1" thickBot="1">
      <c r="A32" s="121" t="s">
        <v>52</v>
      </c>
      <c r="B32" s="106"/>
      <c r="C32" s="131"/>
      <c r="D32" s="132"/>
      <c r="E32" s="106" t="s">
        <v>8</v>
      </c>
      <c r="F32" s="167">
        <v>400000</v>
      </c>
      <c r="G32" s="23">
        <f ca="1">PRODUCT(F32,ԼԻՃՔ!$D32)</f>
        <v>400000</v>
      </c>
      <c r="H32" s="32">
        <f>+G32*0.4</f>
        <v>160000</v>
      </c>
      <c r="I32" s="32">
        <f>+G32*0.2</f>
        <v>80000</v>
      </c>
      <c r="J32" s="32">
        <f>+G32*0.2</f>
        <v>80000</v>
      </c>
      <c r="K32" s="32">
        <f>+G32*0.2</f>
        <v>80000</v>
      </c>
      <c r="L32" s="32"/>
      <c r="M32" s="32"/>
      <c r="O32" s="94">
        <f t="shared" si="1"/>
        <v>0</v>
      </c>
      <c r="T32" s="80"/>
      <c r="U32" s="80"/>
    </row>
    <row r="33" spans="1:20" s="82" customFormat="1" ht="32.25" customHeight="1" thickBot="1">
      <c r="A33" s="196" t="s">
        <v>62</v>
      </c>
      <c r="B33" s="197"/>
      <c r="C33" s="197"/>
      <c r="D33" s="197"/>
      <c r="E33" s="197"/>
      <c r="F33" s="213"/>
      <c r="G33" s="28">
        <f t="shared" ref="G33:M33" si="9">SUBTOTAL(9,G5:G32)</f>
        <v>6036405</v>
      </c>
      <c r="H33" s="28">
        <f t="shared" si="9"/>
        <v>160000</v>
      </c>
      <c r="I33" s="28">
        <f t="shared" si="9"/>
        <v>1207281</v>
      </c>
      <c r="J33" s="28">
        <f t="shared" si="9"/>
        <v>2798243</v>
      </c>
      <c r="K33" s="28">
        <f t="shared" si="9"/>
        <v>1870881</v>
      </c>
      <c r="L33" s="28">
        <f t="shared" si="9"/>
        <v>0</v>
      </c>
      <c r="M33" s="28">
        <f t="shared" si="9"/>
        <v>0</v>
      </c>
      <c r="O33" s="94">
        <f t="shared" si="1"/>
        <v>0</v>
      </c>
      <c r="S33" s="136"/>
      <c r="T33" s="136"/>
    </row>
    <row r="35" spans="1:20" ht="18" customHeight="1">
      <c r="G35" s="180"/>
    </row>
    <row r="36" spans="1:20" ht="18" customHeight="1">
      <c r="G36" s="180"/>
    </row>
    <row r="37" spans="1:20" ht="18" customHeight="1">
      <c r="G37" s="180"/>
    </row>
    <row r="38" spans="1:20" ht="18" customHeight="1">
      <c r="G38" s="180"/>
    </row>
    <row r="39" spans="1:20" ht="18" customHeight="1">
      <c r="G39" s="180"/>
    </row>
    <row r="40" spans="1:20" ht="18" customHeight="1">
      <c r="G40" s="181"/>
    </row>
  </sheetData>
  <mergeCells count="10">
    <mergeCell ref="A33:F33"/>
    <mergeCell ref="A2:M2"/>
    <mergeCell ref="H3:M3"/>
    <mergeCell ref="A3:A4"/>
    <mergeCell ref="B3:B4"/>
    <mergeCell ref="C3:C4"/>
    <mergeCell ref="D3:D4"/>
    <mergeCell ref="E3:E4"/>
    <mergeCell ref="F3:F4"/>
    <mergeCell ref="G3:G4"/>
  </mergeCells>
  <phoneticPr fontId="0" type="noConversion"/>
  <pageMargins left="0.23622047244094491" right="0.23622047244094491" top="0.47244094488188981" bottom="0" header="0.11811023622047245" footer="0"/>
  <pageSetup paperSize="9" scale="52" fitToWidth="2" fitToHeight="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U30"/>
  <sheetViews>
    <sheetView showGridLines="0" view="pageBreakPreview" topLeftCell="A13" zoomScale="60" zoomScaleNormal="70" zoomScalePageLayoutView="120" workbookViewId="0">
      <selection activeCell="A13" sqref="A1:IV65536"/>
    </sheetView>
  </sheetViews>
  <sheetFormatPr defaultColWidth="10.875" defaultRowHeight="18" customHeight="1"/>
  <cols>
    <col min="1" max="1" width="20.625" style="20" customWidth="1"/>
    <col min="2" max="2" width="35.5" style="20" customWidth="1"/>
    <col min="3" max="3" width="23.75" style="190" customWidth="1"/>
    <col min="4" max="4" width="11" style="20" customWidth="1"/>
    <col min="5" max="5" width="18.375" style="20" customWidth="1"/>
    <col min="6" max="6" width="16.125" style="20" customWidth="1"/>
    <col min="7" max="7" width="17.125" style="20" customWidth="1"/>
    <col min="8" max="8" width="17.375" style="20" customWidth="1"/>
    <col min="9" max="9" width="18.5" style="20" customWidth="1"/>
    <col min="10" max="11" width="17.375" style="20" customWidth="1"/>
    <col min="12" max="12" width="18.125" style="20" customWidth="1"/>
    <col min="13" max="13" width="21.5" style="20" customWidth="1"/>
    <col min="14" max="14" width="10.875" style="20"/>
    <col min="15" max="15" width="15.75" style="20" customWidth="1"/>
    <col min="16" max="19" width="10.875" style="20"/>
    <col min="20" max="21" width="10.875" style="22"/>
    <col min="22" max="16384" width="10.875" style="20"/>
  </cols>
  <sheetData>
    <row r="1" spans="1:21" s="82" customFormat="1" ht="29.25" customHeight="1">
      <c r="C1" s="169"/>
      <c r="M1" s="184" t="s">
        <v>100</v>
      </c>
      <c r="S1" s="136"/>
      <c r="T1" s="136"/>
    </row>
    <row r="2" spans="1:21" ht="53.25" customHeight="1">
      <c r="A2" s="222" t="s">
        <v>70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T2" s="20"/>
      <c r="U2" s="20"/>
    </row>
    <row r="3" spans="1:21" ht="18" customHeight="1" thickBot="1">
      <c r="T3" s="20"/>
      <c r="U3" s="20"/>
    </row>
    <row r="4" spans="1:21" ht="41.25" customHeight="1">
      <c r="A4" s="223" t="s">
        <v>13</v>
      </c>
      <c r="B4" s="225" t="s">
        <v>65</v>
      </c>
      <c r="C4" s="227" t="s">
        <v>16</v>
      </c>
      <c r="D4" s="229" t="s">
        <v>14</v>
      </c>
      <c r="E4" s="231" t="s">
        <v>15</v>
      </c>
      <c r="F4" s="233" t="s">
        <v>63</v>
      </c>
      <c r="G4" s="215" t="s">
        <v>64</v>
      </c>
      <c r="H4" s="217" t="s">
        <v>60</v>
      </c>
      <c r="I4" s="218"/>
      <c r="J4" s="218"/>
      <c r="K4" s="218"/>
      <c r="L4" s="218"/>
      <c r="M4" s="219"/>
      <c r="T4" s="20"/>
      <c r="U4" s="20"/>
    </row>
    <row r="5" spans="1:21" s="21" customFormat="1" ht="42.75" customHeight="1" thickBot="1">
      <c r="A5" s="224"/>
      <c r="B5" s="226"/>
      <c r="C5" s="228"/>
      <c r="D5" s="230"/>
      <c r="E5" s="232"/>
      <c r="F5" s="234"/>
      <c r="G5" s="216"/>
      <c r="H5" s="29">
        <v>2018</v>
      </c>
      <c r="I5" s="30">
        <v>2019</v>
      </c>
      <c r="J5" s="30">
        <v>2020</v>
      </c>
      <c r="K5" s="31">
        <v>2021</v>
      </c>
      <c r="L5" s="187">
        <v>2022</v>
      </c>
      <c r="M5" s="188">
        <v>2023</v>
      </c>
    </row>
    <row r="6" spans="1:21" ht="33.75" customHeight="1" thickBot="1">
      <c r="A6" s="54" t="s">
        <v>104</v>
      </c>
      <c r="B6" s="55"/>
      <c r="C6" s="56"/>
      <c r="D6" s="55"/>
      <c r="E6" s="57"/>
      <c r="F6" s="58"/>
      <c r="G6" s="59">
        <f t="shared" ref="G6:M6" si="0">SUBTOTAL(9,G7:G8)</f>
        <v>3929000</v>
      </c>
      <c r="H6" s="59">
        <f t="shared" si="0"/>
        <v>0</v>
      </c>
      <c r="I6" s="59">
        <f t="shared" si="0"/>
        <v>0</v>
      </c>
      <c r="J6" s="59">
        <f t="shared" si="0"/>
        <v>0</v>
      </c>
      <c r="K6" s="59">
        <f t="shared" si="0"/>
        <v>785800</v>
      </c>
      <c r="L6" s="59">
        <f t="shared" si="0"/>
        <v>3143200</v>
      </c>
      <c r="M6" s="59">
        <f t="shared" si="0"/>
        <v>0</v>
      </c>
      <c r="T6" s="20"/>
      <c r="U6" s="20"/>
    </row>
    <row r="7" spans="1:21" ht="38.25" customHeight="1">
      <c r="A7" s="2"/>
      <c r="B7" s="109" t="s">
        <v>23</v>
      </c>
      <c r="C7" s="110" t="s">
        <v>7</v>
      </c>
      <c r="D7" s="98">
        <v>2</v>
      </c>
      <c r="E7" s="99" t="s">
        <v>22</v>
      </c>
      <c r="F7" s="12">
        <v>1492000</v>
      </c>
      <c r="G7" s="5">
        <f>PRODUCT(F7,'[1]ՏՐԱՆՍՖՈՐՄԱՏՈՐՆԵՐ և ԱՅԼ'!$D7)</f>
        <v>2984000</v>
      </c>
      <c r="H7" s="12"/>
      <c r="I7" s="12"/>
      <c r="J7" s="12"/>
      <c r="K7" s="12">
        <f>+G7*0.2</f>
        <v>596800</v>
      </c>
      <c r="L7" s="12">
        <f>+G7*0.8</f>
        <v>2387200</v>
      </c>
      <c r="M7" s="100"/>
      <c r="T7" s="20"/>
      <c r="U7" s="20"/>
    </row>
    <row r="8" spans="1:21" ht="45.75" customHeight="1" thickBot="1">
      <c r="A8" s="13"/>
      <c r="B8" s="111" t="s">
        <v>24</v>
      </c>
      <c r="C8" s="112" t="s">
        <v>0</v>
      </c>
      <c r="D8" s="113">
        <v>2</v>
      </c>
      <c r="E8" s="114" t="s">
        <v>22</v>
      </c>
      <c r="F8" s="115">
        <v>472500.00000000006</v>
      </c>
      <c r="G8" s="11">
        <f>PRODUCT(F8,'[1]ՏՐԱՆՍՖՈՐՄԱՏՈՐՆԵՐ և ԱՅԼ'!$D8)</f>
        <v>945000.00000000012</v>
      </c>
      <c r="H8" s="115"/>
      <c r="I8" s="12"/>
      <c r="J8" s="12"/>
      <c r="K8" s="12">
        <f>+G8*0.2</f>
        <v>189000.00000000003</v>
      </c>
      <c r="L8" s="12">
        <f>+G8*0.8</f>
        <v>756000.00000000012</v>
      </c>
      <c r="M8" s="116"/>
      <c r="T8" s="20"/>
      <c r="U8" s="20"/>
    </row>
    <row r="9" spans="1:21" ht="37.5" customHeight="1" thickBot="1">
      <c r="A9" s="54" t="s">
        <v>53</v>
      </c>
      <c r="B9" s="55"/>
      <c r="C9" s="56"/>
      <c r="D9" s="55"/>
      <c r="E9" s="57"/>
      <c r="F9" s="58"/>
      <c r="G9" s="59">
        <f t="shared" ref="G9:M9" si="1">SUBTOTAL(9,G10:G11)</f>
        <v>2437000</v>
      </c>
      <c r="H9" s="59">
        <f t="shared" si="1"/>
        <v>0</v>
      </c>
      <c r="I9" s="59">
        <f t="shared" si="1"/>
        <v>1218500</v>
      </c>
      <c r="J9" s="59">
        <f t="shared" si="1"/>
        <v>1218500</v>
      </c>
      <c r="K9" s="59">
        <f t="shared" si="1"/>
        <v>0</v>
      </c>
      <c r="L9" s="59">
        <f t="shared" si="1"/>
        <v>0</v>
      </c>
      <c r="M9" s="59">
        <f t="shared" si="1"/>
        <v>0</v>
      </c>
      <c r="T9" s="20"/>
      <c r="U9" s="20"/>
    </row>
    <row r="10" spans="1:21" ht="51.75" customHeight="1">
      <c r="A10" s="2"/>
      <c r="B10" s="6" t="s">
        <v>23</v>
      </c>
      <c r="C10" s="7" t="s">
        <v>7</v>
      </c>
      <c r="D10" s="3">
        <v>1</v>
      </c>
      <c r="E10" s="24" t="s">
        <v>22</v>
      </c>
      <c r="F10" s="4">
        <v>1492000</v>
      </c>
      <c r="G10" s="5">
        <f ca="1">PRODUCT(F10,'ՏՐԱՆՍՖՈՐՄԱՏՈՐՆԵՐ և ԱՅԼ'!$D10)</f>
        <v>1492000</v>
      </c>
      <c r="H10" s="4"/>
      <c r="I10" s="4">
        <f>+G10*0.5</f>
        <v>746000</v>
      </c>
      <c r="J10" s="4">
        <f>+G10*0.5</f>
        <v>746000</v>
      </c>
      <c r="K10" s="4"/>
      <c r="L10" s="4"/>
      <c r="M10" s="4"/>
      <c r="T10" s="20"/>
      <c r="U10" s="20"/>
    </row>
    <row r="11" spans="1:21" ht="53.25" customHeight="1" thickBot="1">
      <c r="A11" s="13"/>
      <c r="B11" s="18" t="s">
        <v>24</v>
      </c>
      <c r="C11" s="15" t="s">
        <v>0</v>
      </c>
      <c r="D11" s="16">
        <v>2</v>
      </c>
      <c r="E11" s="48" t="s">
        <v>22</v>
      </c>
      <c r="F11" s="19">
        <v>472500.00000000006</v>
      </c>
      <c r="G11" s="11">
        <f ca="1">PRODUCT(F11,'ՏՐԱՆՍՖՈՐՄԱՏՈՐՆԵՐ և ԱՅԼ'!$D11)</f>
        <v>945000.00000000012</v>
      </c>
      <c r="H11" s="19"/>
      <c r="I11" s="4">
        <f>+G11*0.5</f>
        <v>472500.00000000006</v>
      </c>
      <c r="J11" s="4">
        <f>+G11*0.5</f>
        <v>472500.00000000006</v>
      </c>
      <c r="K11" s="19"/>
      <c r="L11" s="19"/>
      <c r="M11" s="19"/>
      <c r="T11" s="20"/>
      <c r="U11" s="20"/>
    </row>
    <row r="12" spans="1:21" ht="36.75" customHeight="1" thickBot="1">
      <c r="A12" s="54" t="s">
        <v>56</v>
      </c>
      <c r="B12" s="55"/>
      <c r="C12" s="56"/>
      <c r="D12" s="55"/>
      <c r="E12" s="57"/>
      <c r="F12" s="58"/>
      <c r="G12" s="59">
        <f t="shared" ref="G12:M12" si="2">SUBTOTAL(9,G13:G13)</f>
        <v>999000.00000000012</v>
      </c>
      <c r="H12" s="59">
        <f t="shared" si="2"/>
        <v>0</v>
      </c>
      <c r="I12" s="59">
        <f t="shared" si="2"/>
        <v>999000.00000000012</v>
      </c>
      <c r="J12" s="59">
        <f t="shared" si="2"/>
        <v>0</v>
      </c>
      <c r="K12" s="59">
        <f t="shared" si="2"/>
        <v>0</v>
      </c>
      <c r="L12" s="59">
        <f t="shared" si="2"/>
        <v>0</v>
      </c>
      <c r="M12" s="59">
        <f t="shared" si="2"/>
        <v>0</v>
      </c>
      <c r="T12" s="20"/>
      <c r="U12" s="20"/>
    </row>
    <row r="13" spans="1:21" ht="57" customHeight="1" thickBot="1">
      <c r="A13" s="60"/>
      <c r="B13" s="61" t="s">
        <v>83</v>
      </c>
      <c r="C13" s="62" t="s">
        <v>84</v>
      </c>
      <c r="D13" s="63">
        <v>2</v>
      </c>
      <c r="E13" s="64" t="s">
        <v>22</v>
      </c>
      <c r="F13" s="40">
        <v>499500.00000000006</v>
      </c>
      <c r="G13" s="41">
        <f ca="1">PRODUCT(F13,'ՏՐԱՆՍՖՈՐՄԱՏՈՐՆԵՐ և ԱՅԼ'!$D13)</f>
        <v>999000.00000000012</v>
      </c>
      <c r="H13" s="40"/>
      <c r="I13" s="40">
        <f>+G13</f>
        <v>999000.00000000012</v>
      </c>
      <c r="J13" s="40"/>
      <c r="K13" s="40"/>
      <c r="L13" s="40"/>
      <c r="M13" s="40"/>
    </row>
    <row r="14" spans="1:21" ht="39" customHeight="1" thickBot="1">
      <c r="A14" s="54" t="s">
        <v>57</v>
      </c>
      <c r="B14" s="55"/>
      <c r="C14" s="56"/>
      <c r="D14" s="55"/>
      <c r="E14" s="57"/>
      <c r="F14" s="58"/>
      <c r="G14" s="59">
        <f t="shared" ref="G14:M14" si="3">SUBTOTAL(9,G15:G15)</f>
        <v>1620000</v>
      </c>
      <c r="H14" s="59">
        <f t="shared" si="3"/>
        <v>0</v>
      </c>
      <c r="I14" s="59">
        <f t="shared" si="3"/>
        <v>810000</v>
      </c>
      <c r="J14" s="59">
        <f t="shared" si="3"/>
        <v>810000</v>
      </c>
      <c r="K14" s="59">
        <f t="shared" si="3"/>
        <v>0</v>
      </c>
      <c r="L14" s="59">
        <f t="shared" si="3"/>
        <v>0</v>
      </c>
      <c r="M14" s="59">
        <f t="shared" si="3"/>
        <v>0</v>
      </c>
      <c r="T14" s="20"/>
      <c r="U14" s="20"/>
    </row>
    <row r="15" spans="1:21" ht="63.75" customHeight="1" thickBot="1">
      <c r="A15" s="60"/>
      <c r="B15" s="61" t="s">
        <v>83</v>
      </c>
      <c r="C15" s="62" t="s">
        <v>54</v>
      </c>
      <c r="D15" s="63">
        <v>2</v>
      </c>
      <c r="E15" s="64" t="s">
        <v>22</v>
      </c>
      <c r="F15" s="40">
        <v>810000</v>
      </c>
      <c r="G15" s="41">
        <f ca="1">PRODUCT(F15,'ՏՐԱՆՍՖՈՐՄԱՏՈՐՆԵՐ և ԱՅԼ'!$D15)</f>
        <v>1620000</v>
      </c>
      <c r="H15" s="40"/>
      <c r="I15" s="40">
        <f>+G15*0.5</f>
        <v>810000</v>
      </c>
      <c r="J15" s="40">
        <f>+G15*0.5</f>
        <v>810000</v>
      </c>
      <c r="K15" s="40"/>
      <c r="L15" s="40"/>
      <c r="M15" s="40"/>
    </row>
    <row r="16" spans="1:21" ht="33" customHeight="1" thickBot="1">
      <c r="A16" s="54" t="s">
        <v>58</v>
      </c>
      <c r="B16" s="55"/>
      <c r="C16" s="56"/>
      <c r="D16" s="55"/>
      <c r="E16" s="57"/>
      <c r="F16" s="58"/>
      <c r="G16" s="59">
        <f t="shared" ref="G16:M16" si="4">SUBTOTAL(9,G17:G18)</f>
        <v>3229000</v>
      </c>
      <c r="H16" s="59">
        <f t="shared" si="4"/>
        <v>0</v>
      </c>
      <c r="I16" s="59">
        <f t="shared" si="4"/>
        <v>1614500</v>
      </c>
      <c r="J16" s="59">
        <f t="shared" si="4"/>
        <v>1614500</v>
      </c>
      <c r="K16" s="59">
        <f t="shared" si="4"/>
        <v>0</v>
      </c>
      <c r="L16" s="59">
        <f t="shared" si="4"/>
        <v>0</v>
      </c>
      <c r="M16" s="59">
        <f t="shared" si="4"/>
        <v>0</v>
      </c>
      <c r="T16" s="20"/>
      <c r="U16" s="20"/>
    </row>
    <row r="17" spans="1:21" ht="59.25" customHeight="1">
      <c r="A17" s="42"/>
      <c r="B17" s="43" t="s">
        <v>23</v>
      </c>
      <c r="C17" s="44" t="s">
        <v>55</v>
      </c>
      <c r="D17" s="45">
        <v>2</v>
      </c>
      <c r="E17" s="49" t="s">
        <v>22</v>
      </c>
      <c r="F17" s="46">
        <v>1142000</v>
      </c>
      <c r="G17" s="47">
        <f ca="1">PRODUCT(F17,'ՏՐԱՆՍՖՈՐՄԱՏՈՐՆԵՐ և ԱՅԼ'!$D17)</f>
        <v>2284000</v>
      </c>
      <c r="H17" s="46"/>
      <c r="I17" s="46">
        <f>+G17*0.5</f>
        <v>1142000</v>
      </c>
      <c r="J17" s="46">
        <f>+G17*0.5</f>
        <v>1142000</v>
      </c>
      <c r="K17" s="46"/>
      <c r="L17" s="46"/>
      <c r="M17" s="46"/>
    </row>
    <row r="18" spans="1:21" ht="63.75" customHeight="1" thickBot="1">
      <c r="A18" s="13"/>
      <c r="B18" s="14" t="s">
        <v>24</v>
      </c>
      <c r="C18" s="15" t="s">
        <v>0</v>
      </c>
      <c r="D18" s="16">
        <v>2</v>
      </c>
      <c r="E18" s="48" t="s">
        <v>22</v>
      </c>
      <c r="F18" s="17">
        <v>472500.00000000006</v>
      </c>
      <c r="G18" s="11">
        <f ca="1">PRODUCT(F18,'ՏՐԱՆՍՖՈՐՄԱՏՈՐՆԵՐ և ԱՅԼ'!$D18)</f>
        <v>945000.00000000012</v>
      </c>
      <c r="H18" s="17"/>
      <c r="I18" s="12">
        <f>+G18*0.5</f>
        <v>472500.00000000006</v>
      </c>
      <c r="J18" s="12">
        <f>+G18*0.5</f>
        <v>472500.00000000006</v>
      </c>
      <c r="K18" s="17"/>
      <c r="L18" s="17"/>
      <c r="M18" s="17"/>
    </row>
    <row r="19" spans="1:21" ht="45" customHeight="1" thickBot="1">
      <c r="A19" s="54" t="s">
        <v>67</v>
      </c>
      <c r="B19" s="55"/>
      <c r="C19" s="56"/>
      <c r="D19" s="55"/>
      <c r="E19" s="57"/>
      <c r="F19" s="58"/>
      <c r="G19" s="59">
        <f t="shared" ref="G19:M19" si="5">SUBTOTAL(9,G20:G21)</f>
        <v>1350000</v>
      </c>
      <c r="H19" s="59">
        <f t="shared" si="5"/>
        <v>1350000</v>
      </c>
      <c r="I19" s="59">
        <f t="shared" si="5"/>
        <v>0</v>
      </c>
      <c r="J19" s="59">
        <f t="shared" si="5"/>
        <v>0</v>
      </c>
      <c r="K19" s="59">
        <f t="shared" si="5"/>
        <v>0</v>
      </c>
      <c r="L19" s="59">
        <f t="shared" si="5"/>
        <v>0</v>
      </c>
      <c r="M19" s="59">
        <f t="shared" si="5"/>
        <v>0</v>
      </c>
    </row>
    <row r="20" spans="1:21" ht="50.25" customHeight="1">
      <c r="A20" s="42"/>
      <c r="B20" s="43" t="s">
        <v>68</v>
      </c>
      <c r="C20" s="44"/>
      <c r="D20" s="45">
        <v>1</v>
      </c>
      <c r="E20" s="49" t="s">
        <v>22</v>
      </c>
      <c r="F20" s="46">
        <v>250000</v>
      </c>
      <c r="G20" s="5">
        <f ca="1">PRODUCT(F20,'ՏՐԱՆՍՖՈՐՄԱՏՈՐՆԵՐ և ԱՅԼ'!$D20)</f>
        <v>250000</v>
      </c>
      <c r="H20" s="52">
        <f>+G20</f>
        <v>250000</v>
      </c>
      <c r="I20" s="50"/>
      <c r="J20" s="46"/>
      <c r="K20" s="46"/>
      <c r="L20" s="46"/>
      <c r="M20" s="46"/>
    </row>
    <row r="21" spans="1:21" ht="42.75" customHeight="1" thickBot="1">
      <c r="A21" s="13"/>
      <c r="B21" s="43" t="s">
        <v>69</v>
      </c>
      <c r="C21" s="15"/>
      <c r="D21" s="16">
        <v>1</v>
      </c>
      <c r="E21" s="48" t="s">
        <v>22</v>
      </c>
      <c r="F21" s="40">
        <v>1100000</v>
      </c>
      <c r="G21" s="5">
        <f ca="1">PRODUCT(F21,'ՏՐԱՆՍՖՈՐՄԱՏՈՐՆԵՐ և ԱՅԼ'!$D21)</f>
        <v>1100000</v>
      </c>
      <c r="H21" s="53">
        <f>+G21</f>
        <v>1100000</v>
      </c>
      <c r="I21" s="51"/>
      <c r="J21" s="41"/>
      <c r="K21" s="41"/>
      <c r="L21" s="41"/>
      <c r="M21" s="41"/>
    </row>
    <row r="22" spans="1:21" ht="42" customHeight="1" thickBot="1">
      <c r="A22" s="54" t="s">
        <v>66</v>
      </c>
      <c r="B22" s="55"/>
      <c r="C22" s="56"/>
      <c r="D22" s="55"/>
      <c r="E22" s="55"/>
      <c r="F22" s="58"/>
      <c r="G22" s="59">
        <f>SUM(H22:M22)</f>
        <v>3700000</v>
      </c>
      <c r="H22" s="59">
        <v>1200000</v>
      </c>
      <c r="I22" s="59">
        <v>500000</v>
      </c>
      <c r="J22" s="59">
        <v>500000</v>
      </c>
      <c r="K22" s="59">
        <v>500000</v>
      </c>
      <c r="L22" s="59">
        <v>500000</v>
      </c>
      <c r="M22" s="59">
        <v>500000</v>
      </c>
      <c r="T22" s="20"/>
      <c r="U22" s="20"/>
    </row>
    <row r="23" spans="1:21" ht="31.5" customHeight="1" thickBot="1">
      <c r="A23" s="34"/>
      <c r="B23" s="35"/>
      <c r="C23" s="36"/>
      <c r="D23" s="33"/>
      <c r="E23" s="33"/>
      <c r="F23" s="37"/>
      <c r="G23" s="38"/>
      <c r="H23" s="37"/>
      <c r="I23" s="37"/>
      <c r="J23" s="37"/>
      <c r="K23" s="37"/>
      <c r="L23" s="37"/>
      <c r="M23" s="37"/>
    </row>
    <row r="24" spans="1:21" ht="42" customHeight="1" thickBot="1">
      <c r="A24" s="220" t="s">
        <v>62</v>
      </c>
      <c r="B24" s="221"/>
      <c r="C24" s="221"/>
      <c r="D24" s="221"/>
      <c r="E24" s="221"/>
      <c r="F24" s="221"/>
      <c r="G24" s="39">
        <f>SUBTOTAL(9,G6:G22)</f>
        <v>17264000</v>
      </c>
      <c r="H24" s="39">
        <f t="shared" ref="H24:M24" si="6">SUBTOTAL(9,H6:H22)</f>
        <v>2550000</v>
      </c>
      <c r="I24" s="39">
        <f t="shared" si="6"/>
        <v>5142000</v>
      </c>
      <c r="J24" s="39">
        <f t="shared" si="6"/>
        <v>4143000</v>
      </c>
      <c r="K24" s="39">
        <f t="shared" si="6"/>
        <v>1285800</v>
      </c>
      <c r="L24" s="39">
        <f t="shared" si="6"/>
        <v>3643200</v>
      </c>
      <c r="M24" s="39">
        <f t="shared" si="6"/>
        <v>500000</v>
      </c>
      <c r="O24" s="27">
        <f>SUM(H24:M24)-G24</f>
        <v>0</v>
      </c>
      <c r="S24" s="22"/>
      <c r="U24" s="20"/>
    </row>
    <row r="25" spans="1:21" ht="45" customHeight="1">
      <c r="A25" s="34"/>
      <c r="B25" s="35"/>
      <c r="C25" s="36"/>
      <c r="D25" s="33"/>
      <c r="E25" s="33"/>
      <c r="F25" s="37"/>
      <c r="G25" s="38"/>
      <c r="H25" s="37"/>
      <c r="I25" s="37"/>
      <c r="J25" s="37"/>
      <c r="K25" s="37"/>
      <c r="L25" s="37"/>
      <c r="M25" s="37"/>
    </row>
    <row r="26" spans="1:21" ht="18" customHeight="1">
      <c r="G26" s="27"/>
    </row>
    <row r="27" spans="1:21" ht="18" customHeight="1">
      <c r="G27" s="27"/>
    </row>
    <row r="28" spans="1:21" ht="18" customHeight="1">
      <c r="G28" s="27"/>
    </row>
    <row r="29" spans="1:21" ht="18" customHeight="1">
      <c r="G29" s="191"/>
    </row>
    <row r="30" spans="1:21" ht="18" customHeight="1">
      <c r="G30" s="27"/>
    </row>
  </sheetData>
  <mergeCells count="10">
    <mergeCell ref="G4:G5"/>
    <mergeCell ref="H4:M4"/>
    <mergeCell ref="A24:F24"/>
    <mergeCell ref="A2:M2"/>
    <mergeCell ref="A4:A5"/>
    <mergeCell ref="B4:B5"/>
    <mergeCell ref="C4:C5"/>
    <mergeCell ref="D4:D5"/>
    <mergeCell ref="E4:E5"/>
    <mergeCell ref="F4:F5"/>
  </mergeCells>
  <phoneticPr fontId="0" type="noConversion"/>
  <pageMargins left="0.23622047244094491" right="0.23622047244094491" top="0.47244094488188981" bottom="0" header="0.11811023622047245" footer="0"/>
  <pageSetup paperSize="9" scale="52" fitToWidth="2" fitToHeight="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7"/>
  <sheetViews>
    <sheetView tabSelected="1" view="pageBreakPreview" topLeftCell="A16" zoomScale="60" workbookViewId="0">
      <selection activeCell="O26" sqref="O26"/>
    </sheetView>
  </sheetViews>
  <sheetFormatPr defaultRowHeight="16.5"/>
  <cols>
    <col min="1" max="1" width="10.75" style="65" customWidth="1"/>
    <col min="2" max="2" width="14.625" style="65" customWidth="1"/>
    <col min="3" max="3" width="17.75" style="65" customWidth="1"/>
    <col min="4" max="4" width="16.875" style="65" customWidth="1"/>
    <col min="5" max="5" width="14.75" style="65" customWidth="1"/>
    <col min="6" max="6" width="14.875" style="65" customWidth="1"/>
    <col min="7" max="7" width="14.75" style="65" customWidth="1"/>
    <col min="8" max="8" width="21.875" style="65" customWidth="1"/>
    <col min="9" max="9" width="16.25" style="65" customWidth="1"/>
    <col min="10" max="10" width="10.5" style="65" customWidth="1"/>
    <col min="11" max="11" width="9" style="65"/>
    <col min="12" max="12" width="10.25" style="65" bestFit="1" customWidth="1"/>
    <col min="13" max="13" width="15.375" style="65" bestFit="1" customWidth="1"/>
    <col min="14" max="14" width="9.5" style="65" bestFit="1" customWidth="1"/>
    <col min="15" max="16384" width="9" style="65"/>
  </cols>
  <sheetData>
    <row r="1" spans="1:12" ht="27.75" customHeight="1">
      <c r="I1" s="186" t="s">
        <v>93</v>
      </c>
    </row>
    <row r="2" spans="1:12" ht="72" customHeight="1">
      <c r="A2" s="235" t="s">
        <v>81</v>
      </c>
      <c r="B2" s="235"/>
      <c r="C2" s="235"/>
      <c r="D2" s="235"/>
      <c r="E2" s="235"/>
      <c r="F2" s="235"/>
      <c r="G2" s="235"/>
      <c r="H2" s="235"/>
      <c r="I2" s="235"/>
    </row>
    <row r="3" spans="1:12" ht="17.25" thickBot="1"/>
    <row r="4" spans="1:12" s="66" customFormat="1" ht="93.75" customHeight="1" thickBot="1">
      <c r="A4" s="75" t="s">
        <v>71</v>
      </c>
      <c r="B4" s="76" t="s">
        <v>72</v>
      </c>
      <c r="C4" s="76" t="s">
        <v>73</v>
      </c>
      <c r="D4" s="76" t="s">
        <v>74</v>
      </c>
      <c r="E4" s="76" t="s">
        <v>75</v>
      </c>
      <c r="F4" s="76" t="s">
        <v>76</v>
      </c>
      <c r="G4" s="76" t="s">
        <v>77</v>
      </c>
      <c r="H4" s="76" t="s">
        <v>78</v>
      </c>
      <c r="I4" s="77" t="s">
        <v>79</v>
      </c>
    </row>
    <row r="5" spans="1:12" s="66" customFormat="1" ht="29.25" customHeight="1" thickBot="1">
      <c r="A5" s="75">
        <v>1</v>
      </c>
      <c r="B5" s="76">
        <v>2</v>
      </c>
      <c r="C5" s="76">
        <v>3</v>
      </c>
      <c r="D5" s="76">
        <v>4</v>
      </c>
      <c r="E5" s="76">
        <v>5</v>
      </c>
      <c r="F5" s="76">
        <v>6</v>
      </c>
      <c r="G5" s="76">
        <v>7</v>
      </c>
      <c r="H5" s="76">
        <v>8</v>
      </c>
      <c r="I5" s="77">
        <v>9</v>
      </c>
    </row>
    <row r="6" spans="1:12" ht="33" customHeight="1">
      <c r="A6" s="78">
        <v>2018</v>
      </c>
      <c r="B6" s="70">
        <f ca="1">+(ԵՂԵԳՆԱՁՈՐ!H42+ԼԻՃՔ!H33+ՄԱՐԱՇ!H35+'ՇԱՀՈՒՄՅԱՆ-2'!H31+'ԱՐԱՐԱՏ-2'!H39+ԶՈՎՈՒՆԻ!H30+'ՏՐԱՆՍՖՈՐՄԱՏՈՐՆԵՐ և ԱՅԼ'!H24)*490/1000000</f>
        <v>1786.442</v>
      </c>
      <c r="C6" s="71"/>
      <c r="D6" s="71"/>
      <c r="E6" s="72"/>
      <c r="F6" s="72">
        <f>+D6+E6</f>
        <v>0</v>
      </c>
      <c r="G6" s="72">
        <f>+F6-B6</f>
        <v>-1786.442</v>
      </c>
      <c r="H6" s="72">
        <v>6446.1486999999997</v>
      </c>
      <c r="I6" s="72">
        <f>+F6/H6</f>
        <v>0</v>
      </c>
    </row>
    <row r="7" spans="1:12" ht="33" customHeight="1">
      <c r="A7" s="79">
        <f>+A6+1</f>
        <v>2019</v>
      </c>
      <c r="B7" s="70">
        <f ca="1">+(ԵՂԵԳՆԱՁՈՐ!I42+ԼԻՃՔ!I33+ՄԱՐԱՇ!I35+'ՇԱՀՈՒՄՅԱՆ-2'!I31+'ԱՐԱՐԱՏ-2'!I39+ԶՈՎՈՒՆԻ!I30+'ՏՐԱՆՍՖՈՐՄԱՏՈՐՆԵՐ և ԱՅԼ'!I24)*490/1000000</f>
        <v>6442.9926818768326</v>
      </c>
      <c r="C7" s="72">
        <f>+B6+C6-D6</f>
        <v>1786.442</v>
      </c>
      <c r="D7" s="72">
        <f>+$B$6/25</f>
        <v>71.457679999999996</v>
      </c>
      <c r="E7" s="72">
        <f>+C7*10%</f>
        <v>178.64420000000001</v>
      </c>
      <c r="F7" s="72">
        <f t="shared" ref="F7:F36" si="0">+D7+E7</f>
        <v>250.10187999999999</v>
      </c>
      <c r="G7" s="72">
        <f t="shared" ref="G7:G36" si="1">+F7-B7</f>
        <v>-6192.8908018768325</v>
      </c>
      <c r="H7" s="72">
        <f>+H6+H6*0.005</f>
        <v>6478.3794435</v>
      </c>
      <c r="I7" s="72">
        <f t="shared" ref="I7:I36" si="2">+F7/H7</f>
        <v>3.8605623857203446E-2</v>
      </c>
    </row>
    <row r="8" spans="1:12" ht="33" customHeight="1">
      <c r="A8" s="79">
        <f>+A7+1</f>
        <v>2020</v>
      </c>
      <c r="B8" s="70">
        <f ca="1">+(ԵՂԵԳՆԱՁՈՐ!J42+ԼԻՃՔ!J33+ՄԱՐԱՇ!J35+'ՇԱՀՈՒՄՅԱՆ-2'!J31+'ԱՐԱՐԱՏ-2'!J39+ԶՈՎՈՒՆԻ!J30+'ՏՐԱՆՍՖՈՐՄԱՏՈՐՆԵՐ և ԱՅԼ'!J24)*490/1000000</f>
        <v>9822.2648996304997</v>
      </c>
      <c r="C8" s="72">
        <f>+B7+C7-D7</f>
        <v>8157.9770018768313</v>
      </c>
      <c r="D8" s="72">
        <f>+$B$6/25+$B$7/25</f>
        <v>329.17738727507327</v>
      </c>
      <c r="E8" s="72">
        <f t="shared" ref="E8:E36" si="3">+C8*10%</f>
        <v>815.79770018768318</v>
      </c>
      <c r="F8" s="72">
        <f t="shared" si="0"/>
        <v>1144.9750874627564</v>
      </c>
      <c r="G8" s="72">
        <f t="shared" si="1"/>
        <v>-8677.2898121677426</v>
      </c>
      <c r="H8" s="72">
        <f t="shared" ref="H8:H36" si="4">+H7+H7*0.005</f>
        <v>6510.7713407174997</v>
      </c>
      <c r="I8" s="72">
        <f t="shared" si="2"/>
        <v>0.17585859302141885</v>
      </c>
      <c r="L8" s="69"/>
    </row>
    <row r="9" spans="1:12" ht="33" customHeight="1">
      <c r="A9" s="79">
        <f t="shared" ref="A9:A36" si="5">+A8+1</f>
        <v>2021</v>
      </c>
      <c r="B9" s="70">
        <f ca="1">+(ԵՂԵԳՆԱՁՈՐ!K42+ԼԻՃՔ!K33+ՄԱՐԱՇ!K35+'ՇԱՀՈՒՄՅԱՆ-2'!K31+'ԱՐԱՐԱՏ-2'!K39+ԶՈՎՈՒՆԻ!K30+'ՏՐԱՆՍՖՈՐՄԱՏՈՐՆԵՐ և ԱՅԼ'!K24)*490/1000000</f>
        <v>9620.9612519999991</v>
      </c>
      <c r="C9" s="72">
        <f t="shared" ref="C9:C14" si="6">+B8+C8-D8</f>
        <v>17651.064514232257</v>
      </c>
      <c r="D9" s="72">
        <f>+$B$6/25+$B$7/25+$B$8/25</f>
        <v>722.0679832602932</v>
      </c>
      <c r="E9" s="72">
        <f t="shared" si="3"/>
        <v>1765.1064514232257</v>
      </c>
      <c r="F9" s="72">
        <f t="shared" si="0"/>
        <v>2487.1744346835189</v>
      </c>
      <c r="G9" s="72">
        <f t="shared" si="1"/>
        <v>-7133.7868173164807</v>
      </c>
      <c r="H9" s="72">
        <f t="shared" si="4"/>
        <v>6543.3251974210871</v>
      </c>
      <c r="I9" s="72">
        <f t="shared" si="2"/>
        <v>0.38010863890179047</v>
      </c>
    </row>
    <row r="10" spans="1:12" ht="33" customHeight="1">
      <c r="A10" s="79">
        <f t="shared" si="5"/>
        <v>2022</v>
      </c>
      <c r="B10" s="70">
        <f ca="1">+(ԵՂԵԳՆԱՁՈՐ!L42+ԼԻՃՔ!L33+ՄԱՐԱՇ!L35+'ՇԱՀՈՒՄՅԱՆ-2'!L31+'ԱՐԱՐԱՏ-2'!L39+ԶՈՎՈՒՆԻ!L30+'ՏՐԱՆՍՖՈՐՄԱՏՈՐՆԵՐ և ԱՅԼ'!L24)*490/1000000</f>
        <v>6678.3602618768327</v>
      </c>
      <c r="C10" s="72">
        <f t="shared" si="6"/>
        <v>26549.95778297196</v>
      </c>
      <c r="D10" s="72">
        <f>+$B$6/25+$B$7/25+$B$8/25+$B$9/25</f>
        <v>1106.9064333402932</v>
      </c>
      <c r="E10" s="72">
        <f t="shared" si="3"/>
        <v>2654.995778297196</v>
      </c>
      <c r="F10" s="72">
        <f t="shared" si="0"/>
        <v>3761.902211637489</v>
      </c>
      <c r="G10" s="72">
        <f t="shared" si="1"/>
        <v>-2916.4580502393437</v>
      </c>
      <c r="H10" s="72">
        <f t="shared" si="4"/>
        <v>6576.0418234081926</v>
      </c>
      <c r="I10" s="72">
        <f t="shared" si="2"/>
        <v>0.57206178316058709</v>
      </c>
    </row>
    <row r="11" spans="1:12" ht="33" customHeight="1">
      <c r="A11" s="79">
        <f t="shared" si="5"/>
        <v>2023</v>
      </c>
      <c r="B11" s="70">
        <f ca="1">+(ԵՂԵԳՆԱՁՈՐ!M42+ԼԻՃՔ!M33+ՄԱՐԱՇ!M35+'ՇԱՀՈՒՄՅԱՆ-2'!M31+'ԱՐԱՐԱՏ-2'!M39+ԶՈՎՈՒՆԻ!M30+'ՏՐԱՆՍՖՈՐՄԱՏՈՐՆԵՐ և ԱՅԼ'!M24)*490/1000000</f>
        <v>2113.5765839999999</v>
      </c>
      <c r="C11" s="72">
        <f t="shared" si="6"/>
        <v>32121.411611508498</v>
      </c>
      <c r="D11" s="72">
        <f>+$B$6/25+$B$7/25+$B$8/25+$B$9/25+$B$10/25+B11/25</f>
        <v>1458.5839071753664</v>
      </c>
      <c r="E11" s="72">
        <f>+C11*10%</f>
        <v>3212.1411611508502</v>
      </c>
      <c r="F11" s="72">
        <f>+D11+E11</f>
        <v>4670.7250683262164</v>
      </c>
      <c r="G11" s="72">
        <f t="shared" si="1"/>
        <v>2557.1484843262165</v>
      </c>
      <c r="H11" s="72">
        <f t="shared" si="4"/>
        <v>6608.9220325252336</v>
      </c>
      <c r="I11" s="72">
        <f t="shared" si="2"/>
        <v>0.70673024213928537</v>
      </c>
    </row>
    <row r="12" spans="1:12" ht="33" customHeight="1">
      <c r="A12" s="79">
        <f t="shared" si="5"/>
        <v>2024</v>
      </c>
      <c r="B12" s="73"/>
      <c r="C12" s="72">
        <f t="shared" si="6"/>
        <v>32776.404288333135</v>
      </c>
      <c r="D12" s="72">
        <f t="shared" ref="D12:D31" si="7">+$B$6/25+$B$7/25+$B$8/25+$B$9/25+$B$10/25+B12/25</f>
        <v>1374.0408438153665</v>
      </c>
      <c r="E12" s="72">
        <f t="shared" si="3"/>
        <v>3277.6404288333138</v>
      </c>
      <c r="F12" s="72">
        <f t="shared" si="0"/>
        <v>4651.6812726486805</v>
      </c>
      <c r="G12" s="72">
        <f t="shared" si="1"/>
        <v>4651.6812726486805</v>
      </c>
      <c r="H12" s="72">
        <f t="shared" si="4"/>
        <v>6641.9666426878593</v>
      </c>
      <c r="I12" s="72">
        <f t="shared" si="2"/>
        <v>0.70034697897342135</v>
      </c>
    </row>
    <row r="13" spans="1:12" ht="33" customHeight="1">
      <c r="A13" s="79">
        <f t="shared" si="5"/>
        <v>2025</v>
      </c>
      <c r="B13" s="73"/>
      <c r="C13" s="72">
        <f t="shared" si="6"/>
        <v>31402.363444517767</v>
      </c>
      <c r="D13" s="72">
        <f t="shared" si="7"/>
        <v>1374.0408438153665</v>
      </c>
      <c r="E13" s="72">
        <f t="shared" si="3"/>
        <v>3140.2363444517769</v>
      </c>
      <c r="F13" s="72">
        <f t="shared" si="0"/>
        <v>4514.2771882671432</v>
      </c>
      <c r="G13" s="72">
        <f t="shared" si="1"/>
        <v>4514.2771882671432</v>
      </c>
      <c r="H13" s="72">
        <f t="shared" si="4"/>
        <v>6675.1764759012985</v>
      </c>
      <c r="I13" s="72">
        <f t="shared" si="2"/>
        <v>0.67627832830556212</v>
      </c>
    </row>
    <row r="14" spans="1:12" ht="33" customHeight="1">
      <c r="A14" s="79">
        <f t="shared" si="5"/>
        <v>2026</v>
      </c>
      <c r="B14" s="73"/>
      <c r="C14" s="72">
        <f t="shared" si="6"/>
        <v>30028.322600702399</v>
      </c>
      <c r="D14" s="72">
        <f t="shared" si="7"/>
        <v>1374.0408438153665</v>
      </c>
      <c r="E14" s="72">
        <f t="shared" si="3"/>
        <v>3002.83226007024</v>
      </c>
      <c r="F14" s="72">
        <f t="shared" si="0"/>
        <v>4376.8731038856067</v>
      </c>
      <c r="G14" s="72">
        <f t="shared" si="1"/>
        <v>4376.8731038856067</v>
      </c>
      <c r="H14" s="72">
        <f t="shared" si="4"/>
        <v>6708.5523582808055</v>
      </c>
      <c r="I14" s="72">
        <f t="shared" si="2"/>
        <v>0.65243183180689435</v>
      </c>
    </row>
    <row r="15" spans="1:12" ht="33" customHeight="1">
      <c r="A15" s="79">
        <f t="shared" si="5"/>
        <v>2027</v>
      </c>
      <c r="B15" s="73"/>
      <c r="C15" s="72">
        <f>+B14+C14-D14</f>
        <v>28654.28175688703</v>
      </c>
      <c r="D15" s="72">
        <f t="shared" si="7"/>
        <v>1374.0408438153665</v>
      </c>
      <c r="E15" s="72">
        <f t="shared" si="3"/>
        <v>2865.428175688703</v>
      </c>
      <c r="F15" s="72">
        <f t="shared" si="0"/>
        <v>4239.4690195040694</v>
      </c>
      <c r="G15" s="72">
        <f t="shared" si="1"/>
        <v>4239.4690195040694</v>
      </c>
      <c r="H15" s="72">
        <f t="shared" si="4"/>
        <v>6742.0951200722093</v>
      </c>
      <c r="I15" s="72">
        <f t="shared" si="2"/>
        <v>0.62880587473210614</v>
      </c>
    </row>
    <row r="16" spans="1:12" ht="33" customHeight="1">
      <c r="A16" s="79">
        <f t="shared" si="5"/>
        <v>2028</v>
      </c>
      <c r="B16" s="73"/>
      <c r="C16" s="72">
        <f t="shared" ref="C16:C36" si="8">+B15+C15-D15</f>
        <v>27280.240913071662</v>
      </c>
      <c r="D16" s="72">
        <f t="shared" si="7"/>
        <v>1374.0408438153665</v>
      </c>
      <c r="E16" s="72">
        <f t="shared" si="3"/>
        <v>2728.0240913071666</v>
      </c>
      <c r="F16" s="72">
        <f t="shared" si="0"/>
        <v>4102.0649351225329</v>
      </c>
      <c r="G16" s="72">
        <f t="shared" si="1"/>
        <v>4102.0649351225329</v>
      </c>
      <c r="H16" s="72">
        <f t="shared" si="4"/>
        <v>6775.8055956725702</v>
      </c>
      <c r="I16" s="72">
        <f t="shared" si="2"/>
        <v>0.60539885290427364</v>
      </c>
    </row>
    <row r="17" spans="1:9" ht="33" customHeight="1">
      <c r="A17" s="79">
        <f t="shared" si="5"/>
        <v>2029</v>
      </c>
      <c r="B17" s="73"/>
      <c r="C17" s="72">
        <f t="shared" si="8"/>
        <v>25906.200069256294</v>
      </c>
      <c r="D17" s="72">
        <f t="shared" si="7"/>
        <v>1374.0408438153665</v>
      </c>
      <c r="E17" s="72">
        <f t="shared" si="3"/>
        <v>2590.6200069256297</v>
      </c>
      <c r="F17" s="72">
        <f t="shared" si="0"/>
        <v>3964.6608507409965</v>
      </c>
      <c r="G17" s="72">
        <f t="shared" si="1"/>
        <v>3964.6608507409965</v>
      </c>
      <c r="H17" s="72">
        <f t="shared" si="4"/>
        <v>6809.6846236509327</v>
      </c>
      <c r="I17" s="72">
        <f t="shared" si="2"/>
        <v>0.58220917264967109</v>
      </c>
    </row>
    <row r="18" spans="1:9" ht="33" customHeight="1">
      <c r="A18" s="79">
        <f t="shared" si="5"/>
        <v>2030</v>
      </c>
      <c r="B18" s="73"/>
      <c r="C18" s="72">
        <f t="shared" si="8"/>
        <v>24532.159225440926</v>
      </c>
      <c r="D18" s="72">
        <f t="shared" si="7"/>
        <v>1374.0408438153665</v>
      </c>
      <c r="E18" s="72">
        <f t="shared" si="3"/>
        <v>2453.2159225440928</v>
      </c>
      <c r="F18" s="72">
        <f t="shared" si="0"/>
        <v>3827.2567663594591</v>
      </c>
      <c r="G18" s="72">
        <f t="shared" si="1"/>
        <v>3827.2567663594591</v>
      </c>
      <c r="H18" s="72">
        <f t="shared" si="4"/>
        <v>6843.7330467691872</v>
      </c>
      <c r="I18" s="72">
        <f t="shared" si="2"/>
        <v>0.55923525073296709</v>
      </c>
    </row>
    <row r="19" spans="1:9" ht="33" customHeight="1">
      <c r="A19" s="79">
        <f t="shared" si="5"/>
        <v>2031</v>
      </c>
      <c r="B19" s="73"/>
      <c r="C19" s="72">
        <f t="shared" si="8"/>
        <v>23158.118381625558</v>
      </c>
      <c r="D19" s="72">
        <f t="shared" si="7"/>
        <v>1374.0408438153665</v>
      </c>
      <c r="E19" s="72">
        <f t="shared" si="3"/>
        <v>2315.8118381625559</v>
      </c>
      <c r="F19" s="72">
        <f t="shared" si="0"/>
        <v>3689.8526819779227</v>
      </c>
      <c r="G19" s="72">
        <f t="shared" si="1"/>
        <v>3689.8526819779227</v>
      </c>
      <c r="H19" s="72">
        <f t="shared" si="4"/>
        <v>6877.9517120030332</v>
      </c>
      <c r="I19" s="72">
        <f t="shared" si="2"/>
        <v>0.53647551429280749</v>
      </c>
    </row>
    <row r="20" spans="1:9" ht="33" customHeight="1">
      <c r="A20" s="79">
        <f t="shared" si="5"/>
        <v>2032</v>
      </c>
      <c r="B20" s="73"/>
      <c r="C20" s="72">
        <f t="shared" si="8"/>
        <v>21784.07753781019</v>
      </c>
      <c r="D20" s="72">
        <f t="shared" si="7"/>
        <v>1374.0408438153665</v>
      </c>
      <c r="E20" s="72">
        <f t="shared" si="3"/>
        <v>2178.407753781019</v>
      </c>
      <c r="F20" s="72">
        <f t="shared" si="0"/>
        <v>3552.4485975963853</v>
      </c>
      <c r="G20" s="72">
        <f t="shared" si="1"/>
        <v>3552.4485975963853</v>
      </c>
      <c r="H20" s="72">
        <f t="shared" si="4"/>
        <v>6912.3414705630485</v>
      </c>
      <c r="I20" s="72">
        <f t="shared" si="2"/>
        <v>0.51392840077777857</v>
      </c>
    </row>
    <row r="21" spans="1:9" ht="33" customHeight="1">
      <c r="A21" s="79">
        <f t="shared" si="5"/>
        <v>2033</v>
      </c>
      <c r="B21" s="73"/>
      <c r="C21" s="72">
        <f t="shared" si="8"/>
        <v>20410.036693994822</v>
      </c>
      <c r="D21" s="72">
        <f t="shared" si="7"/>
        <v>1374.0408438153665</v>
      </c>
      <c r="E21" s="72">
        <f t="shared" si="3"/>
        <v>2041.0036693994823</v>
      </c>
      <c r="F21" s="72">
        <f t="shared" si="0"/>
        <v>3415.0445132148488</v>
      </c>
      <c r="G21" s="72">
        <f t="shared" si="1"/>
        <v>3415.0445132148488</v>
      </c>
      <c r="H21" s="72">
        <f t="shared" si="4"/>
        <v>6946.903177915864</v>
      </c>
      <c r="I21" s="72">
        <f t="shared" si="2"/>
        <v>0.49159235788275291</v>
      </c>
    </row>
    <row r="22" spans="1:9" ht="33" customHeight="1">
      <c r="A22" s="79">
        <f t="shared" si="5"/>
        <v>2034</v>
      </c>
      <c r="B22" s="73"/>
      <c r="C22" s="72">
        <f t="shared" si="8"/>
        <v>19035.995850179454</v>
      </c>
      <c r="D22" s="72">
        <f t="shared" si="7"/>
        <v>1374.0408438153665</v>
      </c>
      <c r="E22" s="72">
        <f t="shared" si="3"/>
        <v>1903.5995850179454</v>
      </c>
      <c r="F22" s="72">
        <f t="shared" si="0"/>
        <v>3277.6404288333119</v>
      </c>
      <c r="G22" s="72">
        <f t="shared" si="1"/>
        <v>3277.6404288333119</v>
      </c>
      <c r="H22" s="72">
        <f t="shared" si="4"/>
        <v>6981.6376938054436</v>
      </c>
      <c r="I22" s="72">
        <f t="shared" si="2"/>
        <v>0.46946584348561149</v>
      </c>
    </row>
    <row r="23" spans="1:9" ht="33" customHeight="1">
      <c r="A23" s="79">
        <f t="shared" si="5"/>
        <v>2035</v>
      </c>
      <c r="B23" s="73"/>
      <c r="C23" s="72">
        <f t="shared" si="8"/>
        <v>17661.955006364085</v>
      </c>
      <c r="D23" s="72">
        <f t="shared" si="7"/>
        <v>1374.0408438153665</v>
      </c>
      <c r="E23" s="72">
        <f t="shared" si="3"/>
        <v>1766.1955006364087</v>
      </c>
      <c r="F23" s="72">
        <f t="shared" si="0"/>
        <v>3140.236344451775</v>
      </c>
      <c r="G23" s="72">
        <f t="shared" si="1"/>
        <v>3140.236344451775</v>
      </c>
      <c r="H23" s="72">
        <f t="shared" si="4"/>
        <v>7016.5458822744713</v>
      </c>
      <c r="I23" s="72">
        <f t="shared" si="2"/>
        <v>0.44754732558434313</v>
      </c>
    </row>
    <row r="24" spans="1:9" ht="33" customHeight="1">
      <c r="A24" s="79">
        <f t="shared" si="5"/>
        <v>2036</v>
      </c>
      <c r="B24" s="73"/>
      <c r="C24" s="72">
        <f t="shared" si="8"/>
        <v>16287.914162548719</v>
      </c>
      <c r="D24" s="72">
        <f t="shared" si="7"/>
        <v>1374.0408438153665</v>
      </c>
      <c r="E24" s="72">
        <f t="shared" si="3"/>
        <v>1628.791416254872</v>
      </c>
      <c r="F24" s="72">
        <f t="shared" si="0"/>
        <v>3002.8322600702386</v>
      </c>
      <c r="G24" s="72">
        <f t="shared" si="1"/>
        <v>3002.8322600702386</v>
      </c>
      <c r="H24" s="72">
        <f t="shared" si="4"/>
        <v>7051.6286116858437</v>
      </c>
      <c r="I24" s="72">
        <f t="shared" si="2"/>
        <v>0.42583528223451728</v>
      </c>
    </row>
    <row r="25" spans="1:9" ht="33" customHeight="1">
      <c r="A25" s="79">
        <f t="shared" si="5"/>
        <v>2037</v>
      </c>
      <c r="B25" s="73"/>
      <c r="C25" s="72">
        <f t="shared" si="8"/>
        <v>14913.873318733353</v>
      </c>
      <c r="D25" s="72">
        <f t="shared" si="7"/>
        <v>1374.0408438153665</v>
      </c>
      <c r="E25" s="72">
        <f t="shared" si="3"/>
        <v>1491.3873318733354</v>
      </c>
      <c r="F25" s="72">
        <f t="shared" si="0"/>
        <v>2865.4281756887021</v>
      </c>
      <c r="G25" s="72">
        <f t="shared" si="1"/>
        <v>2865.4281756887021</v>
      </c>
      <c r="H25" s="72">
        <f t="shared" si="4"/>
        <v>7086.8867547442733</v>
      </c>
      <c r="I25" s="72">
        <f t="shared" si="2"/>
        <v>0.40432820148712811</v>
      </c>
    </row>
    <row r="26" spans="1:9" ht="33" customHeight="1">
      <c r="A26" s="79">
        <f t="shared" si="5"/>
        <v>2038</v>
      </c>
      <c r="B26" s="73"/>
      <c r="C26" s="72">
        <f t="shared" si="8"/>
        <v>13539.832474917986</v>
      </c>
      <c r="D26" s="72">
        <f t="shared" si="7"/>
        <v>1374.0408438153665</v>
      </c>
      <c r="E26" s="72">
        <f t="shared" si="3"/>
        <v>1353.9832474917987</v>
      </c>
      <c r="F26" s="72">
        <f t="shared" si="0"/>
        <v>2728.0240913071652</v>
      </c>
      <c r="G26" s="72">
        <f t="shared" si="1"/>
        <v>2728.0240913071652</v>
      </c>
      <c r="H26" s="72">
        <f t="shared" si="4"/>
        <v>7122.3211885179944</v>
      </c>
      <c r="I26" s="72">
        <f t="shared" si="2"/>
        <v>0.38302458132680894</v>
      </c>
    </row>
    <row r="27" spans="1:9" ht="33" customHeight="1">
      <c r="A27" s="79">
        <f t="shared" si="5"/>
        <v>2039</v>
      </c>
      <c r="B27" s="73"/>
      <c r="C27" s="72">
        <f t="shared" si="8"/>
        <v>12165.79163110262</v>
      </c>
      <c r="D27" s="72">
        <f t="shared" si="7"/>
        <v>1374.0408438153665</v>
      </c>
      <c r="E27" s="72">
        <f t="shared" si="3"/>
        <v>1216.579163110262</v>
      </c>
      <c r="F27" s="72">
        <f t="shared" si="0"/>
        <v>2590.6200069256283</v>
      </c>
      <c r="G27" s="72">
        <f t="shared" si="1"/>
        <v>2590.6200069256283</v>
      </c>
      <c r="H27" s="72">
        <f t="shared" si="4"/>
        <v>7157.9327944605848</v>
      </c>
      <c r="I27" s="72">
        <f t="shared" si="2"/>
        <v>0.36192292961041345</v>
      </c>
    </row>
    <row r="28" spans="1:9" ht="33" customHeight="1">
      <c r="A28" s="79">
        <f t="shared" si="5"/>
        <v>2040</v>
      </c>
      <c r="B28" s="73"/>
      <c r="C28" s="72">
        <f t="shared" si="8"/>
        <v>10791.750787287254</v>
      </c>
      <c r="D28" s="72">
        <f t="shared" si="7"/>
        <v>1374.0408438153665</v>
      </c>
      <c r="E28" s="72">
        <f t="shared" si="3"/>
        <v>1079.1750787287253</v>
      </c>
      <c r="F28" s="72">
        <f t="shared" si="0"/>
        <v>2453.2159225440919</v>
      </c>
      <c r="G28" s="72">
        <f t="shared" si="1"/>
        <v>2453.2159225440919</v>
      </c>
      <c r="H28" s="72">
        <f t="shared" si="4"/>
        <v>7193.7224584328878</v>
      </c>
      <c r="I28" s="72">
        <f t="shared" si="2"/>
        <v>0.3410217640059624</v>
      </c>
    </row>
    <row r="29" spans="1:9" ht="33" customHeight="1">
      <c r="A29" s="79">
        <f t="shared" si="5"/>
        <v>2041</v>
      </c>
      <c r="B29" s="73"/>
      <c r="C29" s="72">
        <f t="shared" si="8"/>
        <v>9417.7099434718875</v>
      </c>
      <c r="D29" s="72">
        <f t="shared" si="7"/>
        <v>1374.0408438153665</v>
      </c>
      <c r="E29" s="72">
        <f t="shared" si="3"/>
        <v>941.77099434718878</v>
      </c>
      <c r="F29" s="72">
        <f t="shared" si="0"/>
        <v>2315.8118381625554</v>
      </c>
      <c r="G29" s="72">
        <f t="shared" si="1"/>
        <v>2315.8118381625554</v>
      </c>
      <c r="H29" s="72">
        <f t="shared" si="4"/>
        <v>7229.6910707250527</v>
      </c>
      <c r="I29" s="72">
        <f t="shared" si="2"/>
        <v>0.32031961193195313</v>
      </c>
    </row>
    <row r="30" spans="1:9" ht="33" customHeight="1">
      <c r="A30" s="79">
        <f t="shared" si="5"/>
        <v>2042</v>
      </c>
      <c r="B30" s="73"/>
      <c r="C30" s="72">
        <f t="shared" si="8"/>
        <v>8043.6690996565212</v>
      </c>
      <c r="D30" s="72">
        <f t="shared" si="7"/>
        <v>1374.0408438153665</v>
      </c>
      <c r="E30" s="72">
        <f t="shared" si="3"/>
        <v>804.36690996565221</v>
      </c>
      <c r="F30" s="72">
        <f t="shared" si="0"/>
        <v>2178.407753781019</v>
      </c>
      <c r="G30" s="72">
        <f t="shared" si="1"/>
        <v>2178.407753781019</v>
      </c>
      <c r="H30" s="72">
        <f t="shared" si="4"/>
        <v>7265.8395260786783</v>
      </c>
      <c r="I30" s="72">
        <f t="shared" si="2"/>
        <v>0.29981501049703063</v>
      </c>
    </row>
    <row r="31" spans="1:9" ht="33" customHeight="1">
      <c r="A31" s="79">
        <f t="shared" si="5"/>
        <v>2043</v>
      </c>
      <c r="B31" s="73"/>
      <c r="C31" s="72">
        <f t="shared" si="8"/>
        <v>6669.6282558411549</v>
      </c>
      <c r="D31" s="72">
        <f t="shared" si="7"/>
        <v>1374.0408438153665</v>
      </c>
      <c r="E31" s="72">
        <f t="shared" si="3"/>
        <v>666.96282558411554</v>
      </c>
      <c r="F31" s="72">
        <f t="shared" si="0"/>
        <v>2041.0036693994821</v>
      </c>
      <c r="G31" s="72">
        <f t="shared" si="1"/>
        <v>2041.0036693994821</v>
      </c>
      <c r="H31" s="72">
        <f t="shared" si="4"/>
        <v>7302.1687237090719</v>
      </c>
      <c r="I31" s="72">
        <f t="shared" si="2"/>
        <v>0.27950650644001723</v>
      </c>
    </row>
    <row r="32" spans="1:9" ht="33" customHeight="1">
      <c r="A32" s="79">
        <f t="shared" si="5"/>
        <v>2044</v>
      </c>
      <c r="B32" s="74"/>
      <c r="C32" s="72">
        <f t="shared" si="8"/>
        <v>5295.5874120257886</v>
      </c>
      <c r="D32" s="72">
        <f>$B$7/25+$B$8/25+$B$9/25+$B$10/25+B32/25</f>
        <v>1302.5831638153666</v>
      </c>
      <c r="E32" s="72">
        <f t="shared" si="3"/>
        <v>529.55874120257886</v>
      </c>
      <c r="F32" s="72">
        <f t="shared" si="0"/>
        <v>1832.1419050179454</v>
      </c>
      <c r="G32" s="72">
        <f t="shared" si="1"/>
        <v>1832.1419050179454</v>
      </c>
      <c r="H32" s="72">
        <f t="shared" si="4"/>
        <v>7338.6795673276174</v>
      </c>
      <c r="I32" s="72">
        <f t="shared" si="2"/>
        <v>0.24965552565815605</v>
      </c>
    </row>
    <row r="33" spans="1:9" ht="33" customHeight="1">
      <c r="A33" s="79">
        <f t="shared" si="5"/>
        <v>2045</v>
      </c>
      <c r="B33" s="74"/>
      <c r="C33" s="72">
        <f t="shared" si="8"/>
        <v>3993.0042482104218</v>
      </c>
      <c r="D33" s="72">
        <f>$B$8/25+$B$9/25+$B$10/25+B33/25</f>
        <v>1044.8634565402933</v>
      </c>
      <c r="E33" s="72">
        <f t="shared" si="3"/>
        <v>399.30042482104221</v>
      </c>
      <c r="F33" s="72">
        <f t="shared" si="0"/>
        <v>1444.1638813613356</v>
      </c>
      <c r="G33" s="72">
        <f t="shared" si="1"/>
        <v>1444.1638813613356</v>
      </c>
      <c r="H33" s="72">
        <f t="shared" si="4"/>
        <v>7375.3729651642552</v>
      </c>
      <c r="I33" s="72">
        <f t="shared" si="2"/>
        <v>0.19580892901043587</v>
      </c>
    </row>
    <row r="34" spans="1:9" ht="33" customHeight="1">
      <c r="A34" s="79">
        <f t="shared" si="5"/>
        <v>2046</v>
      </c>
      <c r="B34" s="74"/>
      <c r="C34" s="72">
        <f t="shared" si="8"/>
        <v>2948.1407916701282</v>
      </c>
      <c r="D34" s="72">
        <f>$B$9/25+$B$10/25+B34/25</f>
        <v>651.97286055507334</v>
      </c>
      <c r="E34" s="72">
        <f t="shared" si="3"/>
        <v>294.81407916701284</v>
      </c>
      <c r="F34" s="72">
        <f t="shared" si="0"/>
        <v>946.78693972208612</v>
      </c>
      <c r="G34" s="72">
        <f t="shared" si="1"/>
        <v>946.78693972208612</v>
      </c>
      <c r="H34" s="72">
        <f t="shared" si="4"/>
        <v>7412.2498299900763</v>
      </c>
      <c r="I34" s="72">
        <f t="shared" si="2"/>
        <v>0.12773273451892725</v>
      </c>
    </row>
    <row r="35" spans="1:9" ht="33" customHeight="1">
      <c r="A35" s="79">
        <f t="shared" si="5"/>
        <v>2047</v>
      </c>
      <c r="B35" s="74"/>
      <c r="C35" s="72">
        <f t="shared" si="8"/>
        <v>2296.1679311150547</v>
      </c>
      <c r="D35" s="72">
        <f>$B$10/25+B35/25</f>
        <v>267.13441047507331</v>
      </c>
      <c r="E35" s="72">
        <f t="shared" si="3"/>
        <v>229.61679311150547</v>
      </c>
      <c r="F35" s="72">
        <f t="shared" si="0"/>
        <v>496.75120358657875</v>
      </c>
      <c r="G35" s="72">
        <f t="shared" si="1"/>
        <v>496.75120358657875</v>
      </c>
      <c r="H35" s="72">
        <f t="shared" si="4"/>
        <v>7449.3110791400268</v>
      </c>
      <c r="I35" s="72">
        <f t="shared" si="2"/>
        <v>6.6684180363686105E-2</v>
      </c>
    </row>
    <row r="36" spans="1:9" ht="33" customHeight="1">
      <c r="A36" s="79">
        <f t="shared" si="5"/>
        <v>2048</v>
      </c>
      <c r="B36" s="74"/>
      <c r="C36" s="72">
        <f t="shared" si="8"/>
        <v>2029.0335206399814</v>
      </c>
      <c r="D36" s="72">
        <f>$B$10/25+B36/25</f>
        <v>267.13441047507331</v>
      </c>
      <c r="E36" s="72">
        <f t="shared" si="3"/>
        <v>202.90335206399814</v>
      </c>
      <c r="F36" s="72">
        <f t="shared" si="0"/>
        <v>470.03776253907142</v>
      </c>
      <c r="G36" s="72">
        <f t="shared" si="1"/>
        <v>470.03776253907142</v>
      </c>
      <c r="H36" s="72">
        <f t="shared" si="4"/>
        <v>7486.5576345357267</v>
      </c>
      <c r="I36" s="72">
        <f t="shared" si="2"/>
        <v>6.2784230815344608E-2</v>
      </c>
    </row>
    <row r="37" spans="1:9" ht="48" customHeight="1">
      <c r="A37" s="79" t="s">
        <v>80</v>
      </c>
      <c r="B37" s="67">
        <f>SUM(B6:B36)</f>
        <v>36464.597679384169</v>
      </c>
      <c r="C37" s="67">
        <v>0</v>
      </c>
      <c r="D37" s="67">
        <f>SUM(D6:D36)</f>
        <v>34702.698569219247</v>
      </c>
      <c r="E37" s="67">
        <f>SUM(E6:E36)</f>
        <v>49728.911225599382</v>
      </c>
      <c r="F37" s="67">
        <f>SUM(F6:F36)</f>
        <v>84431.609794818607</v>
      </c>
      <c r="G37" s="67">
        <f>SUM(G6:G36)</f>
        <v>47967.01211543446</v>
      </c>
      <c r="H37" s="67"/>
      <c r="I37" s="68"/>
    </row>
  </sheetData>
  <mergeCells count="1">
    <mergeCell ref="A2:I2"/>
  </mergeCells>
  <phoneticPr fontId="0" type="noConversion"/>
  <pageMargins left="0.51181102362204722" right="0" top="0.15748031496062992" bottom="0" header="0" footer="0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ՇԱՀՈՒՄՅԱՆ-2</vt:lpstr>
      <vt:lpstr>ԶՈՎՈՒՆԻ</vt:lpstr>
      <vt:lpstr>ԱՐԱՐԱՏ-2</vt:lpstr>
      <vt:lpstr>ՄԱՐԱՇ</vt:lpstr>
      <vt:lpstr>ԵՂԵԳՆԱՁՈՐ</vt:lpstr>
      <vt:lpstr>ԼԻՃՔ</vt:lpstr>
      <vt:lpstr>ՏՐԱՆՍՖՈՐՄԱՏՈՐՆԵՐ և ԱՅԼ</vt:lpstr>
      <vt:lpstr>TOTAL EFFECT - TARIFF</vt:lpstr>
      <vt:lpstr>'ԱՐԱՐԱՏ-2'!Print_Area</vt:lpstr>
      <vt:lpstr>ԵՂԵԳՆԱՁՈՐ!Print_Area</vt:lpstr>
      <vt:lpstr>ԶՈՎՈՒՆԻ!Print_Area</vt:lpstr>
      <vt:lpstr>ԼԻՃՔ!Print_Area</vt:lpstr>
      <vt:lpstr>ՄԱՐԱՇ!Print_Area</vt:lpstr>
      <vt:lpstr>'ՇԱՀՈՒՄՅԱՆ-2'!Print_Area</vt:lpstr>
      <vt:lpstr>'ՏՐԱՆՍՖՈՐՄԱՏՈՐՆԵՐ և ԱՅԼ'!Print_Area</vt:lpstr>
      <vt:lpstr>ԵՂԵԳՆԱՁՈՐ!Print_Titles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Paruyr Amirjanyan</dc:creator>
  <cp:lastModifiedBy>AnahitV</cp:lastModifiedBy>
  <cp:lastPrinted>2018-02-22T09:30:35Z</cp:lastPrinted>
  <dcterms:created xsi:type="dcterms:W3CDTF">2017-04-05T12:00:52Z</dcterms:created>
  <dcterms:modified xsi:type="dcterms:W3CDTF">2018-04-11T16:21:35Z</dcterms:modified>
</cp:coreProperties>
</file>